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rch\Desktop\"/>
    </mc:Choice>
  </mc:AlternateContent>
  <bookViews>
    <workbookView xWindow="0" yWindow="0" windowWidth="20490" windowHeight="7755"/>
  </bookViews>
  <sheets>
    <sheet name="BASIC" sheetId="1" r:id="rId1"/>
    <sheet name="PREMIUM" sheetId="4" r:id="rId2"/>
  </sheets>
  <calcPr calcId="152511"/>
</workbook>
</file>

<file path=xl/calcChain.xml><?xml version="1.0" encoding="utf-8"?>
<calcChain xmlns="http://schemas.openxmlformats.org/spreadsheetml/2006/main">
  <c r="I15" i="1" l="1"/>
  <c r="L15" i="1" s="1"/>
  <c r="M15" i="1" s="1"/>
  <c r="I16" i="1"/>
  <c r="L16" i="1" s="1"/>
  <c r="M16" i="1" s="1"/>
  <c r="L17" i="1"/>
  <c r="M17" i="1" s="1"/>
  <c r="I17" i="1"/>
  <c r="J19" i="1"/>
  <c r="J21" i="1"/>
  <c r="J22" i="1"/>
  <c r="L18" i="1"/>
  <c r="M18" i="1" s="1"/>
  <c r="I18" i="1"/>
  <c r="I19" i="1"/>
  <c r="I20" i="1"/>
  <c r="L20" i="1" s="1"/>
  <c r="M20" i="1" s="1"/>
  <c r="I21" i="1"/>
  <c r="I22" i="1"/>
  <c r="I23" i="1"/>
  <c r="J24" i="1"/>
  <c r="I24" i="1"/>
  <c r="J25" i="1"/>
  <c r="J26" i="1"/>
  <c r="J27" i="1"/>
  <c r="J28" i="1"/>
  <c r="J29" i="1"/>
  <c r="I25" i="1"/>
  <c r="I26" i="1"/>
  <c r="I27" i="1"/>
  <c r="I28" i="1"/>
  <c r="J31" i="1"/>
  <c r="L31" i="1" s="1"/>
  <c r="M31" i="1" s="1"/>
  <c r="I29" i="1"/>
  <c r="L29" i="1" s="1"/>
  <c r="M29" i="1" s="1"/>
  <c r="I30" i="1"/>
  <c r="L30" i="1" s="1"/>
  <c r="M30" i="1" s="1"/>
  <c r="I31" i="1"/>
  <c r="I32" i="1"/>
  <c r="L32" i="1" s="1"/>
  <c r="M32" i="1" s="1"/>
  <c r="L33" i="1"/>
  <c r="M33" i="1" s="1"/>
  <c r="I33" i="1"/>
  <c r="I34" i="1"/>
  <c r="L34" i="1" s="1"/>
  <c r="M34" i="1" s="1"/>
  <c r="I35" i="1"/>
  <c r="L35" i="1" s="1"/>
  <c r="M35" i="1" s="1"/>
  <c r="J37" i="1"/>
  <c r="J39" i="1"/>
  <c r="I36" i="1"/>
  <c r="L36" i="1" s="1"/>
  <c r="M36" i="1" s="1"/>
  <c r="L37" i="1"/>
  <c r="M37" i="1" s="1"/>
  <c r="I37" i="1"/>
  <c r="I38" i="1"/>
  <c r="L38" i="1" s="1"/>
  <c r="M38" i="1" s="1"/>
  <c r="I39" i="1"/>
  <c r="L39" i="1" s="1"/>
  <c r="M39" i="1" s="1"/>
  <c r="I40" i="1"/>
  <c r="L40" i="1" s="1"/>
  <c r="M40" i="1" s="1"/>
  <c r="L41" i="1"/>
  <c r="M41" i="1" s="1"/>
  <c r="I41" i="1"/>
  <c r="J47" i="1"/>
  <c r="I42" i="1"/>
  <c r="L42" i="1" s="1"/>
  <c r="M42" i="1" s="1"/>
  <c r="L43" i="1"/>
  <c r="M43" i="1" s="1"/>
  <c r="I43" i="1"/>
  <c r="I44" i="1"/>
  <c r="L44" i="1" s="1"/>
  <c r="M44" i="1" s="1"/>
  <c r="L45" i="1"/>
  <c r="M45" i="1" s="1"/>
  <c r="I45" i="1"/>
  <c r="I46" i="1"/>
  <c r="L46" i="1" s="1"/>
  <c r="M46" i="1" s="1"/>
  <c r="I47" i="1"/>
  <c r="L47" i="1" s="1"/>
  <c r="M47" i="1" s="1"/>
  <c r="I48" i="1"/>
  <c r="L48" i="1" s="1"/>
  <c r="M48" i="1" s="1"/>
  <c r="J50" i="1"/>
  <c r="J51" i="1"/>
  <c r="L51" i="1" s="1"/>
  <c r="M51" i="1" s="1"/>
  <c r="I49" i="1"/>
  <c r="L49" i="1" s="1"/>
  <c r="M49" i="1" s="1"/>
  <c r="I50" i="1"/>
  <c r="I51" i="1"/>
  <c r="I52" i="1"/>
  <c r="L52" i="1" s="1"/>
  <c r="M52" i="1" s="1"/>
  <c r="M53" i="1"/>
  <c r="L53" i="1"/>
  <c r="I53" i="1"/>
  <c r="I54" i="1"/>
  <c r="L54" i="1" s="1"/>
  <c r="M54" i="1" s="1"/>
  <c r="M55" i="1"/>
  <c r="L55" i="1"/>
  <c r="I55" i="1"/>
  <c r="I56" i="1"/>
  <c r="L56" i="1" s="1"/>
  <c r="M56" i="1" s="1"/>
  <c r="J58" i="1"/>
  <c r="I57" i="1"/>
  <c r="L57" i="1" s="1"/>
  <c r="M57" i="1" s="1"/>
  <c r="I58" i="1"/>
  <c r="I59" i="1"/>
  <c r="L59" i="1" s="1"/>
  <c r="M59" i="1" s="1"/>
  <c r="I60" i="1"/>
  <c r="L60" i="1" s="1"/>
  <c r="M60" i="1" s="1"/>
  <c r="I61" i="1"/>
  <c r="L61" i="1" s="1"/>
  <c r="M61" i="1" s="1"/>
  <c r="I62" i="1"/>
  <c r="L62" i="1" s="1"/>
  <c r="M62" i="1" s="1"/>
  <c r="I63" i="1"/>
  <c r="L63" i="1" s="1"/>
  <c r="M63" i="1" s="1"/>
  <c r="I64" i="1"/>
  <c r="L64" i="1" s="1"/>
  <c r="M64" i="1" s="1"/>
  <c r="J68" i="1"/>
  <c r="J69" i="1"/>
  <c r="I65" i="1"/>
  <c r="L65" i="1" s="1"/>
  <c r="M65" i="1" s="1"/>
  <c r="I66" i="1"/>
  <c r="L66" i="1" s="1"/>
  <c r="M66" i="1" s="1"/>
  <c r="I67" i="1"/>
  <c r="L67" i="1" s="1"/>
  <c r="M67" i="1" s="1"/>
  <c r="I68" i="1"/>
  <c r="I69" i="1"/>
  <c r="I70" i="1"/>
  <c r="L70" i="1" s="1"/>
  <c r="M70" i="1" s="1"/>
  <c r="I71" i="1"/>
  <c r="L71" i="1" s="1"/>
  <c r="M71" i="1" s="1"/>
  <c r="I72" i="1"/>
  <c r="L72" i="1" s="1"/>
  <c r="M72" i="1" s="1"/>
  <c r="J74" i="1"/>
  <c r="I73" i="1"/>
  <c r="L73" i="1" s="1"/>
  <c r="M73" i="1" s="1"/>
  <c r="I74" i="1"/>
  <c r="I75" i="1"/>
  <c r="L75" i="1" s="1"/>
  <c r="M75" i="1" s="1"/>
  <c r="J81" i="1"/>
  <c r="I76" i="1"/>
  <c r="L76" i="1" s="1"/>
  <c r="M76" i="1" s="1"/>
  <c r="I77" i="1"/>
  <c r="L77" i="1" s="1"/>
  <c r="M77" i="1" s="1"/>
  <c r="I78" i="1"/>
  <c r="L78" i="1" s="1"/>
  <c r="M78" i="1" s="1"/>
  <c r="I79" i="1"/>
  <c r="L79" i="1" s="1"/>
  <c r="M79" i="1" s="1"/>
  <c r="I80" i="1"/>
  <c r="L80" i="1" s="1"/>
  <c r="M80" i="1" s="1"/>
  <c r="J84" i="1"/>
  <c r="I81" i="1"/>
  <c r="I82" i="1"/>
  <c r="L82" i="1" s="1"/>
  <c r="M82" i="1" s="1"/>
  <c r="I83" i="1"/>
  <c r="L83" i="1" s="1"/>
  <c r="M83" i="1" s="1"/>
  <c r="J86" i="1"/>
  <c r="J87" i="1"/>
  <c r="I84" i="1"/>
  <c r="I85" i="1"/>
  <c r="L85" i="1" s="1"/>
  <c r="M85" i="1" s="1"/>
  <c r="I86" i="1"/>
  <c r="I87" i="1"/>
  <c r="I88" i="1"/>
  <c r="L88" i="1" s="1"/>
  <c r="M88" i="1" s="1"/>
  <c r="I89" i="1"/>
  <c r="L89" i="1" s="1"/>
  <c r="M89" i="1" s="1"/>
  <c r="J91" i="1"/>
  <c r="J93" i="1"/>
  <c r="I90" i="1"/>
  <c r="L90" i="1" s="1"/>
  <c r="M90" i="1" s="1"/>
  <c r="I91" i="1"/>
  <c r="I92" i="1"/>
  <c r="L92" i="1" s="1"/>
  <c r="M92" i="1" s="1"/>
  <c r="I93" i="1"/>
  <c r="J96" i="1"/>
  <c r="I94" i="1"/>
  <c r="L94" i="1" s="1"/>
  <c r="M94" i="1" s="1"/>
  <c r="I95" i="1"/>
  <c r="L95" i="1" s="1"/>
  <c r="M95" i="1" s="1"/>
  <c r="I96" i="1"/>
  <c r="I97" i="1"/>
  <c r="L97" i="1" s="1"/>
  <c r="M97" i="1" s="1"/>
  <c r="I98" i="1"/>
  <c r="L98" i="1" s="1"/>
  <c r="M98" i="1" s="1"/>
  <c r="I99" i="1"/>
  <c r="L99" i="1" s="1"/>
  <c r="M99" i="1" s="1"/>
  <c r="I100" i="1"/>
  <c r="L100" i="1" s="1"/>
  <c r="M100" i="1" s="1"/>
  <c r="I101" i="1"/>
  <c r="L101" i="1" s="1"/>
  <c r="M101" i="1" s="1"/>
  <c r="J103" i="1"/>
  <c r="I102" i="1"/>
  <c r="L102" i="1" s="1"/>
  <c r="M102" i="1" s="1"/>
  <c r="I103" i="1"/>
  <c r="J104" i="1"/>
  <c r="J107" i="1"/>
  <c r="J106" i="1"/>
  <c r="J105" i="1"/>
  <c r="I104" i="1"/>
  <c r="I105" i="1"/>
  <c r="I106" i="1"/>
  <c r="J108" i="1"/>
  <c r="I107" i="1"/>
  <c r="I108" i="1"/>
  <c r="I109" i="1"/>
  <c r="J111" i="1"/>
  <c r="I110" i="1"/>
  <c r="L110" i="1" s="1"/>
  <c r="M110" i="1" s="1"/>
  <c r="I111" i="1"/>
  <c r="I112" i="1"/>
  <c r="L112" i="1" s="1"/>
  <c r="M112" i="1" s="1"/>
  <c r="I113" i="1"/>
  <c r="L113" i="1" s="1"/>
  <c r="M113" i="1" s="1"/>
  <c r="I114" i="1"/>
  <c r="I115" i="1"/>
  <c r="J116" i="1"/>
  <c r="J117" i="1"/>
  <c r="I116" i="1"/>
  <c r="I117" i="1"/>
  <c r="I118" i="1"/>
  <c r="I119" i="1"/>
  <c r="I120" i="1"/>
  <c r="J121" i="1"/>
  <c r="I121" i="1"/>
  <c r="J122" i="1"/>
  <c r="I122" i="1"/>
  <c r="I123" i="1"/>
  <c r="L123" i="1" s="1"/>
  <c r="M123" i="1" s="1"/>
  <c r="I124" i="1"/>
  <c r="L124" i="1" s="1"/>
  <c r="M124" i="1" s="1"/>
  <c r="I125" i="1"/>
  <c r="L125" i="1" s="1"/>
  <c r="M125" i="1" s="1"/>
  <c r="I126" i="1"/>
  <c r="L126" i="1" s="1"/>
  <c r="M126" i="1" s="1"/>
  <c r="I127" i="1"/>
  <c r="L127" i="1" s="1"/>
  <c r="M127" i="1" s="1"/>
  <c r="J129" i="1"/>
  <c r="I128" i="1"/>
  <c r="I129" i="1"/>
  <c r="J130" i="1"/>
  <c r="J131" i="1"/>
  <c r="J132" i="1"/>
  <c r="J134" i="1"/>
  <c r="I130" i="1"/>
  <c r="I131" i="1"/>
  <c r="I132" i="1"/>
  <c r="L132" i="1" s="1"/>
  <c r="M132" i="1" s="1"/>
  <c r="I133" i="1"/>
  <c r="L133" i="1" s="1"/>
  <c r="M133" i="1" s="1"/>
  <c r="J136" i="1"/>
  <c r="I134" i="1"/>
  <c r="I135" i="1"/>
  <c r="L135" i="1" s="1"/>
  <c r="M135" i="1" s="1"/>
  <c r="I136" i="1"/>
  <c r="L136" i="1" s="1"/>
  <c r="M136" i="1" s="1"/>
  <c r="I137" i="1"/>
  <c r="L137" i="1" s="1"/>
  <c r="M137" i="1" s="1"/>
  <c r="I138" i="1"/>
  <c r="L138" i="1" s="1"/>
  <c r="M138" i="1" s="1"/>
  <c r="I139" i="1"/>
  <c r="L139" i="1" s="1"/>
  <c r="M139" i="1" s="1"/>
  <c r="I140" i="1"/>
  <c r="L140" i="1" s="1"/>
  <c r="M140" i="1" s="1"/>
  <c r="I141" i="1"/>
  <c r="L141" i="1" s="1"/>
  <c r="M141" i="1" s="1"/>
  <c r="I142" i="1"/>
  <c r="L142" i="1" s="1"/>
  <c r="M142" i="1" s="1"/>
  <c r="I143" i="1"/>
  <c r="L143" i="1" s="1"/>
  <c r="M143" i="1" s="1"/>
  <c r="I144" i="1"/>
  <c r="L144" i="1" s="1"/>
  <c r="M144" i="1" s="1"/>
  <c r="L145" i="1"/>
  <c r="M145" i="1" s="1"/>
  <c r="I146" i="1"/>
  <c r="L146" i="1" s="1"/>
  <c r="M146" i="1" s="1"/>
  <c r="J149" i="1"/>
  <c r="J147" i="1"/>
  <c r="I147" i="1"/>
  <c r="J152" i="1"/>
  <c r="J150" i="1"/>
  <c r="J155" i="1"/>
  <c r="J154" i="1"/>
  <c r="I148" i="1"/>
  <c r="L148" i="1" s="1"/>
  <c r="M148" i="1" s="1"/>
  <c r="I149" i="1"/>
  <c r="L149" i="1" s="1"/>
  <c r="M149" i="1" s="1"/>
  <c r="I150" i="1"/>
  <c r="I151" i="1"/>
  <c r="L151" i="1" s="1"/>
  <c r="M151" i="1" s="1"/>
  <c r="I152" i="1"/>
  <c r="L152" i="1" s="1"/>
  <c r="M152" i="1" s="1"/>
  <c r="I153" i="1"/>
  <c r="L153" i="1" s="1"/>
  <c r="M153" i="1" s="1"/>
  <c r="I154" i="1"/>
  <c r="I155" i="1"/>
  <c r="J156" i="1"/>
  <c r="I156" i="1"/>
  <c r="J157" i="1"/>
  <c r="J160" i="1"/>
  <c r="I157" i="1"/>
  <c r="I158" i="1"/>
  <c r="L158" i="1" s="1"/>
  <c r="M158" i="1" s="1"/>
  <c r="I159" i="1"/>
  <c r="L159" i="1" s="1"/>
  <c r="M159" i="1" s="1"/>
  <c r="I160" i="1"/>
  <c r="J161" i="1"/>
  <c r="I161" i="1"/>
  <c r="J163" i="1"/>
  <c r="J165" i="1"/>
  <c r="I162" i="1"/>
  <c r="I163" i="1"/>
  <c r="I164" i="1"/>
  <c r="L164" i="1" s="1"/>
  <c r="M164" i="1" s="1"/>
  <c r="I165" i="1"/>
  <c r="J166" i="1"/>
  <c r="J168" i="1"/>
  <c r="J169" i="1"/>
  <c r="J172" i="1"/>
  <c r="I166" i="1"/>
  <c r="I167" i="1"/>
  <c r="L167" i="1" s="1"/>
  <c r="M167" i="1" s="1"/>
  <c r="I168" i="1"/>
  <c r="I169" i="1"/>
  <c r="I170" i="1"/>
  <c r="L170" i="1" s="1"/>
  <c r="M170" i="1" s="1"/>
  <c r="I171" i="1"/>
  <c r="L171" i="1" s="1"/>
  <c r="M171" i="1" s="1"/>
  <c r="I172" i="1"/>
  <c r="J174" i="1"/>
  <c r="J175" i="1"/>
  <c r="J176" i="1"/>
  <c r="I173" i="1"/>
  <c r="L173" i="1" s="1"/>
  <c r="M173" i="1" s="1"/>
  <c r="I174" i="1"/>
  <c r="I175" i="1"/>
  <c r="I176" i="1"/>
  <c r="I177" i="1"/>
  <c r="L177" i="1" s="1"/>
  <c r="M177" i="1" s="1"/>
  <c r="I178" i="1"/>
  <c r="L178" i="1" s="1"/>
  <c r="M178" i="1" s="1"/>
  <c r="I179" i="1"/>
  <c r="J180" i="1"/>
  <c r="J183" i="1"/>
  <c r="J184" i="1"/>
  <c r="J185" i="1"/>
  <c r="J186" i="1"/>
  <c r="I180" i="1"/>
  <c r="I181" i="1"/>
  <c r="L181" i="1" s="1"/>
  <c r="M181" i="1" s="1"/>
  <c r="I182" i="1"/>
  <c r="L182" i="1" s="1"/>
  <c r="M182" i="1" s="1"/>
  <c r="I183" i="1"/>
  <c r="I184" i="1"/>
  <c r="I185" i="1"/>
  <c r="I186" i="1"/>
  <c r="J190" i="1"/>
  <c r="J192" i="1"/>
  <c r="I187" i="1"/>
  <c r="I188" i="1"/>
  <c r="L188" i="1" s="1"/>
  <c r="M188" i="1" s="1"/>
  <c r="I189" i="1"/>
  <c r="L189" i="1" s="1"/>
  <c r="M189" i="1" s="1"/>
  <c r="I190" i="1"/>
  <c r="I191" i="1"/>
  <c r="L191" i="1" s="1"/>
  <c r="M191" i="1" s="1"/>
  <c r="I192" i="1"/>
  <c r="J194" i="1"/>
  <c r="J195" i="1"/>
  <c r="J196" i="1"/>
  <c r="L196" i="1" s="1"/>
  <c r="M196" i="1" s="1"/>
  <c r="I193" i="1"/>
  <c r="I194" i="1"/>
  <c r="J199" i="1"/>
  <c r="J200" i="1"/>
  <c r="J201" i="1"/>
  <c r="I195" i="1"/>
  <c r="I196" i="1"/>
  <c r="I197" i="1"/>
  <c r="L197" i="1" s="1"/>
  <c r="M197" i="1" s="1"/>
  <c r="I198" i="1"/>
  <c r="L198" i="1" s="1"/>
  <c r="M198" i="1" s="1"/>
  <c r="I199" i="1"/>
  <c r="L199" i="1" s="1"/>
  <c r="M199" i="1" s="1"/>
  <c r="I200" i="1"/>
  <c r="I201" i="1"/>
  <c r="J202" i="1"/>
  <c r="J203" i="1"/>
  <c r="J204" i="1"/>
  <c r="J205" i="1"/>
  <c r="J206" i="1"/>
  <c r="J210" i="1"/>
  <c r="J211" i="1"/>
  <c r="J212" i="1"/>
  <c r="J213" i="1"/>
  <c r="J214" i="1"/>
  <c r="I202" i="1"/>
  <c r="I203" i="1"/>
  <c r="I204" i="1"/>
  <c r="I205" i="1"/>
  <c r="I206" i="1"/>
  <c r="I207" i="1"/>
  <c r="L207" i="1" s="1"/>
  <c r="M207" i="1" s="1"/>
  <c r="I208" i="1"/>
  <c r="L208" i="1" s="1"/>
  <c r="M208" i="1" s="1"/>
  <c r="I209" i="1"/>
  <c r="L209" i="1" s="1"/>
  <c r="M209" i="1" s="1"/>
  <c r="I210" i="1"/>
  <c r="I211" i="1"/>
  <c r="I212" i="1"/>
  <c r="I213" i="1"/>
  <c r="I214" i="1"/>
  <c r="I215" i="1"/>
  <c r="L215" i="1" s="1"/>
  <c r="M215" i="1" s="1"/>
  <c r="J221" i="1"/>
  <c r="I216" i="1"/>
  <c r="L216" i="1" s="1"/>
  <c r="M216" i="1" s="1"/>
  <c r="I217" i="1"/>
  <c r="L217" i="1" s="1"/>
  <c r="M217" i="1" s="1"/>
  <c r="J224" i="1"/>
  <c r="I218" i="1"/>
  <c r="L218" i="1" s="1"/>
  <c r="M218" i="1" s="1"/>
  <c r="I219" i="1"/>
  <c r="L219" i="1" s="1"/>
  <c r="M219" i="1" s="1"/>
  <c r="I220" i="1"/>
  <c r="L220" i="1" s="1"/>
  <c r="M220" i="1" s="1"/>
  <c r="I221" i="1"/>
  <c r="I222" i="1"/>
  <c r="L222" i="1" s="1"/>
  <c r="M222" i="1" s="1"/>
  <c r="I223" i="1"/>
  <c r="L223" i="1" s="1"/>
  <c r="M223" i="1" s="1"/>
  <c r="I224" i="1"/>
  <c r="I225" i="1"/>
  <c r="L225" i="1" s="1"/>
  <c r="M225" i="1" s="1"/>
  <c r="I226" i="1"/>
  <c r="L226" i="1" s="1"/>
  <c r="M226" i="1" s="1"/>
  <c r="J228" i="1"/>
  <c r="I227" i="1"/>
  <c r="L227" i="1" s="1"/>
  <c r="M227" i="1" s="1"/>
  <c r="I228" i="1"/>
  <c r="J231" i="1"/>
  <c r="J233" i="1"/>
  <c r="J234" i="1"/>
  <c r="J235" i="1"/>
  <c r="J236" i="1"/>
  <c r="I229" i="1"/>
  <c r="L229" i="1" s="1"/>
  <c r="M229" i="1" s="1"/>
  <c r="I230" i="1"/>
  <c r="L230" i="1" s="1"/>
  <c r="M230" i="1" s="1"/>
  <c r="I231" i="1"/>
  <c r="I232" i="1"/>
  <c r="L232" i="1" s="1"/>
  <c r="M232" i="1" s="1"/>
  <c r="I233" i="1"/>
  <c r="I234" i="1"/>
  <c r="L234" i="1" s="1"/>
  <c r="M234" i="1" s="1"/>
  <c r="I235" i="1"/>
  <c r="I236" i="1"/>
  <c r="J241" i="1"/>
  <c r="J242" i="1"/>
  <c r="J244" i="1"/>
  <c r="I237" i="1"/>
  <c r="L237" i="1" s="1"/>
  <c r="M237" i="1" s="1"/>
  <c r="I238" i="1"/>
  <c r="L238" i="1" s="1"/>
  <c r="M238" i="1" s="1"/>
  <c r="I239" i="1"/>
  <c r="L239" i="1" s="1"/>
  <c r="M239" i="1" s="1"/>
  <c r="I240" i="1"/>
  <c r="L240" i="1" s="1"/>
  <c r="M240" i="1" s="1"/>
  <c r="I241" i="1"/>
  <c r="I242" i="1"/>
  <c r="I243" i="1"/>
  <c r="L243" i="1" s="1"/>
  <c r="M243" i="1" s="1"/>
  <c r="I244" i="1"/>
  <c r="I245" i="1"/>
  <c r="L245" i="1" s="1"/>
  <c r="M245" i="1" s="1"/>
  <c r="J247" i="1"/>
  <c r="J251" i="1"/>
  <c r="J250" i="1"/>
  <c r="I246" i="1"/>
  <c r="L246" i="1" s="1"/>
  <c r="M246" i="1" s="1"/>
  <c r="I247" i="1"/>
  <c r="I248" i="1"/>
  <c r="L248" i="1" s="1"/>
  <c r="M248" i="1" s="1"/>
  <c r="I250" i="1"/>
  <c r="L250" i="1" s="1"/>
  <c r="M250" i="1" s="1"/>
  <c r="I249" i="1"/>
  <c r="L249" i="1" s="1"/>
  <c r="M249" i="1" s="1"/>
  <c r="I251" i="1"/>
  <c r="J254" i="1"/>
  <c r="J255" i="1"/>
  <c r="J257" i="1"/>
  <c r="I252" i="1"/>
  <c r="L252" i="1" s="1"/>
  <c r="M252" i="1" s="1"/>
  <c r="I253" i="1"/>
  <c r="L253" i="1" s="1"/>
  <c r="M253" i="1" s="1"/>
  <c r="I254" i="1"/>
  <c r="I255" i="1"/>
  <c r="I256" i="1"/>
  <c r="L256" i="1" s="1"/>
  <c r="M256" i="1" s="1"/>
  <c r="I257" i="1"/>
  <c r="I258" i="1"/>
  <c r="L258" i="1" s="1"/>
  <c r="M258" i="1" s="1"/>
  <c r="I259" i="1"/>
  <c r="L259" i="1" s="1"/>
  <c r="M259" i="1" s="1"/>
  <c r="J263" i="1"/>
  <c r="J264" i="1"/>
  <c r="J265" i="1"/>
  <c r="J267" i="1"/>
  <c r="J269" i="1"/>
  <c r="J270" i="1"/>
  <c r="I260" i="1"/>
  <c r="I261" i="1"/>
  <c r="I262" i="1"/>
  <c r="L262" i="1" s="1"/>
  <c r="M262" i="1" s="1"/>
  <c r="I263" i="1"/>
  <c r="I264" i="1"/>
  <c r="I265" i="1"/>
  <c r="I266" i="1"/>
  <c r="L266" i="1" s="1"/>
  <c r="M266" i="1" s="1"/>
  <c r="I267" i="1"/>
  <c r="I268" i="1"/>
  <c r="L268" i="1" s="1"/>
  <c r="M268" i="1" s="1"/>
  <c r="I269" i="1"/>
  <c r="I270" i="1"/>
  <c r="I271" i="1"/>
  <c r="I272" i="1"/>
  <c r="J273" i="1"/>
  <c r="J274" i="1"/>
  <c r="J280" i="1"/>
  <c r="I273" i="1"/>
  <c r="I274" i="1"/>
  <c r="I275" i="1"/>
  <c r="L275" i="1" s="1"/>
  <c r="M275" i="1" s="1"/>
  <c r="I276" i="1"/>
  <c r="L276" i="1" s="1"/>
  <c r="M276" i="1" s="1"/>
  <c r="I277" i="1"/>
  <c r="L277" i="1" s="1"/>
  <c r="M277" i="1" s="1"/>
  <c r="I278" i="1"/>
  <c r="L278" i="1" s="1"/>
  <c r="M278" i="1" s="1"/>
  <c r="P278" i="1" s="1"/>
  <c r="Q278" i="1" s="1"/>
  <c r="I279" i="1"/>
  <c r="L279" i="1" s="1"/>
  <c r="M279" i="1" s="1"/>
  <c r="P279" i="1" s="1"/>
  <c r="Q279" i="1" s="1"/>
  <c r="I280" i="1"/>
  <c r="I281" i="1"/>
  <c r="L281" i="1" s="1"/>
  <c r="M281" i="1" s="1"/>
  <c r="P281" i="1" s="1"/>
  <c r="Q281" i="1" s="1"/>
  <c r="I282" i="1"/>
  <c r="L282" i="1" s="1"/>
  <c r="M282" i="1" s="1"/>
  <c r="I283" i="1"/>
  <c r="L283" i="1" s="1"/>
  <c r="M283" i="1" s="1"/>
  <c r="I284" i="1"/>
  <c r="L284" i="1" s="1"/>
  <c r="M284" i="1" s="1"/>
  <c r="I285" i="1"/>
  <c r="J286" i="1"/>
  <c r="J295" i="1"/>
  <c r="J291" i="1"/>
  <c r="J288" i="1"/>
  <c r="I286" i="1"/>
  <c r="I287" i="1"/>
  <c r="I288" i="1"/>
  <c r="I289" i="1"/>
  <c r="I290" i="1"/>
  <c r="L290" i="1" s="1"/>
  <c r="M290" i="1" s="1"/>
  <c r="I291" i="1"/>
  <c r="I292" i="1"/>
  <c r="L292" i="1" s="1"/>
  <c r="M292" i="1" s="1"/>
  <c r="I293" i="1"/>
  <c r="L293" i="1" s="1"/>
  <c r="M293" i="1" s="1"/>
  <c r="I294" i="1"/>
  <c r="J296" i="1"/>
  <c r="J302" i="1"/>
  <c r="J301" i="1"/>
  <c r="J297" i="1"/>
  <c r="I295" i="1"/>
  <c r="I296" i="1"/>
  <c r="I297" i="1"/>
  <c r="I298" i="1"/>
  <c r="L298" i="1" s="1"/>
  <c r="M298" i="1" s="1"/>
  <c r="I299" i="1"/>
  <c r="I300" i="1"/>
  <c r="L300" i="1" s="1"/>
  <c r="M300" i="1" s="1"/>
  <c r="I301" i="1"/>
  <c r="I302" i="1"/>
  <c r="I303" i="1"/>
  <c r="L303" i="1" s="1"/>
  <c r="M303" i="1" s="1"/>
  <c r="I304" i="1"/>
  <c r="L304" i="1" s="1"/>
  <c r="M304" i="1" s="1"/>
  <c r="I305" i="1"/>
  <c r="J305" i="1"/>
  <c r="I306" i="1"/>
  <c r="L306" i="1" s="1"/>
  <c r="M306" i="1" s="1"/>
  <c r="I307" i="1"/>
  <c r="J307" i="1"/>
  <c r="J309" i="1"/>
  <c r="I308" i="1"/>
  <c r="L308" i="1" s="1"/>
  <c r="M308" i="1" s="1"/>
  <c r="I309" i="1"/>
  <c r="J311" i="1"/>
  <c r="I310" i="1"/>
  <c r="L310" i="1" s="1"/>
  <c r="M310" i="1" s="1"/>
  <c r="I311" i="1"/>
  <c r="I312" i="1"/>
  <c r="L312" i="1" s="1"/>
  <c r="M312" i="1" s="1"/>
  <c r="J314" i="1"/>
  <c r="J315" i="1"/>
  <c r="J316" i="1"/>
  <c r="J317" i="1"/>
  <c r="I313" i="1"/>
  <c r="L313" i="1" s="1"/>
  <c r="M313" i="1" s="1"/>
  <c r="I314" i="1"/>
  <c r="I315" i="1"/>
  <c r="I316" i="1"/>
  <c r="I317" i="1"/>
  <c r="J318" i="1"/>
  <c r="I318" i="1"/>
  <c r="I319" i="1"/>
  <c r="L319" i="1" s="1"/>
  <c r="M319" i="1" s="1"/>
  <c r="J320" i="1"/>
  <c r="I320" i="1"/>
  <c r="J321" i="1"/>
  <c r="I321" i="1"/>
  <c r="I322" i="1"/>
  <c r="L322" i="1" s="1"/>
  <c r="M322" i="1" s="1"/>
  <c r="J324" i="1"/>
  <c r="J326" i="1"/>
  <c r="J327" i="1"/>
  <c r="I323" i="1"/>
  <c r="L323" i="1" s="1"/>
  <c r="M323" i="1" s="1"/>
  <c r="I324" i="1"/>
  <c r="L324" i="1" s="1"/>
  <c r="M324" i="1" s="1"/>
  <c r="I325" i="1"/>
  <c r="L325" i="1" s="1"/>
  <c r="M325" i="1" s="1"/>
  <c r="I326" i="1"/>
  <c r="J329" i="1"/>
  <c r="J331" i="1"/>
  <c r="J332" i="1"/>
  <c r="J333" i="1"/>
  <c r="I327" i="1"/>
  <c r="I328" i="1"/>
  <c r="L328" i="1" s="1"/>
  <c r="M328" i="1" s="1"/>
  <c r="I329" i="1"/>
  <c r="I330" i="1"/>
  <c r="L330" i="1" s="1"/>
  <c r="M330" i="1" s="1"/>
  <c r="I331" i="1"/>
  <c r="I332" i="1"/>
  <c r="I333" i="1"/>
  <c r="I334" i="1"/>
  <c r="L334" i="1" s="1"/>
  <c r="M334" i="1" s="1"/>
  <c r="I453" i="1"/>
  <c r="I335" i="1"/>
  <c r="L335" i="1" s="1"/>
  <c r="M335" i="1" s="1"/>
  <c r="I336" i="1"/>
  <c r="J337" i="1"/>
  <c r="J339" i="1"/>
  <c r="I337" i="1"/>
  <c r="I338" i="1"/>
  <c r="L338" i="1" s="1"/>
  <c r="M338" i="1" s="1"/>
  <c r="I339" i="1"/>
  <c r="I340" i="1"/>
  <c r="L340" i="1" s="1"/>
  <c r="M340" i="1" s="1"/>
  <c r="I341" i="1"/>
  <c r="L341" i="1" s="1"/>
  <c r="M341" i="1" s="1"/>
  <c r="I342" i="1"/>
  <c r="L342" i="1" s="1"/>
  <c r="M342" i="1" s="1"/>
  <c r="J345" i="1"/>
  <c r="J348" i="1"/>
  <c r="I343" i="1"/>
  <c r="L343" i="1" s="1"/>
  <c r="M343" i="1" s="1"/>
  <c r="I344" i="1"/>
  <c r="L344" i="1" s="1"/>
  <c r="M344" i="1" s="1"/>
  <c r="I345" i="1"/>
  <c r="I346" i="1"/>
  <c r="L346" i="1" s="1"/>
  <c r="M346" i="1" s="1"/>
  <c r="I347" i="1"/>
  <c r="L347" i="1" s="1"/>
  <c r="M347" i="1" s="1"/>
  <c r="I348" i="1"/>
  <c r="I349" i="1"/>
  <c r="L349" i="1" s="1"/>
  <c r="M349" i="1" s="1"/>
  <c r="J355" i="1"/>
  <c r="I350" i="1"/>
  <c r="L350" i="1" s="1"/>
  <c r="M350" i="1" s="1"/>
  <c r="J351" i="1"/>
  <c r="J353" i="1"/>
  <c r="J354" i="1"/>
  <c r="J356" i="1"/>
  <c r="J358" i="1"/>
  <c r="I351" i="1"/>
  <c r="I352" i="1"/>
  <c r="L352" i="1" s="1"/>
  <c r="M352" i="1" s="1"/>
  <c r="I353" i="1"/>
  <c r="I354" i="1"/>
  <c r="I355" i="1"/>
  <c r="I356" i="1"/>
  <c r="I357" i="1"/>
  <c r="L357" i="1" s="1"/>
  <c r="M357" i="1" s="1"/>
  <c r="I358" i="1"/>
  <c r="I359" i="1"/>
  <c r="L359" i="1" s="1"/>
  <c r="M359" i="1" s="1"/>
  <c r="I360" i="1"/>
  <c r="I21" i="4"/>
  <c r="H21" i="4"/>
  <c r="K20" i="4"/>
  <c r="K21" i="4"/>
  <c r="K22" i="4"/>
  <c r="H22" i="4"/>
  <c r="J365" i="1"/>
  <c r="I361" i="1"/>
  <c r="L361" i="1" s="1"/>
  <c r="M361" i="1" s="1"/>
  <c r="I362" i="1"/>
  <c r="L362" i="1" s="1"/>
  <c r="M362" i="1" s="1"/>
  <c r="I363" i="1"/>
  <c r="L363" i="1" s="1"/>
  <c r="M363" i="1" s="1"/>
  <c r="I364" i="1"/>
  <c r="L364" i="1" s="1"/>
  <c r="M364" i="1" s="1"/>
  <c r="I365" i="1"/>
  <c r="I366" i="1"/>
  <c r="L366" i="1" s="1"/>
  <c r="M366" i="1" s="1"/>
  <c r="H24" i="4"/>
  <c r="H25" i="4"/>
  <c r="H26" i="4"/>
  <c r="H27" i="4"/>
  <c r="H28" i="4"/>
  <c r="K23" i="4"/>
  <c r="H23" i="4"/>
  <c r="K24" i="4"/>
  <c r="K25" i="4"/>
  <c r="K27" i="4"/>
  <c r="K28" i="4"/>
  <c r="J371" i="1"/>
  <c r="I367" i="1"/>
  <c r="L367" i="1" s="1"/>
  <c r="M367" i="1" s="1"/>
  <c r="I368" i="1"/>
  <c r="L368" i="1" s="1"/>
  <c r="M368" i="1" s="1"/>
  <c r="I369" i="1"/>
  <c r="L369" i="1" s="1"/>
  <c r="M369" i="1" s="1"/>
  <c r="I370" i="1"/>
  <c r="L370" i="1" s="1"/>
  <c r="M370" i="1" s="1"/>
  <c r="I371" i="1"/>
  <c r="I372" i="1"/>
  <c r="L372" i="1" s="1"/>
  <c r="M372" i="1" s="1"/>
  <c r="I373" i="1"/>
  <c r="L373" i="1" s="1"/>
  <c r="M373" i="1" s="1"/>
  <c r="I374" i="1"/>
  <c r="L374" i="1" s="1"/>
  <c r="M374" i="1" s="1"/>
  <c r="I29" i="4"/>
  <c r="H29" i="4"/>
  <c r="I30" i="4"/>
  <c r="H30" i="4"/>
  <c r="H31" i="4"/>
  <c r="H32" i="4"/>
  <c r="H33" i="4"/>
  <c r="H34" i="4"/>
  <c r="K29" i="4"/>
  <c r="K30" i="4"/>
  <c r="K31" i="4"/>
  <c r="K32" i="4"/>
  <c r="K33" i="4"/>
  <c r="J377" i="1"/>
  <c r="J378" i="1"/>
  <c r="I378" i="1"/>
  <c r="I375" i="1"/>
  <c r="L375" i="1" s="1"/>
  <c r="M375" i="1" s="1"/>
  <c r="I376" i="1"/>
  <c r="I377" i="1"/>
  <c r="J379" i="1"/>
  <c r="I379" i="1"/>
  <c r="I380" i="1"/>
  <c r="L380" i="1" s="1"/>
  <c r="M380" i="1" s="1"/>
  <c r="I381" i="1"/>
  <c r="L381" i="1" s="1"/>
  <c r="M381" i="1" s="1"/>
  <c r="I382" i="1"/>
  <c r="L382" i="1" s="1"/>
  <c r="M382" i="1" s="1"/>
  <c r="I383" i="1"/>
  <c r="L383" i="1" s="1"/>
  <c r="M383" i="1" s="1"/>
  <c r="I384" i="1"/>
  <c r="L384" i="1" s="1"/>
  <c r="M384" i="1" s="1"/>
  <c r="I385" i="1"/>
  <c r="L385" i="1" s="1"/>
  <c r="M385" i="1" s="1"/>
  <c r="H35" i="4"/>
  <c r="H36" i="4"/>
  <c r="H37" i="4"/>
  <c r="H38" i="4"/>
  <c r="H39" i="4"/>
  <c r="I40" i="4"/>
  <c r="H40" i="4"/>
  <c r="I41" i="4"/>
  <c r="K35" i="4"/>
  <c r="K36" i="4"/>
  <c r="K37" i="4"/>
  <c r="K38" i="4"/>
  <c r="K39" i="4"/>
  <c r="K40" i="4"/>
  <c r="K41" i="4"/>
  <c r="H41" i="4"/>
  <c r="I386" i="1"/>
  <c r="L386" i="1" s="1"/>
  <c r="M386" i="1" s="1"/>
  <c r="I387" i="1"/>
  <c r="L387" i="1" s="1"/>
  <c r="M387" i="1" s="1"/>
  <c r="I388" i="1"/>
  <c r="L388" i="1" s="1"/>
  <c r="M388" i="1" s="1"/>
  <c r="J390" i="1"/>
  <c r="J391" i="1"/>
  <c r="J393" i="1"/>
  <c r="I389" i="1"/>
  <c r="L389" i="1" s="1"/>
  <c r="M389" i="1" s="1"/>
  <c r="I390" i="1"/>
  <c r="L390" i="1" s="1"/>
  <c r="M390" i="1" s="1"/>
  <c r="I391" i="1"/>
  <c r="J394" i="1"/>
  <c r="H42" i="4"/>
  <c r="K42" i="4" s="1"/>
  <c r="H43" i="4"/>
  <c r="J43" i="4" s="1"/>
  <c r="K43" i="4" s="1"/>
  <c r="H44" i="4"/>
  <c r="J44" i="4" s="1"/>
  <c r="K44" i="4" s="1"/>
  <c r="H45" i="4"/>
  <c r="I45" i="4"/>
  <c r="H46" i="4"/>
  <c r="J46" i="4" s="1"/>
  <c r="K46" i="4" s="1"/>
  <c r="J397" i="1"/>
  <c r="I392" i="1"/>
  <c r="L392" i="1" s="1"/>
  <c r="M392" i="1" s="1"/>
  <c r="I393" i="1"/>
  <c r="I394" i="1"/>
  <c r="I395" i="1"/>
  <c r="L395" i="1" s="1"/>
  <c r="M395" i="1" s="1"/>
  <c r="I396" i="1"/>
  <c r="L396" i="1" s="1"/>
  <c r="M396" i="1" s="1"/>
  <c r="J399" i="1"/>
  <c r="I397" i="1"/>
  <c r="I398" i="1"/>
  <c r="L398" i="1" s="1"/>
  <c r="M398" i="1" s="1"/>
  <c r="I399" i="1"/>
  <c r="I400" i="1"/>
  <c r="L400" i="1" s="1"/>
  <c r="M400" i="1" s="1"/>
  <c r="I401" i="1"/>
  <c r="L401" i="1" s="1"/>
  <c r="M401" i="1" s="1"/>
  <c r="H49" i="4"/>
  <c r="J49" i="4" s="1"/>
  <c r="K49" i="4" s="1"/>
  <c r="H50" i="4"/>
  <c r="J50" i="4" s="1"/>
  <c r="K50" i="4" s="1"/>
  <c r="K47" i="4"/>
  <c r="H47" i="4"/>
  <c r="I48" i="4"/>
  <c r="H48" i="4"/>
  <c r="I51" i="4"/>
  <c r="H51" i="4"/>
  <c r="I52" i="4"/>
  <c r="H52" i="4"/>
  <c r="H53" i="4"/>
  <c r="J53" i="4" s="1"/>
  <c r="K53" i="4" s="1"/>
  <c r="I402" i="1"/>
  <c r="L402" i="1" s="1"/>
  <c r="M402" i="1" s="1"/>
  <c r="I403" i="1"/>
  <c r="L403" i="1" s="1"/>
  <c r="M403" i="1" s="1"/>
  <c r="J405" i="1"/>
  <c r="J406" i="1"/>
  <c r="I404" i="1"/>
  <c r="L404" i="1" s="1"/>
  <c r="M404" i="1" s="1"/>
  <c r="I405" i="1"/>
  <c r="I406" i="1"/>
  <c r="J407" i="1"/>
  <c r="I407" i="1"/>
  <c r="I408" i="1"/>
  <c r="L408" i="1" s="1"/>
  <c r="M408" i="1" s="1"/>
  <c r="J409" i="1"/>
  <c r="H55" i="4"/>
  <c r="J55" i="4" s="1"/>
  <c r="K55" i="4" s="1"/>
  <c r="H54" i="4"/>
  <c r="J54" i="4" s="1"/>
  <c r="K54" i="4" s="1"/>
  <c r="H56" i="4"/>
  <c r="J56" i="4" s="1"/>
  <c r="K56" i="4" s="1"/>
  <c r="H57" i="4"/>
  <c r="J57" i="4" s="1"/>
  <c r="K57" i="4" s="1"/>
  <c r="H58" i="4"/>
  <c r="J58" i="4" s="1"/>
  <c r="K58" i="4" s="1"/>
  <c r="H59" i="4"/>
  <c r="J59" i="4" s="1"/>
  <c r="K59" i="4" s="1"/>
  <c r="H60" i="4"/>
  <c r="J60" i="4" s="1"/>
  <c r="K60" i="4" s="1"/>
  <c r="I409" i="1"/>
  <c r="I410" i="1"/>
  <c r="L410" i="1" s="1"/>
  <c r="M410" i="1" s="1"/>
  <c r="I411" i="1"/>
  <c r="I412" i="1"/>
  <c r="L412" i="1" s="1"/>
  <c r="M412" i="1" s="1"/>
  <c r="I413" i="1"/>
  <c r="J414" i="1"/>
  <c r="H61" i="4"/>
  <c r="H62" i="4"/>
  <c r="J62" i="4" s="1"/>
  <c r="K62" i="4" s="1"/>
  <c r="H63" i="4"/>
  <c r="J63" i="4" s="1"/>
  <c r="K63" i="4" s="1"/>
  <c r="H64" i="4"/>
  <c r="J64" i="4" s="1"/>
  <c r="K64" i="4" s="1"/>
  <c r="J61" i="4"/>
  <c r="K61" i="4" s="1"/>
  <c r="I414" i="1"/>
  <c r="I415" i="1"/>
  <c r="L415" i="1" s="1"/>
  <c r="M415" i="1" s="1"/>
  <c r="I416" i="1"/>
  <c r="L416" i="1" s="1"/>
  <c r="M416" i="1" s="1"/>
  <c r="I417" i="1"/>
  <c r="L417" i="1" s="1"/>
  <c r="M417" i="1" s="1"/>
  <c r="I418" i="1"/>
  <c r="L418" i="1" s="1"/>
  <c r="M418" i="1" s="1"/>
  <c r="I419" i="1"/>
  <c r="L419" i="1" s="1"/>
  <c r="M419" i="1" s="1"/>
  <c r="I420" i="1"/>
  <c r="L420" i="1" s="1"/>
  <c r="M420" i="1" s="1"/>
  <c r="I421" i="1"/>
  <c r="L421" i="1" s="1"/>
  <c r="M421" i="1" s="1"/>
  <c r="I422" i="1"/>
  <c r="L422" i="1" s="1"/>
  <c r="M422" i="1" s="1"/>
  <c r="H65" i="4"/>
  <c r="J65" i="4" s="1"/>
  <c r="K65" i="4" s="1"/>
  <c r="I423" i="1"/>
  <c r="L423" i="1" s="1"/>
  <c r="M423" i="1" s="1"/>
  <c r="J424" i="1"/>
  <c r="I424" i="1"/>
  <c r="I66" i="4"/>
  <c r="H66" i="4"/>
  <c r="J425" i="1"/>
  <c r="J427" i="1"/>
  <c r="H67" i="4"/>
  <c r="J67" i="4" s="1"/>
  <c r="K67" i="4" s="1"/>
  <c r="H68" i="4"/>
  <c r="J68" i="4" s="1"/>
  <c r="K68" i="4" s="1"/>
  <c r="I425" i="1"/>
  <c r="I426" i="1"/>
  <c r="L426" i="1" s="1"/>
  <c r="M426" i="1" s="1"/>
  <c r="I427" i="1"/>
  <c r="I428" i="1"/>
  <c r="L428" i="1" s="1"/>
  <c r="M428" i="1" s="1"/>
  <c r="I429" i="1"/>
  <c r="L429" i="1" s="1"/>
  <c r="M429" i="1" s="1"/>
  <c r="I430" i="1"/>
  <c r="L430" i="1" s="1"/>
  <c r="M430" i="1" s="1"/>
  <c r="I431" i="1"/>
  <c r="L431" i="1" s="1"/>
  <c r="M431" i="1" s="1"/>
  <c r="I432" i="1"/>
  <c r="L432" i="1" s="1"/>
  <c r="M432" i="1" s="1"/>
  <c r="I433" i="1"/>
  <c r="L433" i="1" s="1"/>
  <c r="M433" i="1" s="1"/>
  <c r="I434" i="1"/>
  <c r="L434" i="1" s="1"/>
  <c r="M434" i="1" s="1"/>
  <c r="I435" i="1"/>
  <c r="L435" i="1" s="1"/>
  <c r="M435" i="1" s="1"/>
  <c r="H69" i="4"/>
  <c r="J69" i="4" s="1"/>
  <c r="K69" i="4" s="1"/>
  <c r="J437" i="1"/>
  <c r="J440" i="1"/>
  <c r="I436" i="1"/>
  <c r="L436" i="1" s="1"/>
  <c r="M436" i="1" s="1"/>
  <c r="I437" i="1"/>
  <c r="I438" i="1"/>
  <c r="L438" i="1" s="1"/>
  <c r="M438" i="1" s="1"/>
  <c r="I439" i="1"/>
  <c r="L439" i="1" s="1"/>
  <c r="M439" i="1" s="1"/>
  <c r="I440" i="1"/>
  <c r="I441" i="1"/>
  <c r="L441" i="1" s="1"/>
  <c r="M441" i="1" s="1"/>
  <c r="I442" i="1"/>
  <c r="L442" i="1" s="1"/>
  <c r="M442" i="1" s="1"/>
  <c r="I443" i="1"/>
  <c r="L443" i="1" s="1"/>
  <c r="M443" i="1" s="1"/>
  <c r="J445" i="1"/>
  <c r="J448" i="1"/>
  <c r="J449" i="1"/>
  <c r="J450" i="1"/>
  <c r="J451" i="1"/>
  <c r="J452" i="1"/>
  <c r="I444" i="1"/>
  <c r="I445" i="1"/>
  <c r="I446" i="1"/>
  <c r="I447" i="1"/>
  <c r="I448" i="1"/>
  <c r="I449" i="1"/>
  <c r="I450" i="1"/>
  <c r="I451" i="1"/>
  <c r="I452" i="1"/>
  <c r="I454" i="1"/>
  <c r="J454" i="1"/>
  <c r="I455" i="1"/>
  <c r="L455" i="1" s="1"/>
  <c r="M455" i="1" s="1"/>
  <c r="J462" i="1"/>
  <c r="I71" i="4"/>
  <c r="H71" i="4"/>
  <c r="H70" i="4"/>
  <c r="J70" i="4" s="1"/>
  <c r="K70" i="4" s="1"/>
  <c r="I456" i="1"/>
  <c r="L456" i="1" s="1"/>
  <c r="M456" i="1" s="1"/>
  <c r="I457" i="1"/>
  <c r="L457" i="1" s="1"/>
  <c r="M457" i="1" s="1"/>
  <c r="I458" i="1"/>
  <c r="L458" i="1" s="1"/>
  <c r="M458" i="1" s="1"/>
  <c r="I459" i="1"/>
  <c r="L459" i="1" s="1"/>
  <c r="M459" i="1" s="1"/>
  <c r="I460" i="1"/>
  <c r="L460" i="1" s="1"/>
  <c r="M460" i="1" s="1"/>
  <c r="I461" i="1"/>
  <c r="I462" i="1"/>
  <c r="I463" i="1"/>
  <c r="L463" i="1" s="1"/>
  <c r="M463" i="1" s="1"/>
  <c r="I464" i="1"/>
  <c r="L464" i="1" s="1"/>
  <c r="M464" i="1" s="1"/>
  <c r="I465" i="1"/>
  <c r="L465" i="1" s="1"/>
  <c r="M465" i="1" s="1"/>
  <c r="I466" i="1"/>
  <c r="L466" i="1" s="1"/>
  <c r="M466" i="1" s="1"/>
  <c r="J469" i="1"/>
  <c r="J471" i="1"/>
  <c r="I467" i="1"/>
  <c r="L467" i="1" s="1"/>
  <c r="M467" i="1" s="1"/>
  <c r="I468" i="1"/>
  <c r="L468" i="1" s="1"/>
  <c r="M468" i="1" s="1"/>
  <c r="I469" i="1"/>
  <c r="L469" i="1" s="1"/>
  <c r="M469" i="1" s="1"/>
  <c r="I470" i="1"/>
  <c r="L470" i="1" s="1"/>
  <c r="M470" i="1" s="1"/>
  <c r="I471" i="1"/>
  <c r="I472" i="1"/>
  <c r="L472" i="1" s="1"/>
  <c r="M472" i="1" s="1"/>
  <c r="I473" i="1"/>
  <c r="L473" i="1" s="1"/>
  <c r="M473" i="1" s="1"/>
  <c r="H72" i="4"/>
  <c r="J72" i="4" s="1"/>
  <c r="K72" i="4" s="1"/>
  <c r="I474" i="1"/>
  <c r="L474" i="1" s="1"/>
  <c r="M474" i="1" s="1"/>
  <c r="J475" i="1"/>
  <c r="J479" i="1"/>
  <c r="J480" i="1"/>
  <c r="J481" i="1"/>
  <c r="I475" i="1"/>
  <c r="L475" i="1" s="1"/>
  <c r="M475" i="1" s="1"/>
  <c r="I476" i="1"/>
  <c r="L476" i="1" s="1"/>
  <c r="M476" i="1" s="1"/>
  <c r="I477" i="1"/>
  <c r="L477" i="1" s="1"/>
  <c r="M477" i="1" s="1"/>
  <c r="I478" i="1"/>
  <c r="L478" i="1" s="1"/>
  <c r="M478" i="1" s="1"/>
  <c r="I479" i="1"/>
  <c r="I480" i="1"/>
  <c r="I481" i="1"/>
  <c r="I482" i="1"/>
  <c r="L482" i="1" s="1"/>
  <c r="M482" i="1" s="1"/>
  <c r="J484" i="1"/>
  <c r="J483" i="1"/>
  <c r="I483" i="1"/>
  <c r="I484" i="1"/>
  <c r="I485" i="1"/>
  <c r="L485" i="1" s="1"/>
  <c r="M485" i="1" s="1"/>
  <c r="I486" i="1"/>
  <c r="L486" i="1" s="1"/>
  <c r="M486" i="1" s="1"/>
  <c r="I487" i="1"/>
  <c r="L487" i="1" s="1"/>
  <c r="M487" i="1" s="1"/>
  <c r="I488" i="1"/>
  <c r="L488" i="1" s="1"/>
  <c r="M488" i="1" s="1"/>
  <c r="I489" i="1"/>
  <c r="L489" i="1" s="1"/>
  <c r="M489" i="1" s="1"/>
  <c r="I490" i="1"/>
  <c r="L490" i="1" s="1"/>
  <c r="M490" i="1" s="1"/>
  <c r="I491" i="1"/>
  <c r="I73" i="4"/>
  <c r="H73" i="4"/>
  <c r="J492" i="1"/>
  <c r="I492" i="1"/>
  <c r="I493" i="1"/>
  <c r="L493" i="1" s="1"/>
  <c r="M493" i="1" s="1"/>
  <c r="I494" i="1"/>
  <c r="L494" i="1" s="1"/>
  <c r="M494" i="1" s="1"/>
  <c r="I495" i="1"/>
  <c r="L495" i="1" s="1"/>
  <c r="M495" i="1" s="1"/>
  <c r="I496" i="1"/>
  <c r="L496" i="1" s="1"/>
  <c r="M496" i="1" s="1"/>
  <c r="J498" i="1"/>
  <c r="J499" i="1"/>
  <c r="J501" i="1"/>
  <c r="I497" i="1"/>
  <c r="L497" i="1" s="1"/>
  <c r="M497" i="1" s="1"/>
  <c r="I498" i="1"/>
  <c r="L498" i="1" s="1"/>
  <c r="M498" i="1" s="1"/>
  <c r="I499" i="1"/>
  <c r="L499" i="1" s="1"/>
  <c r="M499" i="1" s="1"/>
  <c r="I500" i="1"/>
  <c r="L500" i="1" s="1"/>
  <c r="M500" i="1" s="1"/>
  <c r="H74" i="4"/>
  <c r="J74" i="4" s="1"/>
  <c r="K74" i="4" s="1"/>
  <c r="I501" i="1"/>
  <c r="I502" i="1"/>
  <c r="L502" i="1" s="1"/>
  <c r="M502" i="1" s="1"/>
  <c r="I503" i="1"/>
  <c r="L503" i="1" s="1"/>
  <c r="M503" i="1" s="1"/>
  <c r="I504" i="1"/>
  <c r="L504" i="1" s="1"/>
  <c r="M504" i="1" s="1"/>
  <c r="I505" i="1"/>
  <c r="L505" i="1" s="1"/>
  <c r="M505" i="1" s="1"/>
  <c r="I506" i="1"/>
  <c r="L506" i="1" s="1"/>
  <c r="M506" i="1" s="1"/>
  <c r="I507" i="1"/>
  <c r="L507" i="1" s="1"/>
  <c r="M507" i="1" s="1"/>
  <c r="J510" i="1"/>
  <c r="J511" i="1"/>
  <c r="J512" i="1"/>
  <c r="I75" i="4"/>
  <c r="H75" i="4"/>
  <c r="J513" i="1"/>
  <c r="I508" i="1"/>
  <c r="I509" i="1"/>
  <c r="L509" i="1" s="1"/>
  <c r="M509" i="1" s="1"/>
  <c r="I510" i="1"/>
  <c r="I511" i="1"/>
  <c r="I512" i="1"/>
  <c r="I513" i="1"/>
  <c r="I76" i="4"/>
  <c r="H76" i="4"/>
  <c r="J514" i="1"/>
  <c r="J515" i="1"/>
  <c r="J519" i="1"/>
  <c r="I514" i="1"/>
  <c r="I515" i="1"/>
  <c r="I516" i="1"/>
  <c r="L516" i="1" s="1"/>
  <c r="M516" i="1" s="1"/>
  <c r="I517" i="1"/>
  <c r="L517" i="1" s="1"/>
  <c r="M517" i="1" s="1"/>
  <c r="I518" i="1"/>
  <c r="L518" i="1" s="1"/>
  <c r="M518" i="1" s="1"/>
  <c r="I519" i="1"/>
  <c r="I520" i="1"/>
  <c r="L520" i="1" s="1"/>
  <c r="M520" i="1" s="1"/>
  <c r="J522" i="1"/>
  <c r="J523" i="1"/>
  <c r="I521" i="1"/>
  <c r="L521" i="1" s="1"/>
  <c r="M521" i="1" s="1"/>
  <c r="I522" i="1"/>
  <c r="I523" i="1"/>
  <c r="I524" i="1"/>
  <c r="L524" i="1" s="1"/>
  <c r="M524" i="1" s="1"/>
  <c r="I525" i="1"/>
  <c r="L525" i="1" s="1"/>
  <c r="M525" i="1" s="1"/>
  <c r="J527" i="1"/>
  <c r="I526" i="1"/>
  <c r="L526" i="1" s="1"/>
  <c r="M526" i="1" s="1"/>
  <c r="I527" i="1"/>
  <c r="I528" i="1"/>
  <c r="L528" i="1" s="1"/>
  <c r="M528" i="1" s="1"/>
  <c r="I529" i="1"/>
  <c r="L529" i="1" s="1"/>
  <c r="M529" i="1" s="1"/>
  <c r="I530" i="1"/>
  <c r="L530" i="1" s="1"/>
  <c r="M530" i="1" s="1"/>
  <c r="I531" i="1"/>
  <c r="L531" i="1" s="1"/>
  <c r="M531" i="1" s="1"/>
  <c r="J536" i="1"/>
  <c r="I532" i="1"/>
  <c r="L532" i="1" s="1"/>
  <c r="M532" i="1" s="1"/>
  <c r="I533" i="1"/>
  <c r="L533" i="1" s="1"/>
  <c r="M533" i="1" s="1"/>
  <c r="I534" i="1"/>
  <c r="L534" i="1" s="1"/>
  <c r="M534" i="1" s="1"/>
  <c r="I535" i="1"/>
  <c r="L535" i="1" s="1"/>
  <c r="M535" i="1" s="1"/>
  <c r="I536" i="1"/>
  <c r="I537" i="1"/>
  <c r="L537" i="1" s="1"/>
  <c r="M537" i="1" s="1"/>
  <c r="H77" i="4"/>
  <c r="J77" i="4" s="1"/>
  <c r="K77" i="4" s="1"/>
  <c r="H78" i="4"/>
  <c r="J78" i="4" s="1"/>
  <c r="K78" i="4" s="1"/>
  <c r="I539" i="1"/>
  <c r="L539" i="1" s="1"/>
  <c r="M539" i="1" s="1"/>
  <c r="J541" i="1"/>
  <c r="J544" i="1"/>
  <c r="J545" i="1"/>
  <c r="I538" i="1"/>
  <c r="I540" i="1"/>
  <c r="L540" i="1" s="1"/>
  <c r="M540" i="1" s="1"/>
  <c r="I541" i="1"/>
  <c r="I542" i="1"/>
  <c r="L542" i="1" s="1"/>
  <c r="M542" i="1" s="1"/>
  <c r="I543" i="1"/>
  <c r="I544" i="1"/>
  <c r="I545" i="1"/>
  <c r="J546" i="1"/>
  <c r="J550" i="1"/>
  <c r="J551" i="1"/>
  <c r="I546" i="1"/>
  <c r="I547" i="1"/>
  <c r="L547" i="1" s="1"/>
  <c r="M547" i="1" s="1"/>
  <c r="I548" i="1"/>
  <c r="L548" i="1" s="1"/>
  <c r="M548" i="1" s="1"/>
  <c r="I549" i="1"/>
  <c r="L549" i="1" s="1"/>
  <c r="M549" i="1" s="1"/>
  <c r="I550" i="1"/>
  <c r="I551" i="1"/>
  <c r="I552" i="1"/>
  <c r="L552" i="1" s="1"/>
  <c r="M552" i="1" s="1"/>
  <c r="J554" i="1"/>
  <c r="I553" i="1"/>
  <c r="L553" i="1" s="1"/>
  <c r="M553" i="1" s="1"/>
  <c r="I554" i="1"/>
  <c r="H79" i="4"/>
  <c r="J79" i="4" s="1"/>
  <c r="K79" i="4" s="1"/>
  <c r="J559" i="1"/>
  <c r="J561" i="1"/>
  <c r="J562" i="1"/>
  <c r="I555" i="1"/>
  <c r="L555" i="1" s="1"/>
  <c r="M555" i="1" s="1"/>
  <c r="I556" i="1"/>
  <c r="L556" i="1" s="1"/>
  <c r="M556" i="1" s="1"/>
  <c r="I557" i="1"/>
  <c r="L557" i="1" s="1"/>
  <c r="M557" i="1" s="1"/>
  <c r="I558" i="1"/>
  <c r="L558" i="1" s="1"/>
  <c r="M558" i="1" s="1"/>
  <c r="I559" i="1"/>
  <c r="I560" i="1"/>
  <c r="L560" i="1" s="1"/>
  <c r="M560" i="1" s="1"/>
  <c r="I561" i="1"/>
  <c r="I562" i="1"/>
  <c r="H80" i="4"/>
  <c r="I563" i="1"/>
  <c r="I564" i="1"/>
  <c r="I565" i="1"/>
  <c r="J566" i="1"/>
  <c r="J567" i="1"/>
  <c r="J571" i="1"/>
  <c r="J572" i="1"/>
  <c r="I566" i="1"/>
  <c r="I567" i="1"/>
  <c r="I568" i="1"/>
  <c r="L568" i="1" s="1"/>
  <c r="M568" i="1" s="1"/>
  <c r="I569" i="1"/>
  <c r="I570" i="1"/>
  <c r="I571" i="1"/>
  <c r="I572" i="1"/>
  <c r="I81" i="4"/>
  <c r="H81" i="4"/>
  <c r="J573" i="1"/>
  <c r="J574" i="1"/>
  <c r="J576" i="1"/>
  <c r="J577" i="1"/>
  <c r="I573" i="1"/>
  <c r="L573" i="1" s="1"/>
  <c r="M573" i="1" s="1"/>
  <c r="I574" i="1"/>
  <c r="I575" i="1"/>
  <c r="L575" i="1" s="1"/>
  <c r="M575" i="1" s="1"/>
  <c r="I576" i="1"/>
  <c r="I577" i="1"/>
  <c r="I578" i="1"/>
  <c r="L578" i="1" s="1"/>
  <c r="M578" i="1" s="1"/>
  <c r="I579" i="1"/>
  <c r="L579" i="1" s="1"/>
  <c r="M579" i="1" s="1"/>
  <c r="J581" i="1"/>
  <c r="I580" i="1"/>
  <c r="L580" i="1" s="1"/>
  <c r="M580" i="1" s="1"/>
  <c r="I581" i="1"/>
  <c r="I582" i="1"/>
  <c r="I583" i="1"/>
  <c r="J584" i="1"/>
  <c r="I82" i="4"/>
  <c r="H82" i="4"/>
  <c r="J585" i="1"/>
  <c r="J586" i="1"/>
  <c r="J587" i="1"/>
  <c r="I584" i="1"/>
  <c r="I585" i="1"/>
  <c r="I586" i="1"/>
  <c r="I587" i="1"/>
  <c r="J588" i="1"/>
  <c r="J589" i="1"/>
  <c r="J590" i="1"/>
  <c r="J592" i="1"/>
  <c r="I588" i="1"/>
  <c r="L588" i="1" s="1"/>
  <c r="M588" i="1" s="1"/>
  <c r="I589" i="1"/>
  <c r="L589" i="1" s="1"/>
  <c r="M589" i="1" s="1"/>
  <c r="I590" i="1"/>
  <c r="L590" i="1" s="1"/>
  <c r="M590" i="1" s="1"/>
  <c r="I591" i="1"/>
  <c r="L591" i="1" s="1"/>
  <c r="M591" i="1" s="1"/>
  <c r="I592" i="1"/>
  <c r="J595" i="1"/>
  <c r="I593" i="1"/>
  <c r="L593" i="1" s="1"/>
  <c r="M593" i="1" s="1"/>
  <c r="I594" i="1"/>
  <c r="L594" i="1" s="1"/>
  <c r="M594" i="1" s="1"/>
  <c r="I595" i="1"/>
  <c r="I596" i="1"/>
  <c r="L596" i="1" s="1"/>
  <c r="M596" i="1" s="1"/>
  <c r="J598" i="1"/>
  <c r="I597" i="1"/>
  <c r="L597" i="1" s="1"/>
  <c r="M597" i="1" s="1"/>
  <c r="I598" i="1"/>
  <c r="I599" i="1"/>
  <c r="L599" i="1" s="1"/>
  <c r="M599" i="1" s="1"/>
  <c r="I600" i="1"/>
  <c r="L600" i="1" s="1"/>
  <c r="M600" i="1" s="1"/>
  <c r="I601" i="1"/>
  <c r="L601" i="1" s="1"/>
  <c r="M601" i="1" s="1"/>
  <c r="I602" i="1"/>
  <c r="L602" i="1" s="1"/>
  <c r="M602" i="1" s="1"/>
  <c r="H83" i="4"/>
  <c r="I603" i="1"/>
  <c r="J604" i="1"/>
  <c r="J606" i="1"/>
  <c r="I604" i="1"/>
  <c r="I605" i="1"/>
  <c r="L605" i="1" s="1"/>
  <c r="M605" i="1" s="1"/>
  <c r="I606" i="1"/>
  <c r="J608" i="1"/>
  <c r="J609" i="1"/>
  <c r="I607" i="1"/>
  <c r="I608" i="1"/>
  <c r="I609" i="1"/>
  <c r="J610" i="1"/>
  <c r="I610" i="1"/>
  <c r="I611" i="1"/>
  <c r="L611" i="1" s="1"/>
  <c r="M611" i="1" s="1"/>
  <c r="I612" i="1"/>
  <c r="L612" i="1" s="1"/>
  <c r="M612" i="1" s="1"/>
  <c r="I613" i="1"/>
  <c r="L613" i="1" s="1"/>
  <c r="M613" i="1" s="1"/>
  <c r="J616" i="1"/>
  <c r="I614" i="1"/>
  <c r="L614" i="1" s="1"/>
  <c r="M614" i="1" s="1"/>
  <c r="I615" i="1"/>
  <c r="L615" i="1" s="1"/>
  <c r="M615" i="1" s="1"/>
  <c r="I616" i="1"/>
  <c r="J617" i="1"/>
  <c r="I617" i="1"/>
  <c r="I618" i="1"/>
  <c r="L618" i="1" s="1"/>
  <c r="M618" i="1" s="1"/>
  <c r="I619" i="1"/>
  <c r="L619" i="1" s="1"/>
  <c r="M619" i="1" s="1"/>
  <c r="I620" i="1"/>
  <c r="L620" i="1" s="1"/>
  <c r="M620" i="1" s="1"/>
  <c r="I621" i="1"/>
  <c r="L621" i="1" s="1"/>
  <c r="M621" i="1" s="1"/>
  <c r="I622" i="1"/>
  <c r="L622" i="1" s="1"/>
  <c r="M622" i="1" s="1"/>
  <c r="J625" i="1"/>
  <c r="I623" i="1"/>
  <c r="I624" i="1"/>
  <c r="L624" i="1" s="1"/>
  <c r="M624" i="1" s="1"/>
  <c r="I625" i="1"/>
  <c r="J626" i="1"/>
  <c r="I626" i="1"/>
  <c r="J628" i="1"/>
  <c r="I627" i="1"/>
  <c r="L627" i="1" s="1"/>
  <c r="M627" i="1" s="1"/>
  <c r="I628" i="1"/>
  <c r="J629" i="1"/>
  <c r="J630" i="1"/>
  <c r="I629" i="1"/>
  <c r="I630" i="1"/>
  <c r="I631" i="1"/>
  <c r="L631" i="1" s="1"/>
  <c r="M631" i="1" s="1"/>
  <c r="I632" i="1"/>
  <c r="L632" i="1" s="1"/>
  <c r="M632" i="1" s="1"/>
  <c r="I633" i="1"/>
  <c r="L633" i="1" s="1"/>
  <c r="M633" i="1" s="1"/>
  <c r="I634" i="1"/>
  <c r="L634" i="1" s="1"/>
  <c r="M634" i="1" s="1"/>
  <c r="I635" i="1"/>
  <c r="L635" i="1" s="1"/>
  <c r="M635" i="1" s="1"/>
  <c r="J636" i="1"/>
  <c r="I636" i="1"/>
  <c r="I637" i="1"/>
  <c r="I638" i="1"/>
  <c r="L638" i="1" s="1"/>
  <c r="M638" i="1" s="1"/>
  <c r="J640" i="1"/>
  <c r="J642" i="1"/>
  <c r="J643" i="1"/>
  <c r="J639" i="1"/>
  <c r="I639" i="1"/>
  <c r="I640" i="1"/>
  <c r="I641" i="1"/>
  <c r="L641" i="1" s="1"/>
  <c r="M641" i="1" s="1"/>
  <c r="I642" i="1"/>
  <c r="J644" i="1"/>
  <c r="I643" i="1"/>
  <c r="I644" i="1"/>
  <c r="I645" i="1"/>
  <c r="J646" i="1"/>
  <c r="J647" i="1"/>
  <c r="I646" i="1"/>
  <c r="I647" i="1"/>
  <c r="I648" i="1"/>
  <c r="L648" i="1" s="1"/>
  <c r="M648" i="1" s="1"/>
  <c r="I649" i="1"/>
  <c r="L649" i="1" s="1"/>
  <c r="M649" i="1" s="1"/>
  <c r="I650" i="1"/>
  <c r="J651" i="1"/>
  <c r="J652" i="1"/>
  <c r="J653" i="1"/>
  <c r="J654" i="1"/>
  <c r="I651" i="1"/>
  <c r="I652" i="1"/>
  <c r="I653" i="1"/>
  <c r="I654" i="1"/>
  <c r="I655" i="1"/>
  <c r="I656" i="1"/>
  <c r="L656" i="1" s="1"/>
  <c r="M656" i="1" s="1"/>
  <c r="I657" i="1"/>
  <c r="L657" i="1" s="1"/>
  <c r="M657" i="1" s="1"/>
  <c r="J658" i="1"/>
  <c r="I658" i="1"/>
  <c r="I659" i="1"/>
  <c r="L659" i="1" s="1"/>
  <c r="M659" i="1" s="1"/>
  <c r="I660" i="1"/>
  <c r="L660" i="1" s="1"/>
  <c r="M660" i="1" s="1"/>
  <c r="I661" i="1"/>
  <c r="L661" i="1" s="1"/>
  <c r="M661" i="1" s="1"/>
  <c r="I662" i="1"/>
  <c r="L662" i="1" s="1"/>
  <c r="M662" i="1" s="1"/>
  <c r="I663" i="1"/>
  <c r="L663" i="1" s="1"/>
  <c r="M663" i="1" s="1"/>
  <c r="I664" i="1"/>
  <c r="L664" i="1" s="1"/>
  <c r="M664" i="1" s="1"/>
  <c r="I665" i="1"/>
  <c r="L665" i="1" s="1"/>
  <c r="M665" i="1" s="1"/>
  <c r="I666" i="1"/>
  <c r="L666" i="1" s="1"/>
  <c r="M666" i="1" s="1"/>
  <c r="J668" i="1"/>
  <c r="I667" i="1"/>
  <c r="L667" i="1" s="1"/>
  <c r="M667" i="1" s="1"/>
  <c r="I668" i="1"/>
  <c r="J669" i="1"/>
  <c r="I671" i="1"/>
  <c r="L671" i="1" s="1"/>
  <c r="M671" i="1" s="1"/>
  <c r="I669" i="1"/>
  <c r="I670" i="1"/>
  <c r="L670" i="1" s="1"/>
  <c r="M670" i="1" s="1"/>
  <c r="I672" i="1"/>
  <c r="L672" i="1" s="1"/>
  <c r="M672" i="1" s="1"/>
  <c r="I673" i="1"/>
  <c r="L673" i="1" s="1"/>
  <c r="M673" i="1" s="1"/>
  <c r="K674" i="1"/>
  <c r="J674" i="1"/>
  <c r="I84" i="4"/>
  <c r="H84" i="4"/>
  <c r="I85" i="4"/>
  <c r="H85" i="4"/>
  <c r="J675" i="1"/>
  <c r="J676" i="1"/>
  <c r="I674" i="1"/>
  <c r="I675" i="1"/>
  <c r="I676" i="1"/>
  <c r="J677" i="1"/>
  <c r="I677" i="1"/>
  <c r="I678" i="1"/>
  <c r="L678" i="1" s="1"/>
  <c r="M678" i="1" s="1"/>
  <c r="H86" i="4"/>
  <c r="J86" i="4" s="1"/>
  <c r="K86" i="4" s="1"/>
  <c r="I679" i="1"/>
  <c r="L679" i="1" s="1"/>
  <c r="M679" i="1" s="1"/>
  <c r="I680" i="1"/>
  <c r="I681" i="1"/>
  <c r="J682" i="1"/>
  <c r="I682" i="1"/>
  <c r="J684" i="1"/>
  <c r="I683" i="1"/>
  <c r="L683" i="1" s="1"/>
  <c r="M683" i="1" s="1"/>
  <c r="I684" i="1"/>
  <c r="H87" i="4"/>
  <c r="J87" i="4" s="1"/>
  <c r="K87" i="4" s="1"/>
  <c r="I685" i="1"/>
  <c r="J686" i="1"/>
  <c r="I686" i="1"/>
  <c r="I687" i="1"/>
  <c r="L687" i="1" s="1"/>
  <c r="M687" i="1" s="1"/>
  <c r="J688" i="1"/>
  <c r="J689" i="1"/>
  <c r="I688" i="1"/>
  <c r="I689" i="1"/>
  <c r="I690" i="1"/>
  <c r="J691" i="1"/>
  <c r="I691" i="1"/>
  <c r="J692" i="1"/>
  <c r="I692" i="1"/>
  <c r="J693" i="1"/>
  <c r="I693" i="1"/>
  <c r="H88" i="4"/>
  <c r="J88" i="4" s="1"/>
  <c r="K88" i="4" s="1"/>
  <c r="J694" i="1"/>
  <c r="J695" i="1"/>
  <c r="J696" i="1"/>
  <c r="I694" i="1"/>
  <c r="I695" i="1"/>
  <c r="I696" i="1"/>
  <c r="I697" i="1"/>
  <c r="L697" i="1" s="1"/>
  <c r="M697" i="1" s="1"/>
  <c r="I698" i="1"/>
  <c r="L698" i="1" s="1"/>
  <c r="M698" i="1" s="1"/>
  <c r="J699" i="1"/>
  <c r="I699" i="1"/>
  <c r="J700" i="1"/>
  <c r="I700" i="1"/>
  <c r="H95" i="4"/>
  <c r="I95" i="4"/>
  <c r="I701" i="1"/>
  <c r="J702" i="1"/>
  <c r="I702" i="1"/>
  <c r="J703" i="1"/>
  <c r="I703" i="1"/>
  <c r="I704" i="1"/>
  <c r="L704" i="1" s="1"/>
  <c r="M704" i="1" s="1"/>
  <c r="I705" i="1"/>
  <c r="L705" i="1" s="1"/>
  <c r="M705" i="1" s="1"/>
  <c r="I706" i="1"/>
  <c r="L706" i="1" s="1"/>
  <c r="M706" i="1" s="1"/>
  <c r="J707" i="1"/>
  <c r="I707" i="1"/>
  <c r="I89" i="4"/>
  <c r="K708" i="1"/>
  <c r="J708" i="1"/>
  <c r="I708" i="1"/>
  <c r="J709" i="1"/>
  <c r="I709" i="1"/>
  <c r="J710" i="1"/>
  <c r="I710" i="1"/>
  <c r="I711" i="1"/>
  <c r="L711" i="1" s="1"/>
  <c r="M711" i="1" s="1"/>
  <c r="K712" i="1"/>
  <c r="J712" i="1"/>
  <c r="I712" i="1"/>
  <c r="J713" i="1"/>
  <c r="I713" i="1"/>
  <c r="J714" i="1"/>
  <c r="I714" i="1"/>
  <c r="J715" i="1"/>
  <c r="I715" i="1"/>
  <c r="I716" i="1"/>
  <c r="L716" i="1" s="1"/>
  <c r="M716" i="1" s="1"/>
  <c r="I717" i="1"/>
  <c r="L717" i="1" s="1"/>
  <c r="M717" i="1" s="1"/>
  <c r="H89" i="4"/>
  <c r="I90" i="4"/>
  <c r="H90" i="4"/>
  <c r="I718" i="1"/>
  <c r="K719" i="1"/>
  <c r="J719" i="1"/>
  <c r="I719" i="1"/>
  <c r="I720" i="1"/>
  <c r="L720" i="1" s="1"/>
  <c r="M720" i="1" s="1"/>
  <c r="I721" i="1"/>
  <c r="L721" i="1" s="1"/>
  <c r="M721" i="1" s="1"/>
  <c r="I722" i="1"/>
  <c r="L722" i="1" s="1"/>
  <c r="M722" i="1" s="1"/>
  <c r="I723" i="1"/>
  <c r="J724" i="1"/>
  <c r="I724" i="1"/>
  <c r="I725" i="1"/>
  <c r="L726" i="1"/>
  <c r="M726" i="1" s="1"/>
  <c r="K727" i="1"/>
  <c r="J727" i="1"/>
  <c r="I727" i="1"/>
  <c r="I91" i="4"/>
  <c r="I728" i="1"/>
  <c r="L728" i="1" s="1"/>
  <c r="M728" i="1" s="1"/>
  <c r="I729" i="1"/>
  <c r="L729" i="1" s="1"/>
  <c r="M729" i="1" s="1"/>
  <c r="I730" i="1"/>
  <c r="L730" i="1" s="1"/>
  <c r="M730" i="1" s="1"/>
  <c r="J731" i="1"/>
  <c r="I731" i="1"/>
  <c r="J732" i="1"/>
  <c r="I732" i="1"/>
  <c r="I733" i="1"/>
  <c r="L733" i="1" s="1"/>
  <c r="M733" i="1" s="1"/>
  <c r="I734" i="1"/>
  <c r="J735" i="1"/>
  <c r="I735" i="1"/>
  <c r="I736" i="1"/>
  <c r="L736" i="1" s="1"/>
  <c r="M736" i="1" s="1"/>
  <c r="I737" i="1"/>
  <c r="L737" i="1" s="1"/>
  <c r="M737" i="1" s="1"/>
  <c r="I738" i="1"/>
  <c r="L738" i="1" s="1"/>
  <c r="M738" i="1" s="1"/>
  <c r="I739" i="1"/>
  <c r="K92" i="4"/>
  <c r="J92" i="4"/>
  <c r="I92" i="4"/>
  <c r="K740" i="1"/>
  <c r="J740" i="1"/>
  <c r="K93" i="4"/>
  <c r="J93" i="4"/>
  <c r="I93" i="4"/>
  <c r="I740" i="1"/>
  <c r="K741" i="1"/>
  <c r="J741" i="1"/>
  <c r="I741" i="1"/>
  <c r="L742" i="1"/>
  <c r="M742" i="1" s="1"/>
  <c r="I745" i="1"/>
  <c r="I743" i="1"/>
  <c r="L743" i="1" s="1"/>
  <c r="M743" i="1" s="1"/>
  <c r="I744" i="1"/>
  <c r="L744" i="1" s="1"/>
  <c r="M744" i="1" s="1"/>
  <c r="K94" i="4"/>
  <c r="J94" i="4"/>
  <c r="I94" i="4"/>
  <c r="K745" i="1"/>
  <c r="J745" i="1"/>
  <c r="K95" i="4"/>
  <c r="J95" i="4"/>
  <c r="K746" i="1"/>
  <c r="J746" i="1"/>
  <c r="I746" i="1"/>
  <c r="I747" i="1"/>
  <c r="L747" i="1" s="1"/>
  <c r="M747" i="1" s="1"/>
  <c r="I96" i="4"/>
  <c r="I748" i="1"/>
  <c r="L748" i="1" s="1"/>
  <c r="M748" i="1" s="1"/>
  <c r="I749" i="1"/>
  <c r="L749" i="1" s="1"/>
  <c r="M749" i="1" s="1"/>
  <c r="J97" i="4"/>
  <c r="I97" i="4"/>
  <c r="J750" i="1"/>
  <c r="I750" i="1"/>
  <c r="I751" i="1"/>
  <c r="L751" i="1" s="1"/>
  <c r="M751" i="1" s="1"/>
  <c r="J752" i="1"/>
  <c r="I752" i="1"/>
  <c r="I753" i="1"/>
  <c r="J754" i="1"/>
  <c r="I754" i="1"/>
  <c r="I98" i="4"/>
  <c r="H98" i="4"/>
  <c r="J755" i="1"/>
  <c r="I755" i="1"/>
  <c r="J756" i="1"/>
  <c r="I756" i="1"/>
  <c r="J757" i="1"/>
  <c r="I757" i="1"/>
  <c r="J758" i="1"/>
  <c r="I758" i="1"/>
  <c r="J759" i="1"/>
  <c r="I759" i="1"/>
  <c r="J760" i="1"/>
  <c r="I760" i="1"/>
  <c r="J761" i="1"/>
  <c r="I761" i="1"/>
  <c r="I762" i="1"/>
  <c r="J763" i="1"/>
  <c r="I763" i="1"/>
  <c r="I764" i="1"/>
  <c r="L764" i="1" s="1"/>
  <c r="M764" i="1" s="1"/>
  <c r="I765" i="1"/>
  <c r="L765" i="1" s="1"/>
  <c r="M765" i="1" s="1"/>
  <c r="I766" i="1"/>
  <c r="J767" i="1"/>
  <c r="I767" i="1"/>
  <c r="I768" i="1"/>
  <c r="L768" i="1" s="1"/>
  <c r="M768" i="1" s="1"/>
  <c r="I99" i="4"/>
  <c r="H99" i="4"/>
  <c r="I769" i="1"/>
  <c r="L769" i="1" s="1"/>
  <c r="M769" i="1" s="1"/>
  <c r="I770" i="1"/>
  <c r="J771" i="1"/>
  <c r="I771" i="1"/>
  <c r="I772" i="1"/>
  <c r="J773" i="1"/>
  <c r="I773" i="1"/>
  <c r="I774" i="1"/>
  <c r="L774" i="1" s="1"/>
  <c r="M774" i="1" s="1"/>
  <c r="I775" i="1"/>
  <c r="K776" i="1"/>
  <c r="J776" i="1"/>
  <c r="I776" i="1"/>
  <c r="I777" i="1"/>
  <c r="I779" i="1"/>
  <c r="L779" i="1" s="1"/>
  <c r="M779" i="1" s="1"/>
  <c r="K778" i="1"/>
  <c r="J778" i="1"/>
  <c r="I778" i="1"/>
  <c r="I780" i="1"/>
  <c r="L780" i="1" s="1"/>
  <c r="M780" i="1" s="1"/>
  <c r="I781" i="1"/>
  <c r="J782" i="1"/>
  <c r="I782" i="1"/>
  <c r="I783" i="1"/>
  <c r="J784" i="1"/>
  <c r="I784" i="1"/>
  <c r="I785" i="1"/>
  <c r="J786" i="1"/>
  <c r="I786" i="1"/>
  <c r="I787" i="1"/>
  <c r="L787" i="1" s="1"/>
  <c r="M787" i="1" s="1"/>
  <c r="I788" i="1"/>
  <c r="L788" i="1" s="1"/>
  <c r="M788" i="1" s="1"/>
  <c r="I789" i="1"/>
  <c r="J790" i="1"/>
  <c r="I790" i="1"/>
  <c r="I791" i="1"/>
  <c r="J792" i="1"/>
  <c r="I792" i="1"/>
  <c r="J793" i="1"/>
  <c r="I793" i="1"/>
  <c r="I794" i="1"/>
  <c r="J795" i="1"/>
  <c r="I795" i="1"/>
  <c r="I796" i="1"/>
  <c r="J797" i="1"/>
  <c r="I797" i="1"/>
  <c r="I798" i="1"/>
  <c r="L798" i="1" s="1"/>
  <c r="M798" i="1" s="1"/>
  <c r="I799" i="1"/>
  <c r="L799" i="1" s="1"/>
  <c r="M799" i="1" s="1"/>
  <c r="J803" i="1"/>
  <c r="I803" i="1"/>
  <c r="I800" i="1"/>
  <c r="L800" i="1" s="1"/>
  <c r="M800" i="1" s="1"/>
  <c r="I801" i="1"/>
  <c r="J802" i="1"/>
  <c r="I802" i="1"/>
  <c r="I804" i="1"/>
  <c r="L19" i="1" l="1"/>
  <c r="M19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107" i="1"/>
  <c r="M107" i="1" s="1"/>
  <c r="L69" i="1"/>
  <c r="M69" i="1" s="1"/>
  <c r="L50" i="1"/>
  <c r="M50" i="1" s="1"/>
  <c r="L58" i="1"/>
  <c r="M58" i="1" s="1"/>
  <c r="L122" i="1"/>
  <c r="M122" i="1" s="1"/>
  <c r="L111" i="1"/>
  <c r="M111" i="1" s="1"/>
  <c r="L68" i="1"/>
  <c r="M68" i="1" s="1"/>
  <c r="L93" i="1"/>
  <c r="M93" i="1" s="1"/>
  <c r="L81" i="1"/>
  <c r="M81" i="1" s="1"/>
  <c r="L74" i="1"/>
  <c r="M74" i="1" s="1"/>
  <c r="L84" i="1"/>
  <c r="M84" i="1" s="1"/>
  <c r="L86" i="1"/>
  <c r="M86" i="1" s="1"/>
  <c r="L87" i="1"/>
  <c r="M87" i="1" s="1"/>
  <c r="L91" i="1"/>
  <c r="M91" i="1" s="1"/>
  <c r="L96" i="1"/>
  <c r="M96" i="1" s="1"/>
  <c r="L150" i="1"/>
  <c r="M150" i="1" s="1"/>
  <c r="L103" i="1"/>
  <c r="M103" i="1" s="1"/>
  <c r="L104" i="1"/>
  <c r="M104" i="1" s="1"/>
  <c r="L106" i="1"/>
  <c r="M106" i="1" s="1"/>
  <c r="L105" i="1"/>
  <c r="M105" i="1" s="1"/>
  <c r="L108" i="1"/>
  <c r="M108" i="1" s="1"/>
  <c r="L109" i="1"/>
  <c r="M109" i="1" s="1"/>
  <c r="L114" i="1"/>
  <c r="M114" i="1" s="1"/>
  <c r="L115" i="1"/>
  <c r="M115" i="1" s="1"/>
  <c r="L116" i="1"/>
  <c r="M116" i="1" s="1"/>
  <c r="L169" i="1"/>
  <c r="M169" i="1" s="1"/>
  <c r="L131" i="1"/>
  <c r="M131" i="1" s="1"/>
  <c r="L117" i="1"/>
  <c r="M117" i="1" s="1"/>
  <c r="L118" i="1"/>
  <c r="M118" i="1" s="1"/>
  <c r="L119" i="1"/>
  <c r="M119" i="1" s="1"/>
  <c r="L120" i="1"/>
  <c r="M120" i="1" s="1"/>
  <c r="L121" i="1"/>
  <c r="M121" i="1" s="1"/>
  <c r="L128" i="1"/>
  <c r="M128" i="1" s="1"/>
  <c r="L129" i="1"/>
  <c r="M129" i="1" s="1"/>
  <c r="L130" i="1"/>
  <c r="M130" i="1" s="1"/>
  <c r="L134" i="1"/>
  <c r="M134" i="1" s="1"/>
  <c r="L157" i="1"/>
  <c r="M157" i="1" s="1"/>
  <c r="L156" i="1"/>
  <c r="M156" i="1" s="1"/>
  <c r="L147" i="1"/>
  <c r="M147" i="1" s="1"/>
  <c r="L155" i="1"/>
  <c r="M155" i="1" s="1"/>
  <c r="L154" i="1"/>
  <c r="M154" i="1" s="1"/>
  <c r="L190" i="1"/>
  <c r="M190" i="1" s="1"/>
  <c r="L172" i="1"/>
  <c r="M172" i="1" s="1"/>
  <c r="L165" i="1"/>
  <c r="M165" i="1" s="1"/>
  <c r="L160" i="1"/>
  <c r="M160" i="1" s="1"/>
  <c r="L161" i="1"/>
  <c r="M161" i="1" s="1"/>
  <c r="L162" i="1"/>
  <c r="M162" i="1" s="1"/>
  <c r="L163" i="1"/>
  <c r="M163" i="1" s="1"/>
  <c r="L166" i="1"/>
  <c r="M166" i="1" s="1"/>
  <c r="L168" i="1"/>
  <c r="M168" i="1" s="1"/>
  <c r="L174" i="1"/>
  <c r="M174" i="1" s="1"/>
  <c r="L175" i="1"/>
  <c r="M175" i="1" s="1"/>
  <c r="L176" i="1"/>
  <c r="M176" i="1" s="1"/>
  <c r="L206" i="1"/>
  <c r="M206" i="1" s="1"/>
  <c r="L194" i="1"/>
  <c r="M194" i="1" s="1"/>
  <c r="L213" i="1"/>
  <c r="M213" i="1" s="1"/>
  <c r="L179" i="1"/>
  <c r="M179" i="1" s="1"/>
  <c r="L180" i="1"/>
  <c r="M180" i="1" s="1"/>
  <c r="L183" i="1"/>
  <c r="M183" i="1" s="1"/>
  <c r="L184" i="1"/>
  <c r="M184" i="1" s="1"/>
  <c r="L185" i="1"/>
  <c r="M185" i="1" s="1"/>
  <c r="L186" i="1"/>
  <c r="M186" i="1" s="1"/>
  <c r="L187" i="1"/>
  <c r="M187" i="1" s="1"/>
  <c r="L192" i="1"/>
  <c r="M192" i="1" s="1"/>
  <c r="L193" i="1"/>
  <c r="M193" i="1" s="1"/>
  <c r="L241" i="1"/>
  <c r="M241" i="1" s="1"/>
  <c r="L195" i="1"/>
  <c r="M195" i="1" s="1"/>
  <c r="L205" i="1"/>
  <c r="M205" i="1" s="1"/>
  <c r="L210" i="1"/>
  <c r="M210" i="1" s="1"/>
  <c r="L200" i="1"/>
  <c r="M200" i="1" s="1"/>
  <c r="L201" i="1"/>
  <c r="M201" i="1" s="1"/>
  <c r="L202" i="1"/>
  <c r="M202" i="1" s="1"/>
  <c r="L203" i="1"/>
  <c r="M203" i="1" s="1"/>
  <c r="L204" i="1"/>
  <c r="M204" i="1" s="1"/>
  <c r="L211" i="1"/>
  <c r="M211" i="1" s="1"/>
  <c r="L212" i="1"/>
  <c r="M212" i="1" s="1"/>
  <c r="L214" i="1"/>
  <c r="M214" i="1" s="1"/>
  <c r="L242" i="1"/>
  <c r="M242" i="1" s="1"/>
  <c r="L267" i="1"/>
  <c r="M267" i="1" s="1"/>
  <c r="L236" i="1"/>
  <c r="M236" i="1" s="1"/>
  <c r="L244" i="1"/>
  <c r="M244" i="1" s="1"/>
  <c r="L274" i="1"/>
  <c r="M274" i="1" s="1"/>
  <c r="L263" i="1"/>
  <c r="M263" i="1" s="1"/>
  <c r="L231" i="1"/>
  <c r="M231" i="1" s="1"/>
  <c r="L221" i="1"/>
  <c r="M221" i="1" s="1"/>
  <c r="L224" i="1"/>
  <c r="M224" i="1" s="1"/>
  <c r="L228" i="1"/>
  <c r="M228" i="1" s="1"/>
  <c r="L233" i="1"/>
  <c r="M233" i="1" s="1"/>
  <c r="L235" i="1"/>
  <c r="M235" i="1" s="1"/>
  <c r="L247" i="1"/>
  <c r="M247" i="1" s="1"/>
  <c r="L251" i="1"/>
  <c r="M251" i="1" s="1"/>
  <c r="L254" i="1"/>
  <c r="M254" i="1" s="1"/>
  <c r="L255" i="1"/>
  <c r="M255" i="1" s="1"/>
  <c r="L257" i="1"/>
  <c r="M257" i="1" s="1"/>
  <c r="L264" i="1"/>
  <c r="M264" i="1" s="1"/>
  <c r="L280" i="1"/>
  <c r="M280" i="1" s="1"/>
  <c r="P280" i="1" s="1"/>
  <c r="Q280" i="1" s="1"/>
  <c r="L273" i="1"/>
  <c r="M273" i="1" s="1"/>
  <c r="L260" i="1"/>
  <c r="M260" i="1" s="1"/>
  <c r="L261" i="1"/>
  <c r="M261" i="1" s="1"/>
  <c r="L265" i="1"/>
  <c r="M265" i="1" s="1"/>
  <c r="L269" i="1"/>
  <c r="M269" i="1" s="1"/>
  <c r="L270" i="1"/>
  <c r="M270" i="1" s="1"/>
  <c r="L272" i="1"/>
  <c r="M272" i="1" s="1"/>
  <c r="L271" i="1"/>
  <c r="M271" i="1" s="1"/>
  <c r="L305" i="1"/>
  <c r="M305" i="1" s="1"/>
  <c r="L285" i="1"/>
  <c r="M285" i="1" s="1"/>
  <c r="L286" i="1"/>
  <c r="M286" i="1" s="1"/>
  <c r="L295" i="1"/>
  <c r="M295" i="1" s="1"/>
  <c r="L291" i="1"/>
  <c r="M291" i="1" s="1"/>
  <c r="L287" i="1"/>
  <c r="M287" i="1" s="1"/>
  <c r="L288" i="1"/>
  <c r="M288" i="1" s="1"/>
  <c r="L289" i="1"/>
  <c r="M289" i="1" s="1"/>
  <c r="L294" i="1"/>
  <c r="M294" i="1" s="1"/>
  <c r="L296" i="1"/>
  <c r="M296" i="1" s="1"/>
  <c r="L299" i="1"/>
  <c r="M299" i="1" s="1"/>
  <c r="L302" i="1"/>
  <c r="M302" i="1" s="1"/>
  <c r="L301" i="1"/>
  <c r="M301" i="1" s="1"/>
  <c r="L297" i="1"/>
  <c r="M297" i="1" s="1"/>
  <c r="L307" i="1"/>
  <c r="M307" i="1" s="1"/>
  <c r="L332" i="1"/>
  <c r="M332" i="1" s="1"/>
  <c r="L315" i="1"/>
  <c r="M315" i="1" s="1"/>
  <c r="L317" i="1"/>
  <c r="M317" i="1" s="1"/>
  <c r="L311" i="1"/>
  <c r="M311" i="1" s="1"/>
  <c r="L358" i="1"/>
  <c r="M358" i="1" s="1"/>
  <c r="L318" i="1"/>
  <c r="M318" i="1" s="1"/>
  <c r="L316" i="1"/>
  <c r="M316" i="1" s="1"/>
  <c r="L320" i="1"/>
  <c r="M320" i="1" s="1"/>
  <c r="L309" i="1"/>
  <c r="M309" i="1" s="1"/>
  <c r="L314" i="1"/>
  <c r="M314" i="1" s="1"/>
  <c r="L321" i="1"/>
  <c r="M321" i="1" s="1"/>
  <c r="L326" i="1"/>
  <c r="M326" i="1" s="1"/>
  <c r="L327" i="1"/>
  <c r="M327" i="1" s="1"/>
  <c r="L329" i="1"/>
  <c r="M329" i="1" s="1"/>
  <c r="L331" i="1"/>
  <c r="M331" i="1" s="1"/>
  <c r="L333" i="1"/>
  <c r="M333" i="1" s="1"/>
  <c r="L336" i="1"/>
  <c r="M336" i="1" s="1"/>
  <c r="L337" i="1"/>
  <c r="M337" i="1" s="1"/>
  <c r="L339" i="1"/>
  <c r="M339" i="1" s="1"/>
  <c r="L345" i="1"/>
  <c r="M345" i="1" s="1"/>
  <c r="L348" i="1"/>
  <c r="M348" i="1" s="1"/>
  <c r="L355" i="1"/>
  <c r="M355" i="1" s="1"/>
  <c r="L351" i="1"/>
  <c r="M351" i="1" s="1"/>
  <c r="L353" i="1"/>
  <c r="M353" i="1" s="1"/>
  <c r="L354" i="1"/>
  <c r="M354" i="1" s="1"/>
  <c r="L356" i="1"/>
  <c r="M356" i="1" s="1"/>
  <c r="L360" i="1"/>
  <c r="M360" i="1" s="1"/>
  <c r="J71" i="4"/>
  <c r="K71" i="4" s="1"/>
  <c r="J45" i="4"/>
  <c r="K45" i="4" s="1"/>
  <c r="L365" i="1"/>
  <c r="M365" i="1" s="1"/>
  <c r="L406" i="1"/>
  <c r="M406" i="1" s="1"/>
  <c r="L409" i="1"/>
  <c r="M409" i="1" s="1"/>
  <c r="L394" i="1"/>
  <c r="M394" i="1" s="1"/>
  <c r="L437" i="1"/>
  <c r="M437" i="1" s="1"/>
  <c r="L371" i="1"/>
  <c r="M371" i="1" s="1"/>
  <c r="J48" i="4"/>
  <c r="K48" i="4" s="1"/>
  <c r="J66" i="4"/>
  <c r="K66" i="4" s="1"/>
  <c r="J51" i="4"/>
  <c r="K51" i="4" s="1"/>
  <c r="J76" i="4"/>
  <c r="K76" i="4" s="1"/>
  <c r="L462" i="1"/>
  <c r="M462" i="1" s="1"/>
  <c r="L397" i="1"/>
  <c r="M397" i="1" s="1"/>
  <c r="L479" i="1"/>
  <c r="M479" i="1" s="1"/>
  <c r="L407" i="1"/>
  <c r="M407" i="1" s="1"/>
  <c r="L376" i="1"/>
  <c r="M376" i="1" s="1"/>
  <c r="L377" i="1"/>
  <c r="M377" i="1" s="1"/>
  <c r="L378" i="1"/>
  <c r="M378" i="1" s="1"/>
  <c r="L379" i="1"/>
  <c r="M379" i="1" s="1"/>
  <c r="L440" i="1"/>
  <c r="M440" i="1" s="1"/>
  <c r="L424" i="1"/>
  <c r="M424" i="1" s="1"/>
  <c r="L391" i="1"/>
  <c r="M391" i="1" s="1"/>
  <c r="L393" i="1"/>
  <c r="M393" i="1" s="1"/>
  <c r="L399" i="1"/>
  <c r="M399" i="1" s="1"/>
  <c r="J52" i="4"/>
  <c r="K52" i="4" s="1"/>
  <c r="L405" i="1"/>
  <c r="M405" i="1" s="1"/>
  <c r="L411" i="1"/>
  <c r="M411" i="1" s="1"/>
  <c r="L413" i="1"/>
  <c r="M413" i="1" s="1"/>
  <c r="L414" i="1"/>
  <c r="M414" i="1" s="1"/>
  <c r="L425" i="1"/>
  <c r="M425" i="1" s="1"/>
  <c r="L427" i="1"/>
  <c r="M427" i="1" s="1"/>
  <c r="L444" i="1"/>
  <c r="M444" i="1" s="1"/>
  <c r="L447" i="1"/>
  <c r="M447" i="1" s="1"/>
  <c r="L448" i="1"/>
  <c r="M448" i="1" s="1"/>
  <c r="L446" i="1"/>
  <c r="M446" i="1" s="1"/>
  <c r="L451" i="1"/>
  <c r="M451" i="1" s="1"/>
  <c r="L445" i="1"/>
  <c r="M445" i="1" s="1"/>
  <c r="L449" i="1"/>
  <c r="M449" i="1" s="1"/>
  <c r="L450" i="1"/>
  <c r="M450" i="1" s="1"/>
  <c r="L452" i="1"/>
  <c r="M452" i="1" s="1"/>
  <c r="L453" i="1"/>
  <c r="M453" i="1" s="1"/>
  <c r="L454" i="1"/>
  <c r="M454" i="1" s="1"/>
  <c r="L501" i="1"/>
  <c r="M501" i="1" s="1"/>
  <c r="L514" i="1"/>
  <c r="M514" i="1" s="1"/>
  <c r="L492" i="1"/>
  <c r="M492" i="1" s="1"/>
  <c r="L510" i="1"/>
  <c r="M510" i="1" s="1"/>
  <c r="L483" i="1"/>
  <c r="M483" i="1" s="1"/>
  <c r="L484" i="1"/>
  <c r="M484" i="1" s="1"/>
  <c r="L461" i="1"/>
  <c r="M461" i="1" s="1"/>
  <c r="L471" i="1"/>
  <c r="M471" i="1" s="1"/>
  <c r="L480" i="1"/>
  <c r="M480" i="1" s="1"/>
  <c r="L481" i="1"/>
  <c r="M481" i="1" s="1"/>
  <c r="L491" i="1"/>
  <c r="M491" i="1" s="1"/>
  <c r="J73" i="4"/>
  <c r="K73" i="4" s="1"/>
  <c r="J84" i="4"/>
  <c r="K84" i="4" s="1"/>
  <c r="J82" i="4"/>
  <c r="K82" i="4" s="1"/>
  <c r="L508" i="1"/>
  <c r="M508" i="1" s="1"/>
  <c r="L511" i="1"/>
  <c r="M511" i="1" s="1"/>
  <c r="L512" i="1"/>
  <c r="M512" i="1" s="1"/>
  <c r="J75" i="4"/>
  <c r="K75" i="4" s="1"/>
  <c r="L513" i="1"/>
  <c r="M513" i="1" s="1"/>
  <c r="L515" i="1"/>
  <c r="M515" i="1" s="1"/>
  <c r="L519" i="1"/>
  <c r="M519" i="1" s="1"/>
  <c r="L536" i="1"/>
  <c r="M536" i="1" s="1"/>
  <c r="L559" i="1"/>
  <c r="M559" i="1" s="1"/>
  <c r="L546" i="1"/>
  <c r="M546" i="1" s="1"/>
  <c r="L522" i="1"/>
  <c r="M522" i="1" s="1"/>
  <c r="L523" i="1"/>
  <c r="M523" i="1" s="1"/>
  <c r="L527" i="1"/>
  <c r="M527" i="1" s="1"/>
  <c r="L571" i="1"/>
  <c r="M571" i="1" s="1"/>
  <c r="L538" i="1"/>
  <c r="M538" i="1" s="1"/>
  <c r="L541" i="1"/>
  <c r="M541" i="1" s="1"/>
  <c r="L543" i="1"/>
  <c r="M543" i="1" s="1"/>
  <c r="L544" i="1"/>
  <c r="M544" i="1" s="1"/>
  <c r="L545" i="1"/>
  <c r="M545" i="1" s="1"/>
  <c r="L561" i="1"/>
  <c r="M561" i="1" s="1"/>
  <c r="L550" i="1"/>
  <c r="M550" i="1" s="1"/>
  <c r="L551" i="1"/>
  <c r="M551" i="1" s="1"/>
  <c r="L554" i="1"/>
  <c r="M554" i="1" s="1"/>
  <c r="L562" i="1"/>
  <c r="M562" i="1" s="1"/>
  <c r="L617" i="1"/>
  <c r="M617" i="1" s="1"/>
  <c r="L686" i="1"/>
  <c r="M686" i="1" s="1"/>
  <c r="L566" i="1"/>
  <c r="M566" i="1" s="1"/>
  <c r="L563" i="1"/>
  <c r="M563" i="1" s="1"/>
  <c r="J80" i="4"/>
  <c r="K80" i="4" s="1"/>
  <c r="L564" i="1"/>
  <c r="M564" i="1" s="1"/>
  <c r="L565" i="1"/>
  <c r="M565" i="1" s="1"/>
  <c r="L567" i="1"/>
  <c r="M567" i="1" s="1"/>
  <c r="L569" i="1"/>
  <c r="M569" i="1" s="1"/>
  <c r="L570" i="1"/>
  <c r="M570" i="1" s="1"/>
  <c r="L572" i="1"/>
  <c r="M572" i="1" s="1"/>
  <c r="L608" i="1"/>
  <c r="M608" i="1" s="1"/>
  <c r="L629" i="1"/>
  <c r="M629" i="1" s="1"/>
  <c r="L695" i="1"/>
  <c r="M695" i="1" s="1"/>
  <c r="L630" i="1"/>
  <c r="M630" i="1" s="1"/>
  <c r="L598" i="1"/>
  <c r="M598" i="1" s="1"/>
  <c r="L576" i="1"/>
  <c r="M576" i="1" s="1"/>
  <c r="L658" i="1"/>
  <c r="M658" i="1" s="1"/>
  <c r="L577" i="1"/>
  <c r="M577" i="1" s="1"/>
  <c r="L574" i="1"/>
  <c r="M574" i="1" s="1"/>
  <c r="J81" i="4"/>
  <c r="K81" i="4" s="1"/>
  <c r="L581" i="1"/>
  <c r="M581" i="1" s="1"/>
  <c r="L582" i="1"/>
  <c r="M582" i="1" s="1"/>
  <c r="L583" i="1"/>
  <c r="M583" i="1" s="1"/>
  <c r="L584" i="1"/>
  <c r="M584" i="1" s="1"/>
  <c r="L585" i="1"/>
  <c r="M585" i="1" s="1"/>
  <c r="L586" i="1"/>
  <c r="M586" i="1" s="1"/>
  <c r="L587" i="1"/>
  <c r="M587" i="1" s="1"/>
  <c r="L592" i="1"/>
  <c r="M592" i="1" s="1"/>
  <c r="L595" i="1"/>
  <c r="M595" i="1" s="1"/>
  <c r="J83" i="4"/>
  <c r="K83" i="4" s="1"/>
  <c r="L626" i="1"/>
  <c r="M626" i="1" s="1"/>
  <c r="L628" i="1"/>
  <c r="M628" i="1" s="1"/>
  <c r="L603" i="1"/>
  <c r="M603" i="1" s="1"/>
  <c r="L604" i="1"/>
  <c r="M604" i="1" s="1"/>
  <c r="L606" i="1"/>
  <c r="M606" i="1" s="1"/>
  <c r="L607" i="1"/>
  <c r="M607" i="1" s="1"/>
  <c r="L609" i="1"/>
  <c r="M609" i="1" s="1"/>
  <c r="L610" i="1"/>
  <c r="M610" i="1" s="1"/>
  <c r="L616" i="1"/>
  <c r="M616" i="1" s="1"/>
  <c r="L623" i="1"/>
  <c r="M623" i="1" s="1"/>
  <c r="L625" i="1"/>
  <c r="M625" i="1" s="1"/>
  <c r="L675" i="1"/>
  <c r="M675" i="1" s="1"/>
  <c r="L647" i="1"/>
  <c r="M647" i="1" s="1"/>
  <c r="L669" i="1"/>
  <c r="M669" i="1" s="1"/>
  <c r="L639" i="1"/>
  <c r="M639" i="1" s="1"/>
  <c r="L637" i="1"/>
  <c r="M637" i="1" s="1"/>
  <c r="L684" i="1"/>
  <c r="M684" i="1" s="1"/>
  <c r="L636" i="1"/>
  <c r="M636" i="1" s="1"/>
  <c r="L640" i="1"/>
  <c r="M640" i="1" s="1"/>
  <c r="L642" i="1"/>
  <c r="M642" i="1" s="1"/>
  <c r="L643" i="1"/>
  <c r="M643" i="1" s="1"/>
  <c r="L644" i="1"/>
  <c r="M644" i="1" s="1"/>
  <c r="L645" i="1"/>
  <c r="M645" i="1" s="1"/>
  <c r="L646" i="1"/>
  <c r="M646" i="1" s="1"/>
  <c r="L650" i="1"/>
  <c r="M650" i="1" s="1"/>
  <c r="L651" i="1"/>
  <c r="M651" i="1" s="1"/>
  <c r="L652" i="1"/>
  <c r="M652" i="1" s="1"/>
  <c r="L653" i="1"/>
  <c r="M653" i="1" s="1"/>
  <c r="L654" i="1"/>
  <c r="M654" i="1" s="1"/>
  <c r="L655" i="1"/>
  <c r="M655" i="1" s="1"/>
  <c r="L668" i="1"/>
  <c r="M668" i="1" s="1"/>
  <c r="L674" i="1"/>
  <c r="M674" i="1" s="1"/>
  <c r="J85" i="4"/>
  <c r="K85" i="4" s="1"/>
  <c r="L676" i="1"/>
  <c r="M676" i="1" s="1"/>
  <c r="L677" i="1"/>
  <c r="M677" i="1" s="1"/>
  <c r="L758" i="1"/>
  <c r="M758" i="1" s="1"/>
  <c r="L689" i="1"/>
  <c r="M689" i="1" s="1"/>
  <c r="L688" i="1"/>
  <c r="M688" i="1" s="1"/>
  <c r="L680" i="1"/>
  <c r="M680" i="1" s="1"/>
  <c r="L681" i="1"/>
  <c r="M681" i="1" s="1"/>
  <c r="L682" i="1"/>
  <c r="M682" i="1" s="1"/>
  <c r="L685" i="1"/>
  <c r="M685" i="1" s="1"/>
  <c r="L690" i="1"/>
  <c r="M690" i="1" s="1"/>
  <c r="L767" i="1"/>
  <c r="M767" i="1" s="1"/>
  <c r="L759" i="1"/>
  <c r="M759" i="1" s="1"/>
  <c r="L761" i="1"/>
  <c r="M761" i="1" s="1"/>
  <c r="L702" i="1"/>
  <c r="M702" i="1" s="1"/>
  <c r="L708" i="1"/>
  <c r="M708" i="1" s="1"/>
  <c r="L703" i="1"/>
  <c r="M703" i="1" s="1"/>
  <c r="L699" i="1"/>
  <c r="M699" i="1" s="1"/>
  <c r="L693" i="1"/>
  <c r="M693" i="1" s="1"/>
  <c r="L731" i="1"/>
  <c r="M731" i="1" s="1"/>
  <c r="L691" i="1"/>
  <c r="M691" i="1" s="1"/>
  <c r="L692" i="1"/>
  <c r="M692" i="1" s="1"/>
  <c r="L694" i="1"/>
  <c r="M694" i="1" s="1"/>
  <c r="L696" i="1"/>
  <c r="M696" i="1" s="1"/>
  <c r="L700" i="1"/>
  <c r="M700" i="1" s="1"/>
  <c r="J90" i="4"/>
  <c r="K90" i="4" s="1"/>
  <c r="L724" i="1"/>
  <c r="M724" i="1" s="1"/>
  <c r="L701" i="1"/>
  <c r="M701" i="1" s="1"/>
  <c r="L710" i="1"/>
  <c r="M710" i="1" s="1"/>
  <c r="L707" i="1"/>
  <c r="M707" i="1" s="1"/>
  <c r="J89" i="4"/>
  <c r="K89" i="4" s="1"/>
  <c r="L709" i="1"/>
  <c r="M709" i="1" s="1"/>
  <c r="L712" i="1"/>
  <c r="M712" i="1" s="1"/>
  <c r="L713" i="1"/>
  <c r="M713" i="1" s="1"/>
  <c r="L714" i="1"/>
  <c r="M714" i="1" s="1"/>
  <c r="L715" i="1"/>
  <c r="M715" i="1" s="1"/>
  <c r="L718" i="1"/>
  <c r="M718" i="1" s="1"/>
  <c r="L719" i="1"/>
  <c r="M719" i="1" s="1"/>
  <c r="L723" i="1"/>
  <c r="M723" i="1" s="1"/>
  <c r="L725" i="1"/>
  <c r="M725" i="1" s="1"/>
  <c r="L727" i="1"/>
  <c r="M727" i="1" s="1"/>
  <c r="L732" i="1"/>
  <c r="M732" i="1" s="1"/>
  <c r="L734" i="1"/>
  <c r="M734" i="1" s="1"/>
  <c r="L735" i="1"/>
  <c r="M735" i="1" s="1"/>
  <c r="L739" i="1"/>
  <c r="M739" i="1" s="1"/>
  <c r="L740" i="1"/>
  <c r="M740" i="1" s="1"/>
  <c r="L741" i="1"/>
  <c r="M741" i="1" s="1"/>
  <c r="L763" i="1"/>
  <c r="M763" i="1" s="1"/>
  <c r="L797" i="1"/>
  <c r="M797" i="1" s="1"/>
  <c r="L790" i="1"/>
  <c r="M790" i="1" s="1"/>
  <c r="L745" i="1"/>
  <c r="M745" i="1" s="1"/>
  <c r="L746" i="1"/>
  <c r="M746" i="1" s="1"/>
  <c r="L750" i="1"/>
  <c r="M750" i="1" s="1"/>
  <c r="L752" i="1"/>
  <c r="M752" i="1" s="1"/>
  <c r="L753" i="1"/>
  <c r="M753" i="1" s="1"/>
  <c r="L754" i="1"/>
  <c r="M754" i="1" s="1"/>
  <c r="J98" i="4"/>
  <c r="K98" i="4" s="1"/>
  <c r="L755" i="1"/>
  <c r="M755" i="1" s="1"/>
  <c r="L756" i="1"/>
  <c r="M756" i="1" s="1"/>
  <c r="L757" i="1"/>
  <c r="M757" i="1" s="1"/>
  <c r="L760" i="1"/>
  <c r="M760" i="1" s="1"/>
  <c r="L762" i="1"/>
  <c r="M762" i="1" s="1"/>
  <c r="L766" i="1"/>
  <c r="M766" i="1" s="1"/>
  <c r="L803" i="1"/>
  <c r="M803" i="1" s="1"/>
  <c r="L802" i="1"/>
  <c r="M802" i="1" s="1"/>
  <c r="L795" i="1"/>
  <c r="M795" i="1" s="1"/>
  <c r="J99" i="4"/>
  <c r="K99" i="4" s="1"/>
  <c r="L770" i="1"/>
  <c r="M770" i="1" s="1"/>
  <c r="L771" i="1"/>
  <c r="M771" i="1" s="1"/>
  <c r="L772" i="1"/>
  <c r="M772" i="1" s="1"/>
  <c r="L773" i="1"/>
  <c r="M773" i="1" s="1"/>
  <c r="L775" i="1"/>
  <c r="M775" i="1" s="1"/>
  <c r="L776" i="1"/>
  <c r="M776" i="1" s="1"/>
  <c r="L777" i="1"/>
  <c r="M777" i="1" s="1"/>
  <c r="L778" i="1"/>
  <c r="M778" i="1" s="1"/>
  <c r="L781" i="1"/>
  <c r="M781" i="1" s="1"/>
  <c r="L782" i="1"/>
  <c r="M782" i="1" s="1"/>
  <c r="L783" i="1"/>
  <c r="M783" i="1" s="1"/>
  <c r="L784" i="1"/>
  <c r="M784" i="1" s="1"/>
  <c r="L785" i="1"/>
  <c r="M785" i="1" s="1"/>
  <c r="L786" i="1"/>
  <c r="M786" i="1" s="1"/>
  <c r="L789" i="1"/>
  <c r="M789" i="1" s="1"/>
  <c r="L791" i="1"/>
  <c r="M791" i="1" s="1"/>
  <c r="L792" i="1"/>
  <c r="M792" i="1" s="1"/>
  <c r="L793" i="1"/>
  <c r="M793" i="1" s="1"/>
  <c r="L794" i="1"/>
  <c r="M794" i="1" s="1"/>
  <c r="L796" i="1"/>
  <c r="M796" i="1" s="1"/>
  <c r="L801" i="1"/>
  <c r="M801" i="1" s="1"/>
  <c r="L804" i="1"/>
  <c r="M804" i="1" s="1"/>
  <c r="I805" i="1"/>
  <c r="L805" i="1" l="1"/>
  <c r="M805" i="1" s="1"/>
  <c r="I100" i="4"/>
  <c r="J100" i="4" s="1"/>
  <c r="K100" i="4" s="1"/>
  <c r="H101" i="4"/>
  <c r="J101" i="4" s="1"/>
  <c r="K101" i="4" s="1"/>
  <c r="H102" i="4"/>
  <c r="J102" i="4" s="1"/>
  <c r="K102" i="4" s="1"/>
  <c r="H103" i="4"/>
  <c r="J103" i="4" s="1"/>
  <c r="K103" i="4" s="1"/>
  <c r="H104" i="4"/>
  <c r="I105" i="4"/>
  <c r="H105" i="4"/>
  <c r="H106" i="4"/>
  <c r="I107" i="4"/>
  <c r="H107" i="4"/>
  <c r="I108" i="4"/>
  <c r="H108" i="4"/>
  <c r="J105" i="4" l="1"/>
  <c r="K105" i="4" s="1"/>
  <c r="J108" i="4"/>
  <c r="K108" i="4" s="1"/>
  <c r="J104" i="4"/>
  <c r="K104" i="4" s="1"/>
  <c r="J106" i="4"/>
  <c r="K106" i="4" s="1"/>
  <c r="J107" i="4"/>
  <c r="K107" i="4" s="1"/>
  <c r="H109" i="4"/>
  <c r="J109" i="4" s="1"/>
  <c r="K109" i="4" s="1"/>
  <c r="J806" i="1"/>
  <c r="I806" i="1"/>
  <c r="J807" i="1"/>
  <c r="I807" i="1"/>
  <c r="I808" i="1"/>
  <c r="L808" i="1" s="1"/>
  <c r="M808" i="1" s="1"/>
  <c r="I809" i="1"/>
  <c r="L809" i="1" s="1"/>
  <c r="M809" i="1" s="1"/>
  <c r="I810" i="1"/>
  <c r="L810" i="1" s="1"/>
  <c r="M810" i="1" s="1"/>
  <c r="I811" i="1"/>
  <c r="L811" i="1" s="1"/>
  <c r="M811" i="1" s="1"/>
  <c r="I812" i="1"/>
  <c r="L812" i="1" s="1"/>
  <c r="M812" i="1" s="1"/>
  <c r="I813" i="1"/>
  <c r="L813" i="1" s="1"/>
  <c r="M813" i="1" s="1"/>
  <c r="I814" i="1"/>
  <c r="L814" i="1" s="1"/>
  <c r="M814" i="1" s="1"/>
  <c r="I815" i="1"/>
  <c r="L815" i="1" s="1"/>
  <c r="M815" i="1" s="1"/>
  <c r="I816" i="1"/>
  <c r="L816" i="1" s="1"/>
  <c r="M816" i="1" s="1"/>
  <c r="I817" i="1"/>
  <c r="L817" i="1" s="1"/>
  <c r="M817" i="1" s="1"/>
  <c r="I818" i="1"/>
  <c r="L818" i="1" s="1"/>
  <c r="M818" i="1" s="1"/>
  <c r="I819" i="1"/>
  <c r="L819" i="1" s="1"/>
  <c r="M819" i="1" s="1"/>
  <c r="I824" i="1"/>
  <c r="L824" i="1" s="1"/>
  <c r="M824" i="1" s="1"/>
  <c r="I825" i="1"/>
  <c r="L825" i="1" s="1"/>
  <c r="M825" i="1" s="1"/>
  <c r="I820" i="1"/>
  <c r="L820" i="1" s="1"/>
  <c r="M820" i="1" s="1"/>
  <c r="I821" i="1"/>
  <c r="J822" i="1"/>
  <c r="I822" i="1"/>
  <c r="J823" i="1"/>
  <c r="I823" i="1"/>
  <c r="I826" i="1"/>
  <c r="L826" i="1" s="1"/>
  <c r="M826" i="1" s="1"/>
  <c r="L807" i="1" l="1"/>
  <c r="M807" i="1" s="1"/>
  <c r="L806" i="1"/>
  <c r="M806" i="1" s="1"/>
  <c r="L823" i="1"/>
  <c r="M823" i="1" s="1"/>
  <c r="L821" i="1"/>
  <c r="M821" i="1" s="1"/>
  <c r="L822" i="1"/>
  <c r="M822" i="1" s="1"/>
  <c r="H110" i="4"/>
  <c r="J110" i="4" s="1"/>
  <c r="K110" i="4" s="1"/>
  <c r="H111" i="4"/>
  <c r="J111" i="4" s="1"/>
  <c r="K111" i="4" s="1"/>
  <c r="H113" i="4"/>
  <c r="J113" i="4" s="1"/>
  <c r="K113" i="4" s="1"/>
  <c r="H112" i="4"/>
  <c r="J112" i="4" s="1"/>
  <c r="K112" i="4" s="1"/>
  <c r="H114" i="4"/>
  <c r="J114" i="4" s="1"/>
  <c r="K114" i="4" s="1"/>
  <c r="H115" i="4"/>
  <c r="J115" i="4" s="1"/>
  <c r="K115" i="4" s="1"/>
  <c r="H116" i="4"/>
  <c r="J116" i="4" s="1"/>
  <c r="K116" i="4" s="1"/>
  <c r="H117" i="4"/>
  <c r="J117" i="4" s="1"/>
  <c r="K117" i="4" s="1"/>
  <c r="I827" i="1"/>
  <c r="L827" i="1" s="1"/>
  <c r="M827" i="1" s="1"/>
  <c r="I828" i="1"/>
  <c r="L828" i="1" s="1"/>
  <c r="M828" i="1" s="1"/>
  <c r="I829" i="1"/>
  <c r="L829" i="1" s="1"/>
  <c r="M829" i="1" s="1"/>
  <c r="I830" i="1"/>
  <c r="L830" i="1" s="1"/>
  <c r="M830" i="1" s="1"/>
  <c r="I831" i="1"/>
  <c r="L831" i="1" s="1"/>
  <c r="M831" i="1" s="1"/>
  <c r="I832" i="1"/>
  <c r="L832" i="1" s="1"/>
  <c r="M832" i="1" s="1"/>
  <c r="I833" i="1"/>
  <c r="L833" i="1" s="1"/>
  <c r="M833" i="1" s="1"/>
  <c r="I834" i="1"/>
  <c r="L834" i="1" s="1"/>
  <c r="M834" i="1" s="1"/>
  <c r="I835" i="1"/>
  <c r="L835" i="1" s="1"/>
  <c r="M835" i="1" s="1"/>
  <c r="I836" i="1"/>
  <c r="L836" i="1" s="1"/>
  <c r="M836" i="1" s="1"/>
  <c r="I837" i="1"/>
  <c r="L837" i="1" s="1"/>
  <c r="M837" i="1" s="1"/>
  <c r="I838" i="1"/>
  <c r="L838" i="1" s="1"/>
  <c r="M838" i="1" s="1"/>
  <c r="I839" i="1"/>
  <c r="L839" i="1" s="1"/>
  <c r="M839" i="1" s="1"/>
  <c r="I840" i="1"/>
  <c r="L840" i="1" s="1"/>
  <c r="M840" i="1" s="1"/>
  <c r="I841" i="1"/>
  <c r="L841" i="1" s="1"/>
  <c r="M841" i="1" s="1"/>
  <c r="I842" i="1"/>
  <c r="L842" i="1" s="1"/>
  <c r="M842" i="1" s="1"/>
  <c r="I844" i="1"/>
  <c r="L844" i="1" s="1"/>
  <c r="M844" i="1" s="1"/>
  <c r="I843" i="1"/>
  <c r="L843" i="1" s="1"/>
  <c r="M843" i="1" s="1"/>
  <c r="I845" i="1"/>
  <c r="L845" i="1" s="1"/>
  <c r="M845" i="1" s="1"/>
  <c r="I846" i="1"/>
  <c r="L846" i="1" s="1"/>
  <c r="M846" i="1" s="1"/>
  <c r="I847" i="1"/>
  <c r="L847" i="1" s="1"/>
  <c r="M847" i="1" s="1"/>
  <c r="H118" i="4" l="1"/>
  <c r="J118" i="4" s="1"/>
  <c r="K118" i="4" s="1"/>
  <c r="H119" i="4"/>
  <c r="I848" i="1"/>
  <c r="L848" i="1" s="1"/>
  <c r="M848" i="1" s="1"/>
  <c r="I849" i="1"/>
  <c r="L849" i="1" s="1"/>
  <c r="M849" i="1" s="1"/>
  <c r="I850" i="1"/>
  <c r="J119" i="4" l="1"/>
  <c r="K119" i="4" s="1"/>
  <c r="L850" i="1"/>
  <c r="M850" i="1" s="1"/>
  <c r="I120" i="4"/>
  <c r="H120" i="4"/>
  <c r="H121" i="4"/>
  <c r="J121" i="4" s="1"/>
  <c r="K121" i="4" s="1"/>
  <c r="H122" i="4"/>
  <c r="J122" i="4" s="1"/>
  <c r="K122" i="4" s="1"/>
  <c r="H123" i="4"/>
  <c r="J123" i="4" s="1"/>
  <c r="K123" i="4" s="1"/>
  <c r="H124" i="4"/>
  <c r="J124" i="4" s="1"/>
  <c r="K124" i="4" s="1"/>
  <c r="H125" i="4"/>
  <c r="J125" i="4" s="1"/>
  <c r="K125" i="4" s="1"/>
  <c r="H126" i="4"/>
  <c r="J126" i="4" s="1"/>
  <c r="K126" i="4" s="1"/>
  <c r="J851" i="1"/>
  <c r="I851" i="1"/>
  <c r="I852" i="1"/>
  <c r="L852" i="1" s="1"/>
  <c r="M852" i="1" s="1"/>
  <c r="I853" i="1"/>
  <c r="L853" i="1" s="1"/>
  <c r="M853" i="1" s="1"/>
  <c r="I854" i="1"/>
  <c r="L854" i="1" s="1"/>
  <c r="M854" i="1" s="1"/>
  <c r="I855" i="1"/>
  <c r="L855" i="1" s="1"/>
  <c r="M855" i="1" s="1"/>
  <c r="I856" i="1"/>
  <c r="L856" i="1" s="1"/>
  <c r="M856" i="1" s="1"/>
  <c r="I857" i="1"/>
  <c r="L857" i="1" s="1"/>
  <c r="M857" i="1" s="1"/>
  <c r="I858" i="1"/>
  <c r="J859" i="1"/>
  <c r="I859" i="1"/>
  <c r="J120" i="4" l="1"/>
  <c r="K120" i="4" s="1"/>
  <c r="L851" i="1"/>
  <c r="M851" i="1" s="1"/>
  <c r="L858" i="1"/>
  <c r="M858" i="1" s="1"/>
  <c r="L859" i="1"/>
  <c r="M859" i="1" s="1"/>
  <c r="H127" i="4"/>
  <c r="J127" i="4" s="1"/>
  <c r="K127" i="4" s="1"/>
  <c r="H128" i="4"/>
  <c r="J128" i="4" s="1"/>
  <c r="K128" i="4" s="1"/>
  <c r="H129" i="4"/>
  <c r="J129" i="4" s="1"/>
  <c r="K129" i="4" s="1"/>
  <c r="H130" i="4"/>
  <c r="J130" i="4" s="1"/>
  <c r="K130" i="4" s="1"/>
  <c r="H132" i="4"/>
  <c r="J132" i="4" s="1"/>
  <c r="K132" i="4" s="1"/>
  <c r="H131" i="4"/>
  <c r="J131" i="4" s="1"/>
  <c r="K131" i="4" s="1"/>
  <c r="H133" i="4"/>
  <c r="J133" i="4" s="1"/>
  <c r="K133" i="4" s="1"/>
  <c r="H134" i="4"/>
  <c r="J134" i="4" s="1"/>
  <c r="K134" i="4" s="1"/>
  <c r="H135" i="4"/>
  <c r="J135" i="4" s="1"/>
  <c r="K135" i="4" s="1"/>
  <c r="H136" i="4"/>
  <c r="J136" i="4" s="1"/>
  <c r="K136" i="4" s="1"/>
  <c r="H137" i="4"/>
  <c r="J137" i="4" s="1"/>
  <c r="K137" i="4" s="1"/>
  <c r="H138" i="4"/>
  <c r="J138" i="4" s="1"/>
  <c r="K138" i="4" s="1"/>
  <c r="H139" i="4"/>
  <c r="J139" i="4" s="1"/>
  <c r="K139" i="4" s="1"/>
  <c r="H140" i="4"/>
  <c r="I141" i="4"/>
  <c r="H141" i="4"/>
  <c r="H142" i="4"/>
  <c r="I860" i="1"/>
  <c r="L860" i="1" s="1"/>
  <c r="M860" i="1" s="1"/>
  <c r="I861" i="1"/>
  <c r="L861" i="1" s="1"/>
  <c r="M861" i="1" s="1"/>
  <c r="I862" i="1"/>
  <c r="L862" i="1" s="1"/>
  <c r="M862" i="1" s="1"/>
  <c r="I863" i="1"/>
  <c r="L863" i="1" s="1"/>
  <c r="M863" i="1" s="1"/>
  <c r="I864" i="1"/>
  <c r="L864" i="1" s="1"/>
  <c r="M864" i="1" s="1"/>
  <c r="I865" i="1"/>
  <c r="J866" i="1"/>
  <c r="I866" i="1"/>
  <c r="I867" i="1"/>
  <c r="L867" i="1" s="1"/>
  <c r="M867" i="1" s="1"/>
  <c r="I868" i="1"/>
  <c r="L868" i="1" s="1"/>
  <c r="M868" i="1" s="1"/>
  <c r="I869" i="1"/>
  <c r="L869" i="1" s="1"/>
  <c r="M869" i="1" s="1"/>
  <c r="I870" i="1"/>
  <c r="L870" i="1" s="1"/>
  <c r="M870" i="1" s="1"/>
  <c r="I871" i="1"/>
  <c r="K872" i="1"/>
  <c r="J872" i="1"/>
  <c r="I872" i="1"/>
  <c r="I873" i="1"/>
  <c r="J141" i="4" l="1"/>
  <c r="K141" i="4" s="1"/>
  <c r="J140" i="4"/>
  <c r="K140" i="4" s="1"/>
  <c r="J142" i="4"/>
  <c r="K142" i="4" s="1"/>
  <c r="L865" i="1"/>
  <c r="M865" i="1" s="1"/>
  <c r="L866" i="1"/>
  <c r="M866" i="1" s="1"/>
  <c r="L871" i="1"/>
  <c r="M871" i="1" s="1"/>
  <c r="L872" i="1"/>
  <c r="M872" i="1" s="1"/>
  <c r="L873" i="1"/>
  <c r="M873" i="1" s="1"/>
  <c r="I143" i="4"/>
  <c r="H143" i="4"/>
  <c r="K874" i="1"/>
  <c r="J874" i="1"/>
  <c r="I874" i="1"/>
  <c r="I875" i="1"/>
  <c r="L875" i="1" s="1"/>
  <c r="M875" i="1" s="1"/>
  <c r="J143" i="4" l="1"/>
  <c r="K143" i="4" s="1"/>
  <c r="L874" i="1"/>
  <c r="M874" i="1" s="1"/>
  <c r="H144" i="4"/>
  <c r="I145" i="4"/>
  <c r="H145" i="4"/>
  <c r="I146" i="4"/>
  <c r="H146" i="4"/>
  <c r="H147" i="4"/>
  <c r="I148" i="4"/>
  <c r="H148" i="4"/>
  <c r="I149" i="4"/>
  <c r="H149" i="4"/>
  <c r="H150" i="4"/>
  <c r="J150" i="4" s="1"/>
  <c r="K150" i="4" s="1"/>
  <c r="H151" i="4"/>
  <c r="I152" i="4"/>
  <c r="H152" i="4"/>
  <c r="I153" i="4"/>
  <c r="H153" i="4"/>
  <c r="H154" i="4"/>
  <c r="I876" i="1"/>
  <c r="L876" i="1" s="1"/>
  <c r="M876" i="1" s="1"/>
  <c r="I877" i="1"/>
  <c r="L877" i="1" s="1"/>
  <c r="M877" i="1" s="1"/>
  <c r="I878" i="1"/>
  <c r="K879" i="1"/>
  <c r="J879" i="1"/>
  <c r="I879" i="1"/>
  <c r="K880" i="1"/>
  <c r="J880" i="1"/>
  <c r="I880" i="1"/>
  <c r="K881" i="1"/>
  <c r="J881" i="1"/>
  <c r="I881" i="1"/>
  <c r="K882" i="1"/>
  <c r="J882" i="1"/>
  <c r="I882" i="1"/>
  <c r="J883" i="1"/>
  <c r="I883" i="1"/>
  <c r="J885" i="1"/>
  <c r="J884" i="1"/>
  <c r="I884" i="1"/>
  <c r="I885" i="1"/>
  <c r="I886" i="1"/>
  <c r="L886" i="1" s="1"/>
  <c r="M886" i="1" s="1"/>
  <c r="I887" i="1"/>
  <c r="K888" i="1"/>
  <c r="J888" i="1"/>
  <c r="I888" i="1"/>
  <c r="K889" i="1"/>
  <c r="J889" i="1"/>
  <c r="I889" i="1"/>
  <c r="J890" i="1"/>
  <c r="I890" i="1"/>
  <c r="I891" i="1"/>
  <c r="L891" i="1" s="1"/>
  <c r="M891" i="1" s="1"/>
  <c r="I892" i="1"/>
  <c r="J149" i="4" l="1"/>
  <c r="K149" i="4" s="1"/>
  <c r="L881" i="1"/>
  <c r="M881" i="1" s="1"/>
  <c r="L890" i="1"/>
  <c r="M890" i="1" s="1"/>
  <c r="J144" i="4"/>
  <c r="K144" i="4" s="1"/>
  <c r="J145" i="4"/>
  <c r="K145" i="4" s="1"/>
  <c r="J146" i="4"/>
  <c r="K146" i="4" s="1"/>
  <c r="J147" i="4"/>
  <c r="K147" i="4" s="1"/>
  <c r="J148" i="4"/>
  <c r="K148" i="4" s="1"/>
  <c r="J151" i="4"/>
  <c r="K151" i="4" s="1"/>
  <c r="J152" i="4"/>
  <c r="K152" i="4" s="1"/>
  <c r="J153" i="4"/>
  <c r="K153" i="4" s="1"/>
  <c r="J154" i="4"/>
  <c r="K154" i="4" s="1"/>
  <c r="L878" i="1"/>
  <c r="M878" i="1" s="1"/>
  <c r="L879" i="1"/>
  <c r="M879" i="1" s="1"/>
  <c r="L880" i="1"/>
  <c r="M880" i="1" s="1"/>
  <c r="L882" i="1"/>
  <c r="M882" i="1" s="1"/>
  <c r="L883" i="1"/>
  <c r="M883" i="1" s="1"/>
  <c r="L885" i="1"/>
  <c r="M885" i="1" s="1"/>
  <c r="L884" i="1"/>
  <c r="M884" i="1" s="1"/>
  <c r="L887" i="1"/>
  <c r="M887" i="1" s="1"/>
  <c r="L888" i="1"/>
  <c r="M888" i="1" s="1"/>
  <c r="L889" i="1"/>
  <c r="M889" i="1" s="1"/>
  <c r="L892" i="1"/>
  <c r="M892" i="1" s="1"/>
  <c r="J893" i="1"/>
  <c r="I893" i="1"/>
  <c r="I894" i="1"/>
  <c r="L894" i="1" s="1"/>
  <c r="M894" i="1" s="1"/>
  <c r="I895" i="1"/>
  <c r="L893" i="1" l="1"/>
  <c r="M893" i="1" s="1"/>
  <c r="L895" i="1"/>
  <c r="M895" i="1" s="1"/>
  <c r="I155" i="4"/>
  <c r="H155" i="4"/>
  <c r="H156" i="4"/>
  <c r="J155" i="4" l="1"/>
  <c r="K155" i="4" s="1"/>
  <c r="J156" i="4"/>
  <c r="K156" i="4" s="1"/>
  <c r="K896" i="1"/>
  <c r="J896" i="1"/>
  <c r="I896" i="1"/>
  <c r="J897" i="1"/>
  <c r="I897" i="1"/>
  <c r="I157" i="4"/>
  <c r="H157" i="4"/>
  <c r="H158" i="4"/>
  <c r="L896" i="1" l="1"/>
  <c r="M896" i="1" s="1"/>
  <c r="L897" i="1"/>
  <c r="M897" i="1" s="1"/>
  <c r="J157" i="4"/>
  <c r="K157" i="4" s="1"/>
  <c r="J158" i="4"/>
  <c r="K158" i="4" s="1"/>
  <c r="K898" i="1"/>
  <c r="J898" i="1"/>
  <c r="I898" i="1"/>
  <c r="J899" i="1"/>
  <c r="I899" i="1"/>
  <c r="K900" i="1"/>
  <c r="J900" i="1"/>
  <c r="I159" i="4"/>
  <c r="H159" i="4"/>
  <c r="I160" i="4"/>
  <c r="H160" i="4"/>
  <c r="I900" i="1"/>
  <c r="L898" i="1" l="1"/>
  <c r="M898" i="1" s="1"/>
  <c r="L899" i="1"/>
  <c r="M899" i="1" s="1"/>
  <c r="J159" i="4"/>
  <c r="K159" i="4" s="1"/>
  <c r="J160" i="4"/>
  <c r="K160" i="4" s="1"/>
  <c r="L900" i="1"/>
  <c r="M900" i="1" s="1"/>
  <c r="K901" i="1"/>
  <c r="J901" i="1"/>
  <c r="I901" i="1"/>
  <c r="K902" i="1"/>
  <c r="J902" i="1"/>
  <c r="I902" i="1"/>
  <c r="I903" i="1"/>
  <c r="L903" i="1" s="1"/>
  <c r="M903" i="1" s="1"/>
  <c r="I904" i="1"/>
  <c r="I161" i="4"/>
  <c r="H161" i="4"/>
  <c r="I162" i="4"/>
  <c r="H162" i="4"/>
  <c r="K905" i="1"/>
  <c r="L901" i="1" l="1"/>
  <c r="M901" i="1" s="1"/>
  <c r="L902" i="1"/>
  <c r="M902" i="1" s="1"/>
  <c r="L904" i="1"/>
  <c r="M904" i="1" s="1"/>
  <c r="J161" i="4"/>
  <c r="K161" i="4" s="1"/>
  <c r="J162" i="4"/>
  <c r="K162" i="4" s="1"/>
  <c r="J905" i="1"/>
  <c r="I905" i="1"/>
  <c r="I906" i="1"/>
  <c r="L906" i="1" s="1"/>
  <c r="M906" i="1" s="1"/>
  <c r="I907" i="1"/>
  <c r="L907" i="1" s="1"/>
  <c r="M907" i="1" s="1"/>
  <c r="H163" i="4"/>
  <c r="L905" i="1" l="1"/>
  <c r="M905" i="1" s="1"/>
  <c r="J163" i="4"/>
  <c r="K163" i="4" s="1"/>
  <c r="J909" i="1"/>
  <c r="I908" i="1" l="1"/>
  <c r="L908" i="1" s="1"/>
  <c r="M908" i="1" s="1"/>
  <c r="I909" i="1"/>
  <c r="K910" i="1"/>
  <c r="J910" i="1"/>
  <c r="I910" i="1"/>
  <c r="K911" i="1"/>
  <c r="J911" i="1"/>
  <c r="I911" i="1"/>
  <c r="I164" i="4"/>
  <c r="H164" i="4"/>
  <c r="I165" i="4"/>
  <c r="H165" i="4"/>
  <c r="I166" i="4"/>
  <c r="H166" i="4"/>
  <c r="J912" i="1"/>
  <c r="I912" i="1"/>
  <c r="K913" i="1"/>
  <c r="J913" i="1"/>
  <c r="J166" i="4" l="1"/>
  <c r="K166" i="4" s="1"/>
  <c r="L910" i="1"/>
  <c r="M910" i="1" s="1"/>
  <c r="L909" i="1"/>
  <c r="M909" i="1" s="1"/>
  <c r="L911" i="1"/>
  <c r="M911" i="1" s="1"/>
  <c r="J164" i="4"/>
  <c r="K164" i="4" s="1"/>
  <c r="J165" i="4"/>
  <c r="K165" i="4" s="1"/>
  <c r="L912" i="1"/>
  <c r="M912" i="1" s="1"/>
  <c r="I913" i="1"/>
  <c r="L913" i="1" l="1"/>
  <c r="M913" i="1" s="1"/>
  <c r="H167" i="4"/>
  <c r="J167" i="4" s="1"/>
  <c r="K167" i="4" s="1"/>
  <c r="J914" i="1"/>
  <c r="I914" i="1"/>
  <c r="I916" i="1"/>
  <c r="L916" i="1" s="1"/>
  <c r="M916" i="1" s="1"/>
  <c r="J915" i="1"/>
  <c r="I915" i="1"/>
  <c r="L915" i="1" l="1"/>
  <c r="M915" i="1" s="1"/>
  <c r="L914" i="1"/>
  <c r="M914" i="1" s="1"/>
  <c r="I917" i="1"/>
  <c r="H168" i="4"/>
  <c r="I169" i="4"/>
  <c r="H169" i="4"/>
  <c r="H170" i="4"/>
  <c r="J170" i="4" s="1"/>
  <c r="K170" i="4" s="1"/>
  <c r="I918" i="1"/>
  <c r="J919" i="1"/>
  <c r="I919" i="1"/>
  <c r="I920" i="1"/>
  <c r="J921" i="1"/>
  <c r="L919" i="1" l="1"/>
  <c r="M919" i="1" s="1"/>
  <c r="L917" i="1"/>
  <c r="M917" i="1" s="1"/>
  <c r="J168" i="4"/>
  <c r="K168" i="4" s="1"/>
  <c r="J169" i="4"/>
  <c r="K169" i="4" s="1"/>
  <c r="L918" i="1"/>
  <c r="M918" i="1" s="1"/>
  <c r="L920" i="1"/>
  <c r="M920" i="1" s="1"/>
  <c r="I921" i="1"/>
  <c r="L921" i="1" s="1"/>
  <c r="M921" i="1" s="1"/>
  <c r="I922" i="1"/>
  <c r="L922" i="1" l="1"/>
  <c r="M922" i="1" s="1"/>
  <c r="J923" i="1"/>
  <c r="I923" i="1"/>
  <c r="I924" i="1"/>
  <c r="L924" i="1" s="1"/>
  <c r="M924" i="1" s="1"/>
  <c r="H171" i="4"/>
  <c r="J171" i="4" s="1"/>
  <c r="K171" i="4" s="1"/>
  <c r="H172" i="4"/>
  <c r="J172" i="4" s="1"/>
  <c r="K172" i="4" s="1"/>
  <c r="I925" i="1"/>
  <c r="K926" i="1"/>
  <c r="J926" i="1"/>
  <c r="I926" i="1"/>
  <c r="J927" i="1"/>
  <c r="I927" i="1"/>
  <c r="I928" i="1"/>
  <c r="L928" i="1" s="1"/>
  <c r="M928" i="1" s="1"/>
  <c r="I929" i="1"/>
  <c r="L929" i="1" s="1"/>
  <c r="M929" i="1" s="1"/>
  <c r="I930" i="1"/>
  <c r="L930" i="1" s="1"/>
  <c r="M930" i="1" s="1"/>
  <c r="I931" i="1"/>
  <c r="J932" i="1"/>
  <c r="I932" i="1"/>
  <c r="H173" i="4"/>
  <c r="I933" i="1"/>
  <c r="L933" i="1" s="1"/>
  <c r="M933" i="1" s="1"/>
  <c r="K935" i="1"/>
  <c r="J935" i="1"/>
  <c r="I934" i="1"/>
  <c r="L934" i="1" s="1"/>
  <c r="M934" i="1" s="1"/>
  <c r="I935" i="1"/>
  <c r="J936" i="1"/>
  <c r="I936" i="1"/>
  <c r="I937" i="1"/>
  <c r="K942" i="1"/>
  <c r="J942" i="1"/>
  <c r="J941" i="1"/>
  <c r="J940" i="1"/>
  <c r="K938" i="1"/>
  <c r="J938" i="1"/>
  <c r="I938" i="1"/>
  <c r="J939" i="1"/>
  <c r="I939" i="1"/>
  <c r="I940" i="1"/>
  <c r="I941" i="1"/>
  <c r="L941" i="1" s="1"/>
  <c r="M941" i="1" s="1"/>
  <c r="I942" i="1"/>
  <c r="K943" i="1"/>
  <c r="J943" i="1"/>
  <c r="I943" i="1"/>
  <c r="J944" i="1"/>
  <c r="I174" i="4"/>
  <c r="H174" i="4"/>
  <c r="I944" i="1"/>
  <c r="K946" i="1"/>
  <c r="J946" i="1"/>
  <c r="I946" i="1"/>
  <c r="I945" i="1"/>
  <c r="I948" i="1"/>
  <c r="L948" i="1" s="1"/>
  <c r="M948" i="1" s="1"/>
  <c r="I949" i="1"/>
  <c r="L949" i="1" s="1"/>
  <c r="M949" i="1" s="1"/>
  <c r="J947" i="1"/>
  <c r="I947" i="1"/>
  <c r="H175" i="4"/>
  <c r="J175" i="4" s="1"/>
  <c r="K175" i="4" s="1"/>
  <c r="H176" i="4"/>
  <c r="I177" i="4"/>
  <c r="H177" i="4"/>
  <c r="I950" i="1"/>
  <c r="L950" i="1" s="1"/>
  <c r="M950" i="1" s="1"/>
  <c r="I951" i="1"/>
  <c r="L951" i="1" s="1"/>
  <c r="M951" i="1" s="1"/>
  <c r="J954" i="1"/>
  <c r="J952" i="1"/>
  <c r="I952" i="1"/>
  <c r="J953" i="1"/>
  <c r="I953" i="1"/>
  <c r="I954" i="1"/>
  <c r="I955" i="1"/>
  <c r="L955" i="1" s="1"/>
  <c r="M955" i="1" s="1"/>
  <c r="I956" i="1"/>
  <c r="L956" i="1" s="1"/>
  <c r="M956" i="1" s="1"/>
  <c r="I957" i="1"/>
  <c r="L957" i="1" s="1"/>
  <c r="M957" i="1" s="1"/>
  <c r="I958" i="1"/>
  <c r="L958" i="1" s="1"/>
  <c r="M958" i="1" s="1"/>
  <c r="J959" i="1"/>
  <c r="I959" i="1"/>
  <c r="K960" i="1"/>
  <c r="J960" i="1"/>
  <c r="I960" i="1"/>
  <c r="K961" i="1"/>
  <c r="J961" i="1"/>
  <c r="I961" i="1"/>
  <c r="I178" i="4"/>
  <c r="H178" i="4"/>
  <c r="I962" i="1"/>
  <c r="H179" i="4"/>
  <c r="J179" i="4" s="1"/>
  <c r="K179" i="4" s="1"/>
  <c r="K963" i="1"/>
  <c r="J963" i="1"/>
  <c r="I963" i="1"/>
  <c r="H180" i="4"/>
  <c r="J180" i="4" s="1"/>
  <c r="K180" i="4" s="1"/>
  <c r="J964" i="1"/>
  <c r="I964" i="1"/>
  <c r="I965" i="1"/>
  <c r="I181" i="4"/>
  <c r="H181" i="4"/>
  <c r="K966" i="1"/>
  <c r="J966" i="1"/>
  <c r="I966" i="1"/>
  <c r="K967" i="1"/>
  <c r="J967" i="1"/>
  <c r="I967" i="1"/>
  <c r="I968" i="1"/>
  <c r="L968" i="1" s="1"/>
  <c r="M968" i="1" s="1"/>
  <c r="I969" i="1"/>
  <c r="L969" i="1" s="1"/>
  <c r="M969" i="1" s="1"/>
  <c r="H182" i="4"/>
  <c r="J182" i="4" s="1"/>
  <c r="K182" i="4" s="1"/>
  <c r="I183" i="4"/>
  <c r="H183" i="4"/>
  <c r="H184" i="4"/>
  <c r="J184" i="4" s="1"/>
  <c r="K184" i="4" s="1"/>
  <c r="J970" i="1"/>
  <c r="I970" i="1"/>
  <c r="I971" i="1"/>
  <c r="L971" i="1" s="1"/>
  <c r="M971" i="1" s="1"/>
  <c r="H185" i="4"/>
  <c r="J185" i="4" s="1"/>
  <c r="K185" i="4" s="1"/>
  <c r="J972" i="1"/>
  <c r="I972" i="1"/>
  <c r="I973" i="1"/>
  <c r="L973" i="1" s="1"/>
  <c r="M973" i="1" s="1"/>
  <c r="I974" i="1"/>
  <c r="L974" i="1" s="1"/>
  <c r="M974" i="1" s="1"/>
  <c r="J975" i="1"/>
  <c r="I975" i="1"/>
  <c r="I976" i="1"/>
  <c r="L976" i="1" s="1"/>
  <c r="M976" i="1" s="1"/>
  <c r="H186" i="4"/>
  <c r="J186" i="4" s="1"/>
  <c r="K186" i="4" s="1"/>
  <c r="J977" i="1"/>
  <c r="I977" i="1"/>
  <c r="I978" i="1"/>
  <c r="K979" i="1"/>
  <c r="J979" i="1"/>
  <c r="I979" i="1"/>
  <c r="J980" i="1"/>
  <c r="I980" i="1"/>
  <c r="I981" i="1"/>
  <c r="I187" i="4"/>
  <c r="H187" i="4"/>
  <c r="J984" i="1"/>
  <c r="I188" i="4"/>
  <c r="H188" i="4"/>
  <c r="K982" i="1"/>
  <c r="J982" i="1"/>
  <c r="I982" i="1"/>
  <c r="K983" i="1"/>
  <c r="J983" i="1"/>
  <c r="I983" i="1"/>
  <c r="H189" i="4"/>
  <c r="J189" i="4" s="1"/>
  <c r="K189" i="4" s="1"/>
  <c r="I984" i="1"/>
  <c r="I985" i="1"/>
  <c r="L985" i="1" s="1"/>
  <c r="M985" i="1" s="1"/>
  <c r="I986" i="1"/>
  <c r="L986" i="1" s="1"/>
  <c r="M986" i="1" s="1"/>
  <c r="I987" i="1"/>
  <c r="L987" i="1" s="1"/>
  <c r="M987" i="1" s="1"/>
  <c r="J988" i="1"/>
  <c r="I988" i="1"/>
  <c r="H190" i="4"/>
  <c r="J190" i="4" s="1"/>
  <c r="K190" i="4" s="1"/>
  <c r="J990" i="1"/>
  <c r="I989" i="1"/>
  <c r="L989" i="1" s="1"/>
  <c r="M989" i="1" s="1"/>
  <c r="I990" i="1"/>
  <c r="I991" i="1"/>
  <c r="L991" i="1" s="1"/>
  <c r="M991" i="1" s="1"/>
  <c r="I992" i="1"/>
  <c r="L992" i="1" s="1"/>
  <c r="M992" i="1" s="1"/>
  <c r="H191" i="4"/>
  <c r="J191" i="4" s="1"/>
  <c r="K191" i="4" s="1"/>
  <c r="J993" i="1"/>
  <c r="I993" i="1"/>
  <c r="I994" i="1"/>
  <c r="L994" i="1" s="1"/>
  <c r="M994" i="1" s="1"/>
  <c r="I995" i="1"/>
  <c r="L995" i="1" s="1"/>
  <c r="M995" i="1" s="1"/>
  <c r="H192" i="4"/>
  <c r="J192" i="4" s="1"/>
  <c r="K192" i="4" s="1"/>
  <c r="I996" i="1"/>
  <c r="L996" i="1" s="1"/>
  <c r="M996" i="1" s="1"/>
  <c r="I997" i="1"/>
  <c r="L997" i="1" s="1"/>
  <c r="M997" i="1" s="1"/>
  <c r="J999" i="1"/>
  <c r="I998" i="1"/>
  <c r="L998" i="1" s="1"/>
  <c r="M998" i="1" s="1"/>
  <c r="I999" i="1"/>
  <c r="H193" i="4"/>
  <c r="J193" i="4" s="1"/>
  <c r="K193" i="4" s="1"/>
  <c r="I1000" i="1"/>
  <c r="L1000" i="1" s="1"/>
  <c r="M1000" i="1" s="1"/>
  <c r="I1001" i="1"/>
  <c r="L1001" i="1" s="1"/>
  <c r="M1001" i="1" s="1"/>
  <c r="I1002" i="1"/>
  <c r="L1002" i="1" s="1"/>
  <c r="M1002" i="1" s="1"/>
  <c r="I1003" i="1"/>
  <c r="L1003" i="1" s="1"/>
  <c r="M1003" i="1" s="1"/>
  <c r="K1004" i="1"/>
  <c r="J1004" i="1"/>
  <c r="I1004" i="1"/>
  <c r="I1005" i="1"/>
  <c r="L1005" i="1" s="1"/>
  <c r="M1005" i="1" s="1"/>
  <c r="H194" i="4"/>
  <c r="J194" i="4" s="1"/>
  <c r="K194" i="4" s="1"/>
  <c r="J1007" i="1"/>
  <c r="J1006" i="1"/>
  <c r="I1006" i="1"/>
  <c r="I1007" i="1"/>
  <c r="I1008" i="1"/>
  <c r="L1008" i="1" s="1"/>
  <c r="M1008" i="1" s="1"/>
  <c r="I1009" i="1"/>
  <c r="L1009" i="1" s="1"/>
  <c r="M1009" i="1" s="1"/>
  <c r="H195" i="4"/>
  <c r="J195" i="4" s="1"/>
  <c r="K195" i="4" s="1"/>
  <c r="I1011" i="1"/>
  <c r="L1011" i="1" s="1"/>
  <c r="M1011" i="1" s="1"/>
  <c r="I1010" i="1"/>
  <c r="L1010" i="1" s="1"/>
  <c r="M1010" i="1" s="1"/>
  <c r="I1012" i="1"/>
  <c r="L1012" i="1" s="1"/>
  <c r="M1012" i="1" s="1"/>
  <c r="H196" i="4"/>
  <c r="J196" i="4" s="1"/>
  <c r="K196" i="4" s="1"/>
  <c r="I197" i="4"/>
  <c r="K1015" i="1"/>
  <c r="I1016" i="1"/>
  <c r="J1013" i="1"/>
  <c r="I1013" i="1"/>
  <c r="J1014" i="1"/>
  <c r="I1014" i="1"/>
  <c r="J1015" i="1"/>
  <c r="I1015" i="1"/>
  <c r="H197" i="4"/>
  <c r="I198" i="4"/>
  <c r="H198" i="4"/>
  <c r="H199" i="4"/>
  <c r="J199" i="4" s="1"/>
  <c r="K199" i="4" s="1"/>
  <c r="K1017" i="1"/>
  <c r="I1018" i="1"/>
  <c r="L1018" i="1" s="1"/>
  <c r="M1018" i="1" s="1"/>
  <c r="J1017" i="1"/>
  <c r="I1017" i="1"/>
  <c r="I1019" i="1"/>
  <c r="L1019" i="1" s="1"/>
  <c r="M1019" i="1" s="1"/>
  <c r="H200" i="4"/>
  <c r="J200" i="4" s="1"/>
  <c r="K200" i="4" s="1"/>
  <c r="J1024" i="1"/>
  <c r="I1024" i="1"/>
  <c r="I1025" i="1"/>
  <c r="L1025" i="1" s="1"/>
  <c r="M1025" i="1" s="1"/>
  <c r="I1020" i="1"/>
  <c r="L1020" i="1" s="1"/>
  <c r="M1020" i="1" s="1"/>
  <c r="I1021" i="1"/>
  <c r="L1021" i="1" s="1"/>
  <c r="M1021" i="1" s="1"/>
  <c r="I1022" i="1"/>
  <c r="L1022" i="1" s="1"/>
  <c r="M1022" i="1" s="1"/>
  <c r="I1023" i="1"/>
  <c r="L1023" i="1" s="1"/>
  <c r="M1023" i="1" s="1"/>
  <c r="I1026" i="1"/>
  <c r="L1026" i="1" s="1"/>
  <c r="M1026" i="1" s="1"/>
  <c r="I1029" i="1"/>
  <c r="L1029" i="1" s="1"/>
  <c r="M1029" i="1" s="1"/>
  <c r="J1027" i="1"/>
  <c r="I1027" i="1"/>
  <c r="I1028" i="1"/>
  <c r="L1028" i="1" s="1"/>
  <c r="M1028" i="1" s="1"/>
  <c r="I1030" i="1"/>
  <c r="L1030" i="1" s="1"/>
  <c r="M1030" i="1" s="1"/>
  <c r="I1031" i="1"/>
  <c r="L1031" i="1" s="1"/>
  <c r="M1031" i="1" s="1"/>
  <c r="H201" i="4"/>
  <c r="J201" i="4" s="1"/>
  <c r="K201" i="4" s="1"/>
  <c r="H202" i="4"/>
  <c r="J202" i="4" s="1"/>
  <c r="K202" i="4" s="1"/>
  <c r="H203" i="4"/>
  <c r="J203" i="4" s="1"/>
  <c r="K203" i="4" s="1"/>
  <c r="I1032" i="1"/>
  <c r="L1032" i="1" s="1"/>
  <c r="M1032" i="1" s="1"/>
  <c r="H204" i="4"/>
  <c r="J204" i="4" s="1"/>
  <c r="K204" i="4" s="1"/>
  <c r="H205" i="4"/>
  <c r="J205" i="4" s="1"/>
  <c r="K205" i="4" s="1"/>
  <c r="J1033" i="1"/>
  <c r="J1035" i="1"/>
  <c r="I1033" i="1"/>
  <c r="I1034" i="1"/>
  <c r="L1034" i="1" s="1"/>
  <c r="M1034" i="1" s="1"/>
  <c r="I1035" i="1"/>
  <c r="J1036" i="1"/>
  <c r="I1036" i="1"/>
  <c r="J1038" i="1"/>
  <c r="I1037" i="1"/>
  <c r="L1037" i="1" s="1"/>
  <c r="M1037" i="1" s="1"/>
  <c r="H206" i="4"/>
  <c r="J206" i="4" s="1"/>
  <c r="K206" i="4" s="1"/>
  <c r="I1038" i="1"/>
  <c r="K1039" i="1"/>
  <c r="J1039" i="1"/>
  <c r="I1039" i="1"/>
  <c r="I207" i="4"/>
  <c r="H207" i="4"/>
  <c r="I1040" i="1"/>
  <c r="L1040" i="1" s="1"/>
  <c r="M1040" i="1" s="1"/>
  <c r="I1041" i="1"/>
  <c r="L1041" i="1" s="1"/>
  <c r="M1041" i="1" s="1"/>
  <c r="I1042" i="1"/>
  <c r="L1042" i="1" s="1"/>
  <c r="M1042" i="1" s="1"/>
  <c r="J1043" i="1"/>
  <c r="I1043" i="1"/>
  <c r="J1044" i="1"/>
  <c r="I1045" i="1"/>
  <c r="L1045" i="1" s="1"/>
  <c r="M1045" i="1" s="1"/>
  <c r="H208" i="4"/>
  <c r="J208" i="4" s="1"/>
  <c r="K208" i="4" s="1"/>
  <c r="H209" i="4"/>
  <c r="J209" i="4" s="1"/>
  <c r="K209" i="4" s="1"/>
  <c r="H210" i="4"/>
  <c r="J210" i="4" s="1"/>
  <c r="K210" i="4" s="1"/>
  <c r="I1044" i="1"/>
  <c r="I1046" i="1"/>
  <c r="L1046" i="1" s="1"/>
  <c r="M1046" i="1" s="1"/>
  <c r="I1047" i="1"/>
  <c r="L1047" i="1" s="1"/>
  <c r="M1047" i="1" s="1"/>
  <c r="I1048" i="1"/>
  <c r="L1048" i="1" s="1"/>
  <c r="M1048" i="1" s="1"/>
  <c r="I1049" i="1"/>
  <c r="L1049" i="1" s="1"/>
  <c r="M1049" i="1" s="1"/>
  <c r="I1050" i="1"/>
  <c r="L1050" i="1" s="1"/>
  <c r="M1050" i="1" s="1"/>
  <c r="I1051" i="1"/>
  <c r="L1051" i="1" s="1"/>
  <c r="M1051" i="1" s="1"/>
  <c r="I1052" i="1"/>
  <c r="I1055" i="1"/>
  <c r="L1055" i="1" s="1"/>
  <c r="M1055" i="1" s="1"/>
  <c r="K1053" i="1"/>
  <c r="J1053" i="1"/>
  <c r="I1053" i="1"/>
  <c r="K1054" i="1"/>
  <c r="J1054" i="1"/>
  <c r="I1054" i="1"/>
  <c r="I1056" i="1"/>
  <c r="L1056" i="1" s="1"/>
  <c r="M1056" i="1" s="1"/>
  <c r="J1057" i="1"/>
  <c r="I1057" i="1"/>
  <c r="I1058" i="1"/>
  <c r="L1058" i="1" s="1"/>
  <c r="M1058" i="1" s="1"/>
  <c r="I1059" i="1"/>
  <c r="L1059" i="1" s="1"/>
  <c r="M1059" i="1" s="1"/>
  <c r="I1060" i="1"/>
  <c r="L1060" i="1" s="1"/>
  <c r="M1060" i="1" s="1"/>
  <c r="I1061" i="1"/>
  <c r="L1061" i="1" s="1"/>
  <c r="M1061" i="1" s="1"/>
  <c r="I1062" i="1"/>
  <c r="L1062" i="1" s="1"/>
  <c r="M1062" i="1" s="1"/>
  <c r="I1063" i="1"/>
  <c r="H211" i="4"/>
  <c r="J211" i="4" s="1"/>
  <c r="K211" i="4" s="1"/>
  <c r="H212" i="4"/>
  <c r="J212" i="4" s="1"/>
  <c r="K212" i="4" s="1"/>
  <c r="H213" i="4"/>
  <c r="J213" i="4" s="1"/>
  <c r="K213" i="4" s="1"/>
  <c r="J1064" i="1"/>
  <c r="I1064" i="1"/>
  <c r="I1065" i="1"/>
  <c r="L1065" i="1" s="1"/>
  <c r="M1065" i="1" s="1"/>
  <c r="I1066" i="1"/>
  <c r="L1066" i="1" s="1"/>
  <c r="M1066" i="1" s="1"/>
  <c r="J1067" i="1"/>
  <c r="I1067" i="1"/>
  <c r="J1068" i="1"/>
  <c r="I1068" i="1"/>
  <c r="I1069" i="1"/>
  <c r="L1069" i="1" s="1"/>
  <c r="M1069" i="1" s="1"/>
  <c r="I1070" i="1"/>
  <c r="L1070" i="1" s="1"/>
  <c r="M1070" i="1" s="1"/>
  <c r="I1071" i="1"/>
  <c r="L1071" i="1" s="1"/>
  <c r="M1071" i="1" s="1"/>
  <c r="I1072" i="1"/>
  <c r="L1072" i="1" s="1"/>
  <c r="M1072" i="1" s="1"/>
  <c r="H214" i="4"/>
  <c r="I1073" i="1"/>
  <c r="L1073" i="1" s="1"/>
  <c r="M1073" i="1" s="1"/>
  <c r="I1075" i="1"/>
  <c r="L1075" i="1" s="1"/>
  <c r="M1075" i="1" s="1"/>
  <c r="I215" i="4"/>
  <c r="H215" i="4"/>
  <c r="I1074" i="1"/>
  <c r="L1074" i="1" s="1"/>
  <c r="M1074" i="1" s="1"/>
  <c r="I1076" i="1"/>
  <c r="L1076" i="1" s="1"/>
  <c r="M1076" i="1" s="1"/>
  <c r="I1077" i="1"/>
  <c r="L1077" i="1" s="1"/>
  <c r="M1077" i="1" s="1"/>
  <c r="K1078" i="1"/>
  <c r="J1078" i="1"/>
  <c r="I1078" i="1"/>
  <c r="J1079" i="1"/>
  <c r="I1079" i="1"/>
  <c r="H216" i="4"/>
  <c r="J216" i="4" s="1"/>
  <c r="K216" i="4" s="1"/>
  <c r="J1080" i="1"/>
  <c r="I1080" i="1"/>
  <c r="I1081" i="1"/>
  <c r="J1082" i="1"/>
  <c r="I1082" i="1"/>
  <c r="I1084" i="1"/>
  <c r="L1084" i="1" s="1"/>
  <c r="M1084" i="1" s="1"/>
  <c r="I1083" i="1"/>
  <c r="I1085" i="1"/>
  <c r="I1086" i="1"/>
  <c r="L1086" i="1" s="1"/>
  <c r="M1086" i="1" s="1"/>
  <c r="I1087" i="1"/>
  <c r="L1087" i="1" s="1"/>
  <c r="M1087" i="1" s="1"/>
  <c r="I1088" i="1"/>
  <c r="L1088" i="1" s="1"/>
  <c r="M1088" i="1" s="1"/>
  <c r="I1089" i="1"/>
  <c r="L1089" i="1" s="1"/>
  <c r="M1089" i="1" s="1"/>
  <c r="I1090" i="1"/>
  <c r="L1090" i="1" s="1"/>
  <c r="M1090" i="1" s="1"/>
  <c r="I1091" i="1"/>
  <c r="L1091" i="1" s="1"/>
  <c r="M1091" i="1" s="1"/>
  <c r="I1093" i="1"/>
  <c r="L1093" i="1" s="1"/>
  <c r="M1093" i="1" s="1"/>
  <c r="J1092" i="1"/>
  <c r="I1092" i="1"/>
  <c r="I1094" i="1"/>
  <c r="L1094" i="1" s="1"/>
  <c r="M1094" i="1" s="1"/>
  <c r="I1096" i="1"/>
  <c r="L1096" i="1" s="1"/>
  <c r="M1096" i="1" s="1"/>
  <c r="I1095" i="1"/>
  <c r="L1095" i="1" s="1"/>
  <c r="M1095" i="1" s="1"/>
  <c r="I1099" i="1"/>
  <c r="H217" i="4"/>
  <c r="J217" i="4" s="1"/>
  <c r="K217" i="4" s="1"/>
  <c r="I1097" i="1"/>
  <c r="L1097" i="1" s="1"/>
  <c r="M1097" i="1" s="1"/>
  <c r="I1098" i="1"/>
  <c r="L1098" i="1" s="1"/>
  <c r="M1098" i="1" s="1"/>
  <c r="H218" i="4"/>
  <c r="J218" i="4" s="1"/>
  <c r="K218" i="4" s="1"/>
  <c r="H219" i="4"/>
  <c r="J219" i="4" s="1"/>
  <c r="K219" i="4" s="1"/>
  <c r="J1100" i="1"/>
  <c r="I1100" i="1"/>
  <c r="J1101" i="1"/>
  <c r="I1101" i="1"/>
  <c r="I1102" i="1"/>
  <c r="L1102" i="1" s="1"/>
  <c r="M1102" i="1" s="1"/>
  <c r="I1103" i="1"/>
  <c r="L1103" i="1" s="1"/>
  <c r="M1103" i="1" s="1"/>
  <c r="I1104" i="1"/>
  <c r="L1104" i="1" s="1"/>
  <c r="M1104" i="1" s="1"/>
  <c r="H220" i="4"/>
  <c r="J220" i="4" s="1"/>
  <c r="K220" i="4" s="1"/>
  <c r="I1105" i="1"/>
  <c r="L1105" i="1" s="1"/>
  <c r="M1105" i="1" s="1"/>
  <c r="I1106" i="1"/>
  <c r="L1106" i="1" s="1"/>
  <c r="M1106" i="1" s="1"/>
  <c r="I1108" i="1"/>
  <c r="L1108" i="1" s="1"/>
  <c r="M1108" i="1" s="1"/>
  <c r="I1107" i="1"/>
  <c r="L1107" i="1" s="1"/>
  <c r="M1107" i="1" s="1"/>
  <c r="H221" i="4"/>
  <c r="J221" i="4" s="1"/>
  <c r="K221" i="4" s="1"/>
  <c r="I1109" i="1"/>
  <c r="L1109" i="1" s="1"/>
  <c r="M1109" i="1" s="1"/>
  <c r="I1110" i="1"/>
  <c r="L1110" i="1" s="1"/>
  <c r="M1110" i="1" s="1"/>
  <c r="I1111" i="1"/>
  <c r="L1111" i="1" s="1"/>
  <c r="M1111" i="1" s="1"/>
  <c r="I1112" i="1"/>
  <c r="L1112" i="1" s="1"/>
  <c r="M1112" i="1" s="1"/>
  <c r="I1113" i="1"/>
  <c r="L1113" i="1" s="1"/>
  <c r="M1113" i="1" s="1"/>
  <c r="I1114" i="1"/>
  <c r="L1114" i="1" s="1"/>
  <c r="M1114" i="1" s="1"/>
  <c r="K1115" i="1"/>
  <c r="J1115" i="1"/>
  <c r="I1115" i="1"/>
  <c r="J1116" i="1"/>
  <c r="I1116" i="1"/>
  <c r="I1117" i="1"/>
  <c r="L1117" i="1" s="1"/>
  <c r="M1117" i="1" s="1"/>
  <c r="I1118" i="1"/>
  <c r="I222" i="4"/>
  <c r="H222" i="4"/>
  <c r="H223" i="4"/>
  <c r="J223" i="4" s="1"/>
  <c r="K223" i="4" s="1"/>
  <c r="I1123" i="1"/>
  <c r="L1123" i="1" s="1"/>
  <c r="M1123" i="1" s="1"/>
  <c r="J1121" i="1"/>
  <c r="I1121" i="1"/>
  <c r="I1122" i="1"/>
  <c r="L1122" i="1" s="1"/>
  <c r="M1122" i="1" s="1"/>
  <c r="K1120" i="1"/>
  <c r="J1120" i="1"/>
  <c r="I1120" i="1"/>
  <c r="K1119" i="1"/>
  <c r="J1119" i="1"/>
  <c r="I1119" i="1"/>
  <c r="I1124" i="1"/>
  <c r="L1124" i="1" s="1"/>
  <c r="M1124" i="1" s="1"/>
  <c r="I1125" i="1"/>
  <c r="L1125" i="1" s="1"/>
  <c r="M1125" i="1" s="1"/>
  <c r="I1126" i="1"/>
  <c r="L1126" i="1" s="1"/>
  <c r="M1126" i="1" s="1"/>
  <c r="I1127" i="1"/>
  <c r="L1127" i="1" s="1"/>
  <c r="M1127" i="1" s="1"/>
  <c r="I1128" i="1"/>
  <c r="L1128" i="1" s="1"/>
  <c r="M1128" i="1" s="1"/>
  <c r="I1129" i="1"/>
  <c r="L1129" i="1" s="1"/>
  <c r="M1129" i="1" s="1"/>
  <c r="I1130" i="1"/>
  <c r="L1130" i="1" s="1"/>
  <c r="M1130" i="1" s="1"/>
  <c r="I1131" i="1"/>
  <c r="L1131" i="1" s="1"/>
  <c r="M1131" i="1" s="1"/>
  <c r="H224" i="4"/>
  <c r="J224" i="4" s="1"/>
  <c r="K224" i="4" s="1"/>
  <c r="I1132" i="1"/>
  <c r="L1132" i="1" s="1"/>
  <c r="M1132" i="1" s="1"/>
  <c r="I1133" i="1"/>
  <c r="L1133" i="1" s="1"/>
  <c r="M1133" i="1" s="1"/>
  <c r="I1134" i="1"/>
  <c r="L1134" i="1" s="1"/>
  <c r="M1134" i="1" s="1"/>
  <c r="K1136" i="1"/>
  <c r="I225" i="4"/>
  <c r="H225" i="4"/>
  <c r="J1135" i="1"/>
  <c r="J1136" i="1"/>
  <c r="I1135" i="1"/>
  <c r="I1136" i="1"/>
  <c r="I1137" i="1"/>
  <c r="L1137" i="1" s="1"/>
  <c r="M1137" i="1" s="1"/>
  <c r="H226" i="4"/>
  <c r="J226" i="4" s="1"/>
  <c r="K226" i="4" s="1"/>
  <c r="I1138" i="1"/>
  <c r="L1138" i="1" s="1"/>
  <c r="M1138" i="1" s="1"/>
  <c r="H227" i="4"/>
  <c r="J227" i="4" s="1"/>
  <c r="K227" i="4" s="1"/>
  <c r="I1139" i="1"/>
  <c r="L1139" i="1" s="1"/>
  <c r="M1139" i="1" s="1"/>
  <c r="I1140" i="1"/>
  <c r="L1140" i="1" s="1"/>
  <c r="M1140" i="1" s="1"/>
  <c r="J1141" i="1"/>
  <c r="I1141" i="1"/>
  <c r="H228" i="4"/>
  <c r="J228" i="4" s="1"/>
  <c r="K228" i="4" s="1"/>
  <c r="H229" i="4"/>
  <c r="I1142" i="1"/>
  <c r="L1142" i="1" s="1"/>
  <c r="M1142" i="1" s="1"/>
  <c r="I1145" i="1"/>
  <c r="L1145" i="1" s="1"/>
  <c r="M1145" i="1" s="1"/>
  <c r="I1143" i="1"/>
  <c r="L1143" i="1" s="1"/>
  <c r="M1143" i="1" s="1"/>
  <c r="I1144" i="1"/>
  <c r="L1144" i="1" s="1"/>
  <c r="M1144" i="1" s="1"/>
  <c r="I230" i="4"/>
  <c r="H230" i="4"/>
  <c r="I1146" i="1"/>
  <c r="K1147" i="1"/>
  <c r="J1147" i="1"/>
  <c r="I1147" i="1"/>
  <c r="I1148" i="1"/>
  <c r="I231" i="4"/>
  <c r="H231" i="4"/>
  <c r="J1150" i="1"/>
  <c r="K1149" i="1"/>
  <c r="J1149" i="1"/>
  <c r="I1149" i="1"/>
  <c r="I1150" i="1"/>
  <c r="L1150" i="1" s="1"/>
  <c r="M1150" i="1" s="1"/>
  <c r="K1151" i="1"/>
  <c r="J1151" i="1"/>
  <c r="I1151" i="1"/>
  <c r="J1152" i="1"/>
  <c r="I1152" i="1"/>
  <c r="I1153" i="1"/>
  <c r="L1153" i="1" s="1"/>
  <c r="M1153" i="1" s="1"/>
  <c r="I1154" i="1"/>
  <c r="L1154" i="1" s="1"/>
  <c r="M1154" i="1" s="1"/>
  <c r="I1155" i="1"/>
  <c r="K1156" i="1"/>
  <c r="J1156" i="1"/>
  <c r="I1156" i="1"/>
  <c r="K1157" i="1"/>
  <c r="J1157" i="1"/>
  <c r="I1157" i="1"/>
  <c r="J1158" i="1"/>
  <c r="I1158" i="1"/>
  <c r="I232" i="4"/>
  <c r="H232" i="4"/>
  <c r="I1159" i="1"/>
  <c r="L1159" i="1" s="1"/>
  <c r="M1159" i="1" s="1"/>
  <c r="H233" i="4"/>
  <c r="J233" i="4" s="1"/>
  <c r="K233" i="4" s="1"/>
  <c r="J1160" i="1"/>
  <c r="I1160" i="1"/>
  <c r="I1161" i="1"/>
  <c r="L1161" i="1" s="1"/>
  <c r="M1161" i="1" s="1"/>
  <c r="H234" i="4"/>
  <c r="J234" i="4" s="1"/>
  <c r="K234" i="4" s="1"/>
  <c r="J1162" i="1"/>
  <c r="I1162" i="1"/>
  <c r="I1163" i="1"/>
  <c r="L1163" i="1" s="1"/>
  <c r="M1163" i="1" s="1"/>
  <c r="H235" i="4"/>
  <c r="J235" i="4" s="1"/>
  <c r="K235" i="4" s="1"/>
  <c r="H236" i="4"/>
  <c r="J236" i="4" s="1"/>
  <c r="K236" i="4" s="1"/>
  <c r="I1164" i="1"/>
  <c r="I1165" i="1"/>
  <c r="I238" i="4"/>
  <c r="K1167" i="1"/>
  <c r="H237" i="4"/>
  <c r="J237" i="4" s="1"/>
  <c r="K237" i="4" s="1"/>
  <c r="H238" i="4"/>
  <c r="J1167" i="1"/>
  <c r="I1167" i="1"/>
  <c r="K1166" i="1"/>
  <c r="J1166" i="1"/>
  <c r="I1166" i="1"/>
  <c r="I1168" i="1"/>
  <c r="L1168" i="1" s="1"/>
  <c r="M1168" i="1" s="1"/>
  <c r="I1169" i="1"/>
  <c r="L1169" i="1" s="1"/>
  <c r="M1169" i="1" s="1"/>
  <c r="H239" i="4"/>
  <c r="J239" i="4" s="1"/>
  <c r="K239" i="4" s="1"/>
  <c r="I1170" i="1"/>
  <c r="L1170" i="1" s="1"/>
  <c r="M1170" i="1" s="1"/>
  <c r="H240" i="4"/>
  <c r="J240" i="4" s="1"/>
  <c r="K240" i="4" s="1"/>
  <c r="I1171" i="1"/>
  <c r="L1171" i="1" s="1"/>
  <c r="M1171" i="1" s="1"/>
  <c r="H241" i="4"/>
  <c r="J241" i="4" s="1"/>
  <c r="K241" i="4" s="1"/>
  <c r="I1174" i="1"/>
  <c r="I1172" i="1"/>
  <c r="L1172" i="1" s="1"/>
  <c r="M1172" i="1" s="1"/>
  <c r="J1173" i="1"/>
  <c r="I1173" i="1"/>
  <c r="J1175" i="1"/>
  <c r="I1175" i="1"/>
  <c r="I1176" i="1"/>
  <c r="K1177" i="1"/>
  <c r="J1177" i="1"/>
  <c r="I1177" i="1"/>
  <c r="H242" i="4"/>
  <c r="J242" i="4" s="1"/>
  <c r="K242" i="4" s="1"/>
  <c r="I1178" i="1"/>
  <c r="L1178" i="1" s="1"/>
  <c r="M1178" i="1" s="1"/>
  <c r="H243" i="4"/>
  <c r="J243" i="4" s="1"/>
  <c r="K243" i="4" s="1"/>
  <c r="J1179" i="1"/>
  <c r="I1179" i="1"/>
  <c r="I1180" i="1"/>
  <c r="L1180" i="1" s="1"/>
  <c r="M1180" i="1" s="1"/>
  <c r="I1184" i="1"/>
  <c r="L1184" i="1" s="1"/>
  <c r="M1184" i="1" s="1"/>
  <c r="I1181" i="1"/>
  <c r="L1181" i="1" s="1"/>
  <c r="M1181" i="1" s="1"/>
  <c r="I1182" i="1"/>
  <c r="L1182" i="1" s="1"/>
  <c r="M1182" i="1" s="1"/>
  <c r="I1183" i="1"/>
  <c r="L1183" i="1" s="1"/>
  <c r="M1183" i="1" s="1"/>
  <c r="I1185" i="1"/>
  <c r="L1185" i="1" s="1"/>
  <c r="M1185" i="1" s="1"/>
  <c r="H244" i="4"/>
  <c r="J244" i="4" s="1"/>
  <c r="K244" i="4" s="1"/>
  <c r="I1186" i="1"/>
  <c r="L1186" i="1" s="1"/>
  <c r="M1186" i="1" s="1"/>
  <c r="I1187" i="1"/>
  <c r="L1187" i="1" s="1"/>
  <c r="M1187" i="1" s="1"/>
  <c r="J1188" i="1"/>
  <c r="I1188" i="1"/>
  <c r="H245" i="4"/>
  <c r="J245" i="4" s="1"/>
  <c r="K245" i="4" s="1"/>
  <c r="H246" i="4"/>
  <c r="J246" i="4" s="1"/>
  <c r="K246" i="4" s="1"/>
  <c r="J177" i="4" l="1"/>
  <c r="K177" i="4" s="1"/>
  <c r="J188" i="4"/>
  <c r="K188" i="4" s="1"/>
  <c r="L1013" i="1"/>
  <c r="M1013" i="1" s="1"/>
  <c r="L927" i="1"/>
  <c r="M927" i="1" s="1"/>
  <c r="L972" i="1"/>
  <c r="M972" i="1" s="1"/>
  <c r="L923" i="1"/>
  <c r="M923" i="1" s="1"/>
  <c r="J238" i="4"/>
  <c r="K238" i="4" s="1"/>
  <c r="J183" i="4"/>
  <c r="K183" i="4" s="1"/>
  <c r="J174" i="4"/>
  <c r="K174" i="4" s="1"/>
  <c r="L925" i="1"/>
  <c r="M925" i="1" s="1"/>
  <c r="L926" i="1"/>
  <c r="M926" i="1" s="1"/>
  <c r="L931" i="1"/>
  <c r="M931" i="1" s="1"/>
  <c r="J173" i="4"/>
  <c r="K173" i="4" s="1"/>
  <c r="L932" i="1"/>
  <c r="M932" i="1" s="1"/>
  <c r="L935" i="1"/>
  <c r="M935" i="1" s="1"/>
  <c r="J230" i="4"/>
  <c r="K230" i="4" s="1"/>
  <c r="L966" i="1"/>
  <c r="M966" i="1" s="1"/>
  <c r="L970" i="1"/>
  <c r="M970" i="1" s="1"/>
  <c r="L977" i="1"/>
  <c r="M977" i="1" s="1"/>
  <c r="L964" i="1"/>
  <c r="M964" i="1" s="1"/>
  <c r="L936" i="1"/>
  <c r="M936" i="1" s="1"/>
  <c r="L937" i="1"/>
  <c r="M937" i="1" s="1"/>
  <c r="L940" i="1"/>
  <c r="M940" i="1" s="1"/>
  <c r="L938" i="1"/>
  <c r="M938" i="1" s="1"/>
  <c r="L939" i="1"/>
  <c r="M939" i="1" s="1"/>
  <c r="L942" i="1"/>
  <c r="M942" i="1" s="1"/>
  <c r="L943" i="1"/>
  <c r="M943" i="1" s="1"/>
  <c r="L944" i="1"/>
  <c r="M944" i="1" s="1"/>
  <c r="L946" i="1"/>
  <c r="M946" i="1" s="1"/>
  <c r="L945" i="1"/>
  <c r="M945" i="1" s="1"/>
  <c r="L947" i="1"/>
  <c r="M947" i="1" s="1"/>
  <c r="J176" i="4"/>
  <c r="K176" i="4" s="1"/>
  <c r="L954" i="1"/>
  <c r="M954" i="1" s="1"/>
  <c r="L952" i="1"/>
  <c r="M952" i="1" s="1"/>
  <c r="L953" i="1"/>
  <c r="M953" i="1" s="1"/>
  <c r="L959" i="1"/>
  <c r="M959" i="1" s="1"/>
  <c r="L960" i="1"/>
  <c r="M960" i="1" s="1"/>
  <c r="L961" i="1"/>
  <c r="M961" i="1" s="1"/>
  <c r="J178" i="4"/>
  <c r="K178" i="4" s="1"/>
  <c r="L962" i="1"/>
  <c r="M962" i="1" s="1"/>
  <c r="L963" i="1"/>
  <c r="M963" i="1" s="1"/>
  <c r="L965" i="1"/>
  <c r="M965" i="1" s="1"/>
  <c r="J181" i="4"/>
  <c r="K181" i="4" s="1"/>
  <c r="L967" i="1"/>
  <c r="M967" i="1" s="1"/>
  <c r="L975" i="1"/>
  <c r="M975" i="1" s="1"/>
  <c r="L978" i="1"/>
  <c r="M978" i="1" s="1"/>
  <c r="L979" i="1"/>
  <c r="M979" i="1" s="1"/>
  <c r="L980" i="1"/>
  <c r="M980" i="1" s="1"/>
  <c r="L981" i="1"/>
  <c r="M981" i="1" s="1"/>
  <c r="J187" i="4"/>
  <c r="K187" i="4" s="1"/>
  <c r="L984" i="1"/>
  <c r="M984" i="1" s="1"/>
  <c r="L982" i="1"/>
  <c r="M982" i="1" s="1"/>
  <c r="L983" i="1"/>
  <c r="M983" i="1" s="1"/>
  <c r="L988" i="1"/>
  <c r="M988" i="1" s="1"/>
  <c r="L990" i="1"/>
  <c r="M990" i="1" s="1"/>
  <c r="L993" i="1"/>
  <c r="M993" i="1" s="1"/>
  <c r="L999" i="1"/>
  <c r="M999" i="1" s="1"/>
  <c r="L1007" i="1"/>
  <c r="M1007" i="1" s="1"/>
  <c r="L1004" i="1"/>
  <c r="M1004" i="1" s="1"/>
  <c r="L1006" i="1"/>
  <c r="M1006" i="1" s="1"/>
  <c r="J197" i="4"/>
  <c r="K197" i="4" s="1"/>
  <c r="L1016" i="1"/>
  <c r="M1016" i="1" s="1"/>
  <c r="L1014" i="1"/>
  <c r="M1014" i="1" s="1"/>
  <c r="L1015" i="1"/>
  <c r="M1015" i="1" s="1"/>
  <c r="J198" i="4"/>
  <c r="K198" i="4" s="1"/>
  <c r="L1017" i="1"/>
  <c r="M1017" i="1" s="1"/>
  <c r="L1024" i="1"/>
  <c r="M1024" i="1" s="1"/>
  <c r="L1027" i="1"/>
  <c r="M1027" i="1" s="1"/>
  <c r="L1033" i="1"/>
  <c r="M1033" i="1" s="1"/>
  <c r="L1035" i="1"/>
  <c r="M1035" i="1" s="1"/>
  <c r="L1064" i="1"/>
  <c r="M1064" i="1" s="1"/>
  <c r="L1036" i="1"/>
  <c r="M1036" i="1" s="1"/>
  <c r="L1038" i="1"/>
  <c r="M1038" i="1" s="1"/>
  <c r="L1039" i="1"/>
  <c r="M1039" i="1" s="1"/>
  <c r="J207" i="4"/>
  <c r="K207" i="4" s="1"/>
  <c r="L1043" i="1"/>
  <c r="M1043" i="1" s="1"/>
  <c r="L1044" i="1"/>
  <c r="M1044" i="1" s="1"/>
  <c r="L1052" i="1"/>
  <c r="M1052" i="1" s="1"/>
  <c r="L1053" i="1"/>
  <c r="M1053" i="1" s="1"/>
  <c r="L1054" i="1"/>
  <c r="M1054" i="1" s="1"/>
  <c r="L1057" i="1"/>
  <c r="M1057" i="1" s="1"/>
  <c r="L1063" i="1"/>
  <c r="M1063" i="1" s="1"/>
  <c r="L1067" i="1"/>
  <c r="M1067" i="1" s="1"/>
  <c r="L1068" i="1"/>
  <c r="M1068" i="1" s="1"/>
  <c r="L1082" i="1"/>
  <c r="M1082" i="1" s="1"/>
  <c r="J214" i="4"/>
  <c r="K214" i="4" s="1"/>
  <c r="J215" i="4"/>
  <c r="K215" i="4" s="1"/>
  <c r="L1078" i="1"/>
  <c r="M1078" i="1" s="1"/>
  <c r="L1079" i="1"/>
  <c r="M1079" i="1" s="1"/>
  <c r="L1080" i="1"/>
  <c r="M1080" i="1" s="1"/>
  <c r="L1081" i="1"/>
  <c r="M1081" i="1" s="1"/>
  <c r="L1083" i="1"/>
  <c r="M1083" i="1" s="1"/>
  <c r="L1085" i="1"/>
  <c r="M1085" i="1" s="1"/>
  <c r="L1092" i="1"/>
  <c r="M1092" i="1" s="1"/>
  <c r="L1099" i="1"/>
  <c r="M1099" i="1" s="1"/>
  <c r="L1100" i="1"/>
  <c r="M1100" i="1" s="1"/>
  <c r="L1101" i="1"/>
  <c r="M1101" i="1" s="1"/>
  <c r="L1116" i="1"/>
  <c r="M1116" i="1" s="1"/>
  <c r="L1115" i="1"/>
  <c r="M1115" i="1" s="1"/>
  <c r="L1118" i="1"/>
  <c r="M1118" i="1" s="1"/>
  <c r="J222" i="4"/>
  <c r="K222" i="4" s="1"/>
  <c r="L1121" i="1"/>
  <c r="M1121" i="1" s="1"/>
  <c r="L1120" i="1"/>
  <c r="M1120" i="1" s="1"/>
  <c r="L1119" i="1"/>
  <c r="M1119" i="1" s="1"/>
  <c r="L1162" i="1"/>
  <c r="M1162" i="1" s="1"/>
  <c r="J225" i="4"/>
  <c r="K225" i="4" s="1"/>
  <c r="L1135" i="1"/>
  <c r="M1135" i="1" s="1"/>
  <c r="L1136" i="1"/>
  <c r="M1136" i="1" s="1"/>
  <c r="L1141" i="1"/>
  <c r="M1141" i="1" s="1"/>
  <c r="J229" i="4"/>
  <c r="K229" i="4" s="1"/>
  <c r="L1146" i="1"/>
  <c r="M1146" i="1" s="1"/>
  <c r="L1147" i="1"/>
  <c r="M1147" i="1" s="1"/>
  <c r="L1148" i="1"/>
  <c r="M1148" i="1" s="1"/>
  <c r="J231" i="4"/>
  <c r="K231" i="4" s="1"/>
  <c r="L1149" i="1"/>
  <c r="M1149" i="1" s="1"/>
  <c r="L1151" i="1"/>
  <c r="M1151" i="1" s="1"/>
  <c r="L1152" i="1"/>
  <c r="M1152" i="1" s="1"/>
  <c r="L1155" i="1"/>
  <c r="M1155" i="1" s="1"/>
  <c r="L1156" i="1"/>
  <c r="M1156" i="1" s="1"/>
  <c r="L1157" i="1"/>
  <c r="M1157" i="1" s="1"/>
  <c r="L1158" i="1"/>
  <c r="M1158" i="1" s="1"/>
  <c r="J232" i="4"/>
  <c r="K232" i="4" s="1"/>
  <c r="L1160" i="1"/>
  <c r="M1160" i="1" s="1"/>
  <c r="L1164" i="1"/>
  <c r="M1164" i="1" s="1"/>
  <c r="L1165" i="1"/>
  <c r="M1165" i="1" s="1"/>
  <c r="L1167" i="1"/>
  <c r="M1167" i="1" s="1"/>
  <c r="L1166" i="1"/>
  <c r="M1166" i="1" s="1"/>
  <c r="L1173" i="1"/>
  <c r="M1173" i="1" s="1"/>
  <c r="L1174" i="1"/>
  <c r="M1174" i="1" s="1"/>
  <c r="L1175" i="1"/>
  <c r="M1175" i="1" s="1"/>
  <c r="L1176" i="1"/>
  <c r="M1176" i="1" s="1"/>
  <c r="L1177" i="1"/>
  <c r="M1177" i="1" s="1"/>
  <c r="L1179" i="1"/>
  <c r="M1179" i="1" s="1"/>
  <c r="L1188" i="1"/>
  <c r="M1188" i="1" s="1"/>
  <c r="I1189" i="1"/>
  <c r="L1189" i="1" s="1"/>
  <c r="M1189" i="1" s="1"/>
  <c r="I1190" i="1"/>
  <c r="L1190" i="1" s="1"/>
  <c r="M1190" i="1" s="1"/>
  <c r="I1191" i="1"/>
  <c r="L1191" i="1" s="1"/>
  <c r="M1191" i="1" s="1"/>
  <c r="K1192" i="1"/>
  <c r="J1192" i="1"/>
  <c r="I1192" i="1"/>
  <c r="I1193" i="1"/>
  <c r="L1193" i="1" s="1"/>
  <c r="M1193" i="1" s="1"/>
  <c r="I1194" i="1"/>
  <c r="L1194" i="1" s="1"/>
  <c r="M1194" i="1" s="1"/>
  <c r="I1195" i="1"/>
  <c r="L1195" i="1" s="1"/>
  <c r="M1195" i="1" s="1"/>
  <c r="I1196" i="1"/>
  <c r="L1196" i="1" s="1"/>
  <c r="M1196" i="1" s="1"/>
  <c r="I1197" i="1"/>
  <c r="L1197" i="1" s="1"/>
  <c r="M1197" i="1" s="1"/>
  <c r="I1198" i="1"/>
  <c r="J1199" i="1"/>
  <c r="I1199" i="1"/>
  <c r="I1200" i="1"/>
  <c r="L1200" i="1" s="1"/>
  <c r="M1200" i="1" s="1"/>
  <c r="I1201" i="1"/>
  <c r="L1201" i="1" s="1"/>
  <c r="M1201" i="1" s="1"/>
  <c r="I1202" i="1"/>
  <c r="L1202" i="1" s="1"/>
  <c r="M1202" i="1" s="1"/>
  <c r="I1203" i="1"/>
  <c r="L1203" i="1" s="1"/>
  <c r="M1203" i="1" s="1"/>
  <c r="I1204" i="1"/>
  <c r="L1204" i="1" s="1"/>
  <c r="M1204" i="1" s="1"/>
  <c r="I1205" i="1"/>
  <c r="L1205" i="1" s="1"/>
  <c r="M1205" i="1" s="1"/>
  <c r="J1206" i="1"/>
  <c r="I1206" i="1"/>
  <c r="H247" i="4"/>
  <c r="J247" i="4" s="1"/>
  <c r="K247" i="4" s="1"/>
  <c r="H248" i="4"/>
  <c r="J248" i="4" s="1"/>
  <c r="K248" i="4" s="1"/>
  <c r="I249" i="4"/>
  <c r="H249" i="4"/>
  <c r="I1208" i="1"/>
  <c r="L1208" i="1" s="1"/>
  <c r="M1208" i="1" s="1"/>
  <c r="I1207" i="1"/>
  <c r="L1207" i="1" s="1"/>
  <c r="M1207" i="1" s="1"/>
  <c r="I1210" i="1"/>
  <c r="L1210" i="1" s="1"/>
  <c r="M1210" i="1" s="1"/>
  <c r="I1209" i="1"/>
  <c r="L1209" i="1" s="1"/>
  <c r="M1209" i="1" s="1"/>
  <c r="I1211" i="1"/>
  <c r="L1211" i="1" s="1"/>
  <c r="M1211" i="1" s="1"/>
  <c r="H250" i="4"/>
  <c r="J250" i="4" s="1"/>
  <c r="K250" i="4" s="1"/>
  <c r="J1212" i="1"/>
  <c r="I1214" i="1"/>
  <c r="L1214" i="1" s="1"/>
  <c r="M1214" i="1" s="1"/>
  <c r="I1213" i="1"/>
  <c r="L1213" i="1" s="1"/>
  <c r="M1213" i="1" s="1"/>
  <c r="I1212" i="1"/>
  <c r="K1215" i="1"/>
  <c r="J1215" i="1"/>
  <c r="I1215" i="1"/>
  <c r="I251" i="4"/>
  <c r="H251" i="4"/>
  <c r="H252" i="4"/>
  <c r="J252" i="4" s="1"/>
  <c r="K252" i="4" s="1"/>
  <c r="K1216" i="1"/>
  <c r="J1216" i="1"/>
  <c r="I1216" i="1"/>
  <c r="I1217" i="1"/>
  <c r="L1217" i="1" s="1"/>
  <c r="M1217" i="1" s="1"/>
  <c r="I1218" i="1"/>
  <c r="L1218" i="1" s="1"/>
  <c r="M1218" i="1" s="1"/>
  <c r="I1219" i="1"/>
  <c r="L1219" i="1" s="1"/>
  <c r="M1219" i="1" s="1"/>
  <c r="I1220" i="1"/>
  <c r="L1220" i="1" s="1"/>
  <c r="M1220" i="1" s="1"/>
  <c r="I1221" i="1"/>
  <c r="L1221" i="1" s="1"/>
  <c r="M1221" i="1" s="1"/>
  <c r="I1222" i="1"/>
  <c r="L1222" i="1" s="1"/>
  <c r="M1222" i="1" s="1"/>
  <c r="I1223" i="1"/>
  <c r="L1223" i="1" s="1"/>
  <c r="M1223" i="1" s="1"/>
  <c r="H253" i="4"/>
  <c r="J253" i="4" s="1"/>
  <c r="K253" i="4" s="1"/>
  <c r="H254" i="4"/>
  <c r="J254" i="4" s="1"/>
  <c r="K254" i="4" s="1"/>
  <c r="I1224" i="1"/>
  <c r="K1225" i="1"/>
  <c r="J1225" i="1"/>
  <c r="I1225" i="1"/>
  <c r="I1227" i="1"/>
  <c r="J1226" i="1"/>
  <c r="I1226" i="1"/>
  <c r="H255" i="4"/>
  <c r="J255" i="4" s="1"/>
  <c r="K255" i="4" s="1"/>
  <c r="H256" i="4"/>
  <c r="J256" i="4" s="1"/>
  <c r="K256" i="4" s="1"/>
  <c r="J1228" i="1"/>
  <c r="I1228" i="1"/>
  <c r="J1229" i="1"/>
  <c r="I1229" i="1"/>
  <c r="I1230" i="1"/>
  <c r="L1230" i="1" s="1"/>
  <c r="M1230" i="1" s="1"/>
  <c r="I1231" i="1"/>
  <c r="J1232" i="1"/>
  <c r="I1232" i="1"/>
  <c r="I257" i="4"/>
  <c r="H257" i="4"/>
  <c r="J1233" i="1"/>
  <c r="I1233" i="1"/>
  <c r="K1234" i="1"/>
  <c r="J1234" i="1"/>
  <c r="I1234" i="1"/>
  <c r="J1235" i="1"/>
  <c r="I1235" i="1"/>
  <c r="I1236" i="1"/>
  <c r="J1237" i="1"/>
  <c r="I1237" i="1"/>
  <c r="I1238" i="1"/>
  <c r="L1238" i="1" s="1"/>
  <c r="M1238" i="1" s="1"/>
  <c r="H258" i="4"/>
  <c r="J258" i="4" s="1"/>
  <c r="K258" i="4" s="1"/>
  <c r="I1239" i="1"/>
  <c r="L1239" i="1" s="1"/>
  <c r="M1239" i="1" s="1"/>
  <c r="I1240" i="1"/>
  <c r="L1240" i="1" s="1"/>
  <c r="M1240" i="1" s="1"/>
  <c r="I1242" i="1"/>
  <c r="L1242" i="1" s="1"/>
  <c r="M1242" i="1" s="1"/>
  <c r="H259" i="4"/>
  <c r="J259" i="4" s="1"/>
  <c r="K259" i="4" s="1"/>
  <c r="H260" i="4"/>
  <c r="J260" i="4" s="1"/>
  <c r="K260" i="4" s="1"/>
  <c r="I1241" i="1"/>
  <c r="L1241" i="1" s="1"/>
  <c r="M1241" i="1" s="1"/>
  <c r="H261" i="4"/>
  <c r="J261" i="4" s="1"/>
  <c r="K261" i="4" s="1"/>
  <c r="H262" i="4"/>
  <c r="J262" i="4" s="1"/>
  <c r="K262" i="4" s="1"/>
  <c r="I1243" i="1"/>
  <c r="L1243" i="1" s="1"/>
  <c r="M1243" i="1" s="1"/>
  <c r="H263" i="4"/>
  <c r="J263" i="4" s="1"/>
  <c r="K263" i="4" s="1"/>
  <c r="H264" i="4"/>
  <c r="J264" i="4" s="1"/>
  <c r="K264" i="4" s="1"/>
  <c r="I1244" i="1"/>
  <c r="L1244" i="1" s="1"/>
  <c r="M1244" i="1" s="1"/>
  <c r="I1245" i="1"/>
  <c r="L1245" i="1" s="1"/>
  <c r="M1245" i="1" s="1"/>
  <c r="I1246" i="1"/>
  <c r="H265" i="4"/>
  <c r="J265" i="4" s="1"/>
  <c r="K265" i="4" s="1"/>
  <c r="H266" i="4"/>
  <c r="J266" i="4" s="1"/>
  <c r="K266" i="4" s="1"/>
  <c r="K1247" i="1"/>
  <c r="J1247" i="1"/>
  <c r="I1247" i="1"/>
  <c r="I1248" i="1"/>
  <c r="L1248" i="1" s="1"/>
  <c r="M1248" i="1" s="1"/>
  <c r="I1249" i="1"/>
  <c r="L1249" i="1" s="1"/>
  <c r="M1249" i="1" s="1"/>
  <c r="H267" i="4"/>
  <c r="J267" i="4" s="1"/>
  <c r="K267" i="4" s="1"/>
  <c r="I1250" i="1"/>
  <c r="L1250" i="1" s="1"/>
  <c r="M1250" i="1" s="1"/>
  <c r="H268" i="4"/>
  <c r="J268" i="4" s="1"/>
  <c r="K268" i="4" s="1"/>
  <c r="I1251" i="1"/>
  <c r="L1251" i="1" s="1"/>
  <c r="M1251" i="1" s="1"/>
  <c r="I1252" i="1"/>
  <c r="L1252" i="1" s="1"/>
  <c r="M1252" i="1" s="1"/>
  <c r="H270" i="4"/>
  <c r="J270" i="4" s="1"/>
  <c r="K270" i="4" s="1"/>
  <c r="J1253" i="1"/>
  <c r="I1253" i="1"/>
  <c r="I1254" i="1"/>
  <c r="K1255" i="1"/>
  <c r="J1255" i="1"/>
  <c r="I1255" i="1"/>
  <c r="J1256" i="1"/>
  <c r="I1256" i="1"/>
  <c r="H269" i="4"/>
  <c r="J269" i="4" s="1"/>
  <c r="K269" i="4" s="1"/>
  <c r="I1257" i="1"/>
  <c r="L1257" i="1" s="1"/>
  <c r="M1257" i="1" s="1"/>
  <c r="J1258" i="1"/>
  <c r="I1258" i="1"/>
  <c r="K1259" i="1"/>
  <c r="J1259" i="1"/>
  <c r="I1259" i="1"/>
  <c r="I1261" i="1"/>
  <c r="L1261" i="1" s="1"/>
  <c r="M1261" i="1" s="1"/>
  <c r="I1260" i="1"/>
  <c r="H271" i="4"/>
  <c r="J271" i="4" s="1"/>
  <c r="K271" i="4" s="1"/>
  <c r="H272" i="4"/>
  <c r="I273" i="4"/>
  <c r="H273" i="4"/>
  <c r="I274" i="4"/>
  <c r="K1262" i="1"/>
  <c r="J1262" i="1"/>
  <c r="I1262" i="1"/>
  <c r="I1264" i="1"/>
  <c r="L1264" i="1" s="1"/>
  <c r="M1264" i="1" s="1"/>
  <c r="K1263" i="1"/>
  <c r="J1263" i="1"/>
  <c r="I1263" i="1"/>
  <c r="I1265" i="1"/>
  <c r="L1265" i="1" s="1"/>
  <c r="M1265" i="1" s="1"/>
  <c r="I1266" i="1"/>
  <c r="H274" i="4"/>
  <c r="H275" i="4"/>
  <c r="J275" i="4" s="1"/>
  <c r="K275" i="4" s="1"/>
  <c r="H276" i="4"/>
  <c r="J276" i="4" s="1"/>
  <c r="K276" i="4" s="1"/>
  <c r="K1267" i="1"/>
  <c r="J1267" i="1"/>
  <c r="I1267" i="1"/>
  <c r="I1268" i="1"/>
  <c r="H277" i="4"/>
  <c r="I277" i="4"/>
  <c r="H278" i="4"/>
  <c r="J278" i="4" s="1"/>
  <c r="K278" i="4" s="1"/>
  <c r="H279" i="4"/>
  <c r="J279" i="4" s="1"/>
  <c r="K279" i="4" s="1"/>
  <c r="H280" i="4"/>
  <c r="J280" i="4" s="1"/>
  <c r="K280" i="4" s="1"/>
  <c r="H281" i="4"/>
  <c r="J281" i="4" s="1"/>
  <c r="K281" i="4" s="1"/>
  <c r="H282" i="4"/>
  <c r="J282" i="4" s="1"/>
  <c r="K282" i="4" s="1"/>
  <c r="H283" i="4"/>
  <c r="J283" i="4" s="1"/>
  <c r="K283" i="4" s="1"/>
  <c r="H284" i="4"/>
  <c r="I284" i="4"/>
  <c r="H285" i="4"/>
  <c r="J285" i="4" s="1"/>
  <c r="K285" i="4" s="1"/>
  <c r="H286" i="4"/>
  <c r="J286" i="4" s="1"/>
  <c r="K286" i="4" s="1"/>
  <c r="H287" i="4"/>
  <c r="J287" i="4" s="1"/>
  <c r="K287" i="4" s="1"/>
  <c r="H288" i="4"/>
  <c r="J288" i="4" s="1"/>
  <c r="K288" i="4" s="1"/>
  <c r="H289" i="4"/>
  <c r="J289" i="4" s="1"/>
  <c r="K289" i="4" s="1"/>
  <c r="H290" i="4"/>
  <c r="J290" i="4" s="1"/>
  <c r="K290" i="4" s="1"/>
  <c r="H291" i="4"/>
  <c r="J291" i="4" s="1"/>
  <c r="K291" i="4" s="1"/>
  <c r="H292" i="4"/>
  <c r="J292" i="4" s="1"/>
  <c r="K292" i="4" s="1"/>
  <c r="H293" i="4"/>
  <c r="I293" i="4"/>
  <c r="H294" i="4"/>
  <c r="J294" i="4" s="1"/>
  <c r="K294" i="4" s="1"/>
  <c r="H295" i="4"/>
  <c r="J295" i="4" s="1"/>
  <c r="K295" i="4" s="1"/>
  <c r="H296" i="4"/>
  <c r="J296" i="4" s="1"/>
  <c r="K296" i="4" s="1"/>
  <c r="H297" i="4"/>
  <c r="J297" i="4" s="1"/>
  <c r="K297" i="4" s="1"/>
  <c r="H298" i="4"/>
  <c r="J298" i="4" s="1"/>
  <c r="K298" i="4" s="1"/>
  <c r="H299" i="4"/>
  <c r="J299" i="4" s="1"/>
  <c r="K299" i="4" s="1"/>
  <c r="H300" i="4"/>
  <c r="J300" i="4" s="1"/>
  <c r="K300" i="4" s="1"/>
  <c r="H301" i="4"/>
  <c r="J301" i="4" s="1"/>
  <c r="K301" i="4" s="1"/>
  <c r="H302" i="4"/>
  <c r="J302" i="4" s="1"/>
  <c r="K302" i="4" s="1"/>
  <c r="H303" i="4"/>
  <c r="J303" i="4" s="1"/>
  <c r="K303" i="4" s="1"/>
  <c r="H304" i="4"/>
  <c r="J304" i="4" s="1"/>
  <c r="K304" i="4" s="1"/>
  <c r="H305" i="4"/>
  <c r="J305" i="4" s="1"/>
  <c r="K305" i="4" s="1"/>
  <c r="H306" i="4"/>
  <c r="J306" i="4" s="1"/>
  <c r="K306" i="4" s="1"/>
  <c r="H307" i="4"/>
  <c r="J307" i="4" s="1"/>
  <c r="K307" i="4" s="1"/>
  <c r="H308" i="4"/>
  <c r="J308" i="4" s="1"/>
  <c r="K308" i="4" s="1"/>
  <c r="H309" i="4"/>
  <c r="J309" i="4" s="1"/>
  <c r="K309" i="4" s="1"/>
  <c r="H310" i="4"/>
  <c r="J310" i="4" s="1"/>
  <c r="K310" i="4" s="1"/>
  <c r="H311" i="4"/>
  <c r="J311" i="4" s="1"/>
  <c r="K311" i="4" s="1"/>
  <c r="H312" i="4"/>
  <c r="J312" i="4" s="1"/>
  <c r="K312" i="4" s="1"/>
  <c r="J313" i="4"/>
  <c r="K313" i="4" s="1"/>
  <c r="J314" i="4"/>
  <c r="K314" i="4" s="1"/>
  <c r="J315" i="4"/>
  <c r="K315" i="4" s="1"/>
  <c r="H316" i="4"/>
  <c r="I316" i="4"/>
  <c r="H317" i="4"/>
  <c r="I317" i="4"/>
  <c r="H318" i="4"/>
  <c r="J318" i="4" s="1"/>
  <c r="K318" i="4" s="1"/>
  <c r="H319" i="4"/>
  <c r="J319" i="4" s="1"/>
  <c r="K319" i="4" s="1"/>
  <c r="H320" i="4"/>
  <c r="J320" i="4" s="1"/>
  <c r="K320" i="4" s="1"/>
  <c r="H321" i="4"/>
  <c r="J321" i="4" s="1"/>
  <c r="K321" i="4" s="1"/>
  <c r="H322" i="4"/>
  <c r="J322" i="4" s="1"/>
  <c r="K322" i="4" s="1"/>
  <c r="J323" i="4"/>
  <c r="K323" i="4" s="1"/>
  <c r="H324" i="4"/>
  <c r="J324" i="4" s="1"/>
  <c r="K324" i="4" s="1"/>
  <c r="H325" i="4"/>
  <c r="J325" i="4" s="1"/>
  <c r="K325" i="4" s="1"/>
  <c r="H326" i="4"/>
  <c r="J326" i="4" s="1"/>
  <c r="K326" i="4" s="1"/>
  <c r="H327" i="4"/>
  <c r="J327" i="4" s="1"/>
  <c r="K327" i="4" s="1"/>
  <c r="H328" i="4"/>
  <c r="I328" i="4"/>
  <c r="H329" i="4"/>
  <c r="J329" i="4" s="1"/>
  <c r="K329" i="4" s="1"/>
  <c r="H330" i="4"/>
  <c r="J330" i="4" s="1"/>
  <c r="K330" i="4" s="1"/>
  <c r="H331" i="4"/>
  <c r="I331" i="4"/>
  <c r="H332" i="4"/>
  <c r="I332" i="4"/>
  <c r="H333" i="4"/>
  <c r="J333" i="4" s="1"/>
  <c r="K333" i="4" s="1"/>
  <c r="H334" i="4"/>
  <c r="J334" i="4" s="1"/>
  <c r="K334" i="4" s="1"/>
  <c r="L1192" i="1" l="1"/>
  <c r="M1192" i="1" s="1"/>
  <c r="L1198" i="1"/>
  <c r="M1198" i="1" s="1"/>
  <c r="L1199" i="1"/>
  <c r="M1199" i="1" s="1"/>
  <c r="L1206" i="1"/>
  <c r="M1206" i="1" s="1"/>
  <c r="J249" i="4"/>
  <c r="K249" i="4" s="1"/>
  <c r="J328" i="4"/>
  <c r="K328" i="4" s="1"/>
  <c r="J331" i="4"/>
  <c r="K331" i="4" s="1"/>
  <c r="J332" i="4"/>
  <c r="K332" i="4" s="1"/>
  <c r="J293" i="4"/>
  <c r="K293" i="4" s="1"/>
  <c r="J274" i="4"/>
  <c r="K274" i="4" s="1"/>
  <c r="J284" i="4"/>
  <c r="K284" i="4" s="1"/>
  <c r="J257" i="4"/>
  <c r="K257" i="4" s="1"/>
  <c r="J251" i="4"/>
  <c r="K251" i="4" s="1"/>
  <c r="L1212" i="1"/>
  <c r="M1212" i="1" s="1"/>
  <c r="L1215" i="1"/>
  <c r="M1215" i="1" s="1"/>
  <c r="L1216" i="1"/>
  <c r="M1216" i="1" s="1"/>
  <c r="L1224" i="1"/>
  <c r="M1224" i="1" s="1"/>
  <c r="L1237" i="1"/>
  <c r="M1237" i="1" s="1"/>
  <c r="L1229" i="1"/>
  <c r="M1229" i="1" s="1"/>
  <c r="L1228" i="1"/>
  <c r="M1228" i="1" s="1"/>
  <c r="L1226" i="1"/>
  <c r="M1226" i="1" s="1"/>
  <c r="L1225" i="1"/>
  <c r="M1225" i="1" s="1"/>
  <c r="L1227" i="1"/>
  <c r="M1227" i="1" s="1"/>
  <c r="L1256" i="1"/>
  <c r="M1256" i="1" s="1"/>
  <c r="L1253" i="1"/>
  <c r="M1253" i="1" s="1"/>
  <c r="L1247" i="1"/>
  <c r="M1247" i="1" s="1"/>
  <c r="L1231" i="1"/>
  <c r="M1231" i="1" s="1"/>
  <c r="L1232" i="1"/>
  <c r="M1232" i="1" s="1"/>
  <c r="L1233" i="1"/>
  <c r="M1233" i="1" s="1"/>
  <c r="L1234" i="1"/>
  <c r="M1234" i="1" s="1"/>
  <c r="L1235" i="1"/>
  <c r="M1235" i="1" s="1"/>
  <c r="L1236" i="1"/>
  <c r="M1236" i="1" s="1"/>
  <c r="L1262" i="1"/>
  <c r="M1262" i="1" s="1"/>
  <c r="L1259" i="1"/>
  <c r="M1259" i="1" s="1"/>
  <c r="L1246" i="1"/>
  <c r="M1246" i="1" s="1"/>
  <c r="L1254" i="1"/>
  <c r="M1254" i="1" s="1"/>
  <c r="L1255" i="1"/>
  <c r="M1255" i="1" s="1"/>
  <c r="L1258" i="1"/>
  <c r="M1258" i="1" s="1"/>
  <c r="L1260" i="1"/>
  <c r="M1260" i="1" s="1"/>
  <c r="J317" i="4"/>
  <c r="K317" i="4" s="1"/>
  <c r="J316" i="4"/>
  <c r="K316" i="4" s="1"/>
  <c r="J277" i="4"/>
  <c r="K277" i="4" s="1"/>
  <c r="J272" i="4"/>
  <c r="K272" i="4" s="1"/>
  <c r="J273" i="4"/>
  <c r="K273" i="4" s="1"/>
  <c r="L1267" i="1"/>
  <c r="M1267" i="1" s="1"/>
  <c r="L1263" i="1"/>
  <c r="M1263" i="1" s="1"/>
  <c r="L1266" i="1"/>
  <c r="M1266" i="1" s="1"/>
  <c r="L1268" i="1"/>
  <c r="M1268" i="1" s="1"/>
  <c r="I1272" i="1"/>
  <c r="L1272" i="1" s="1"/>
  <c r="M1272" i="1" s="1"/>
  <c r="K1269" i="1"/>
  <c r="J1269" i="1"/>
  <c r="I1269" i="1"/>
  <c r="J1270" i="1"/>
  <c r="I1270" i="1"/>
  <c r="I1271" i="1"/>
  <c r="L1271" i="1" s="1"/>
  <c r="M1271" i="1" s="1"/>
  <c r="L1269" i="1" l="1"/>
  <c r="M1269" i="1" s="1"/>
  <c r="L1270" i="1"/>
  <c r="M1270" i="1" s="1"/>
  <c r="J1274" i="1"/>
  <c r="I1273" i="1"/>
  <c r="L1273" i="1" s="1"/>
  <c r="M1273" i="1" s="1"/>
  <c r="I1274" i="1"/>
  <c r="I1275" i="1"/>
  <c r="L1275" i="1" s="1"/>
  <c r="M1275" i="1" s="1"/>
  <c r="I1276" i="1"/>
  <c r="L1276" i="1" s="1"/>
  <c r="M1276" i="1" s="1"/>
  <c r="I1278" i="1"/>
  <c r="L1274" i="1" l="1"/>
  <c r="M1274" i="1" s="1"/>
  <c r="L1278" i="1"/>
  <c r="M1278" i="1" s="1"/>
  <c r="J1279" i="1"/>
  <c r="I1279" i="1"/>
  <c r="I1277" i="1"/>
  <c r="J1280" i="1"/>
  <c r="I1280" i="1"/>
  <c r="I1281" i="1"/>
  <c r="I1284" i="1"/>
  <c r="L1284" i="1" s="1"/>
  <c r="M1284" i="1" s="1"/>
  <c r="I1283" i="1"/>
  <c r="L1283" i="1" s="1"/>
  <c r="M1283" i="1" s="1"/>
  <c r="K1282" i="1"/>
  <c r="J1282" i="1"/>
  <c r="I1282" i="1"/>
  <c r="I1285" i="1"/>
  <c r="J1286" i="1"/>
  <c r="I1286" i="1"/>
  <c r="I1287" i="1"/>
  <c r="L1287" i="1" s="1"/>
  <c r="M1287" i="1" s="1"/>
  <c r="J1288" i="1"/>
  <c r="I1288" i="1"/>
  <c r="I1290" i="1"/>
  <c r="L1290" i="1" s="1"/>
  <c r="M1290" i="1" s="1"/>
  <c r="I1289" i="1"/>
  <c r="L1289" i="1" s="1"/>
  <c r="M1289" i="1" s="1"/>
  <c r="I1291" i="1"/>
  <c r="L1291" i="1" s="1"/>
  <c r="M1291" i="1" s="1"/>
  <c r="I1292" i="1"/>
  <c r="I1293" i="1"/>
  <c r="I1295" i="1"/>
  <c r="L1295" i="1" s="1"/>
  <c r="M1295" i="1" s="1"/>
  <c r="J1294" i="1"/>
  <c r="I1294" i="1"/>
  <c r="I1296" i="1"/>
  <c r="L1296" i="1" s="1"/>
  <c r="M1296" i="1" s="1"/>
  <c r="I1297" i="1"/>
  <c r="L1297" i="1" s="1"/>
  <c r="M1297" i="1" s="1"/>
  <c r="I1298" i="1"/>
  <c r="L1298" i="1" s="1"/>
  <c r="M1298" i="1" s="1"/>
  <c r="J1299" i="1"/>
  <c r="I1299" i="1"/>
  <c r="J1300" i="1"/>
  <c r="I1300" i="1"/>
  <c r="K1302" i="1"/>
  <c r="J1302" i="1"/>
  <c r="J1301" i="1"/>
  <c r="I1301" i="1"/>
  <c r="I1302" i="1"/>
  <c r="I1303" i="1"/>
  <c r="L1303" i="1" s="1"/>
  <c r="M1303" i="1" s="1"/>
  <c r="I1304" i="1"/>
  <c r="L1304" i="1" s="1"/>
  <c r="M1304" i="1" s="1"/>
  <c r="I1305" i="1"/>
  <c r="L1305" i="1" s="1"/>
  <c r="M1305" i="1" s="1"/>
  <c r="J1306" i="1"/>
  <c r="I1306" i="1"/>
  <c r="I1307" i="1"/>
  <c r="L1307" i="1" s="1"/>
  <c r="M1307" i="1" s="1"/>
  <c r="I1309" i="1"/>
  <c r="L1309" i="1" s="1"/>
  <c r="M1309" i="1" s="1"/>
  <c r="I1308" i="1"/>
  <c r="L1308" i="1" s="1"/>
  <c r="M1308" i="1" s="1"/>
  <c r="I1310" i="1"/>
  <c r="L1310" i="1" s="1"/>
  <c r="M1310" i="1" s="1"/>
  <c r="K1311" i="1"/>
  <c r="J1311" i="1"/>
  <c r="J1312" i="1"/>
  <c r="I1313" i="1"/>
  <c r="L1313" i="1" s="1"/>
  <c r="M1313" i="1" s="1"/>
  <c r="I1312" i="1"/>
  <c r="I1311" i="1"/>
  <c r="I1314" i="1"/>
  <c r="L1314" i="1" s="1"/>
  <c r="M1314" i="1" s="1"/>
  <c r="I1315" i="1"/>
  <c r="L1315" i="1" s="1"/>
  <c r="M1315" i="1" s="1"/>
  <c r="I1316" i="1"/>
  <c r="L1316" i="1" s="1"/>
  <c r="M1316" i="1" s="1"/>
  <c r="I1317" i="1"/>
  <c r="L1317" i="1" s="1"/>
  <c r="M1317" i="1" s="1"/>
  <c r="I1318" i="1"/>
  <c r="L1318" i="1" s="1"/>
  <c r="M1318" i="1" s="1"/>
  <c r="I1321" i="1"/>
  <c r="L1321" i="1" s="1"/>
  <c r="M1321" i="1" s="1"/>
  <c r="I1320" i="1"/>
  <c r="L1320" i="1" s="1"/>
  <c r="M1320" i="1" s="1"/>
  <c r="I1319" i="1"/>
  <c r="L1319" i="1" s="1"/>
  <c r="M1319" i="1" s="1"/>
  <c r="I1323" i="1"/>
  <c r="L1323" i="1" s="1"/>
  <c r="M1323" i="1" s="1"/>
  <c r="I1322" i="1"/>
  <c r="L1322" i="1" s="1"/>
  <c r="M1322" i="1" s="1"/>
  <c r="I1325" i="1"/>
  <c r="L1325" i="1" s="1"/>
  <c r="M1325" i="1" s="1"/>
  <c r="I1324" i="1"/>
  <c r="L1324" i="1" s="1"/>
  <c r="M1324" i="1" s="1"/>
  <c r="I1326" i="1"/>
  <c r="L1326" i="1" s="1"/>
  <c r="M1326" i="1" s="1"/>
  <c r="J1328" i="1"/>
  <c r="I1328" i="1"/>
  <c r="I1327" i="1"/>
  <c r="L1327" i="1" s="1"/>
  <c r="M1327" i="1" s="1"/>
  <c r="K1329" i="1"/>
  <c r="J1329" i="1"/>
  <c r="I1331" i="1"/>
  <c r="L1331" i="1" s="1"/>
  <c r="M1331" i="1" s="1"/>
  <c r="I1329" i="1"/>
  <c r="I1330" i="1"/>
  <c r="L1330" i="1" s="1"/>
  <c r="M1330" i="1" s="1"/>
  <c r="I1334" i="1"/>
  <c r="L1334" i="1" s="1"/>
  <c r="M1334" i="1" s="1"/>
  <c r="I1333" i="1"/>
  <c r="L1333" i="1" s="1"/>
  <c r="M1333" i="1" s="1"/>
  <c r="I1332" i="1"/>
  <c r="L1332" i="1" s="1"/>
  <c r="M1332" i="1" s="1"/>
  <c r="J1335" i="1"/>
  <c r="I1337" i="1"/>
  <c r="L1337" i="1" s="1"/>
  <c r="M1337" i="1" s="1"/>
  <c r="I1336" i="1"/>
  <c r="L1336" i="1" s="1"/>
  <c r="M1336" i="1" s="1"/>
  <c r="I1335" i="1"/>
  <c r="I1338" i="1"/>
  <c r="L1338" i="1" s="1"/>
  <c r="M1338" i="1" s="1"/>
  <c r="I1339" i="1"/>
  <c r="L1339" i="1" s="1"/>
  <c r="M1339" i="1" s="1"/>
  <c r="I1340" i="1"/>
  <c r="L1340" i="1" s="1"/>
  <c r="M1340" i="1" s="1"/>
  <c r="I1342" i="1"/>
  <c r="L1342" i="1" s="1"/>
  <c r="M1342" i="1" s="1"/>
  <c r="I1341" i="1"/>
  <c r="L1341" i="1" s="1"/>
  <c r="M1341" i="1" s="1"/>
  <c r="I1344" i="1"/>
  <c r="L1344" i="1" s="1"/>
  <c r="M1344" i="1" s="1"/>
  <c r="I1343" i="1"/>
  <c r="L1343" i="1" s="1"/>
  <c r="M1343" i="1" s="1"/>
  <c r="I1345" i="1"/>
  <c r="L1345" i="1" s="1"/>
  <c r="M1345" i="1" s="1"/>
  <c r="I1346" i="1"/>
  <c r="L1346" i="1" s="1"/>
  <c r="M1346" i="1" s="1"/>
  <c r="I1347" i="1"/>
  <c r="L1347" i="1" s="1"/>
  <c r="M1347" i="1" s="1"/>
  <c r="I1348" i="1"/>
  <c r="L1348" i="1" s="1"/>
  <c r="M1348" i="1" s="1"/>
  <c r="I1349" i="1"/>
  <c r="L1349" i="1" s="1"/>
  <c r="M1349" i="1" s="1"/>
  <c r="J1350" i="1"/>
  <c r="I1352" i="1"/>
  <c r="L1352" i="1" s="1"/>
  <c r="M1352" i="1" s="1"/>
  <c r="I1351" i="1"/>
  <c r="L1351" i="1" s="1"/>
  <c r="M1351" i="1" s="1"/>
  <c r="I1350" i="1"/>
  <c r="J1353" i="1"/>
  <c r="I1353" i="1"/>
  <c r="I1356" i="1"/>
  <c r="L1356" i="1" s="1"/>
  <c r="M1356" i="1" s="1"/>
  <c r="I1355" i="1"/>
  <c r="L1355" i="1" s="1"/>
  <c r="M1355" i="1" s="1"/>
  <c r="J1354" i="1"/>
  <c r="I1354" i="1"/>
  <c r="I1357" i="1"/>
  <c r="L1357" i="1" s="1"/>
  <c r="M1357" i="1" s="1"/>
  <c r="I1361" i="1"/>
  <c r="L1361" i="1" s="1"/>
  <c r="M1361" i="1" s="1"/>
  <c r="I1360" i="1"/>
  <c r="L1360" i="1" s="1"/>
  <c r="M1360" i="1" s="1"/>
  <c r="I1359" i="1"/>
  <c r="L1359" i="1" s="1"/>
  <c r="M1359" i="1" s="1"/>
  <c r="I1358" i="1"/>
  <c r="L1358" i="1" s="1"/>
  <c r="M1358" i="1" s="1"/>
  <c r="I1365" i="1"/>
  <c r="L1365" i="1" s="1"/>
  <c r="M1365" i="1" s="1"/>
  <c r="I1364" i="1"/>
  <c r="L1364" i="1" s="1"/>
  <c r="M1364" i="1" s="1"/>
  <c r="I1363" i="1"/>
  <c r="L1363" i="1" s="1"/>
  <c r="M1363" i="1" s="1"/>
  <c r="I1362" i="1"/>
  <c r="L1362" i="1" s="1"/>
  <c r="M1362" i="1" s="1"/>
  <c r="J1366" i="1"/>
  <c r="J1367" i="1"/>
  <c r="I1370" i="1"/>
  <c r="L1370" i="1" s="1"/>
  <c r="M1370" i="1" s="1"/>
  <c r="I1367" i="1"/>
  <c r="I1369" i="1"/>
  <c r="L1369" i="1" s="1"/>
  <c r="M1369" i="1" s="1"/>
  <c r="I1368" i="1"/>
  <c r="L1368" i="1" s="1"/>
  <c r="M1368" i="1" s="1"/>
  <c r="I1366" i="1"/>
  <c r="J1371" i="1"/>
  <c r="I1374" i="1"/>
  <c r="L1374" i="1" s="1"/>
  <c r="M1374" i="1" s="1"/>
  <c r="I1373" i="1"/>
  <c r="L1373" i="1" s="1"/>
  <c r="M1373" i="1" s="1"/>
  <c r="I1372" i="1"/>
  <c r="L1372" i="1" s="1"/>
  <c r="M1372" i="1" s="1"/>
  <c r="I1371" i="1"/>
  <c r="L1371" i="1" s="1"/>
  <c r="M1371" i="1" s="1"/>
  <c r="J1375" i="1"/>
  <c r="I1377" i="1"/>
  <c r="L1377" i="1" s="1"/>
  <c r="M1377" i="1" s="1"/>
  <c r="I1376" i="1"/>
  <c r="L1376" i="1" s="1"/>
  <c r="M1376" i="1" s="1"/>
  <c r="I1375" i="1"/>
  <c r="I1381" i="1"/>
  <c r="L1381" i="1" s="1"/>
  <c r="M1381" i="1" s="1"/>
  <c r="I1380" i="1"/>
  <c r="L1380" i="1" s="1"/>
  <c r="M1380" i="1" s="1"/>
  <c r="I1379" i="1"/>
  <c r="L1379" i="1" s="1"/>
  <c r="M1379" i="1" s="1"/>
  <c r="I1378" i="1"/>
  <c r="L1378" i="1" s="1"/>
  <c r="M1378" i="1" s="1"/>
  <c r="J1384" i="1"/>
  <c r="J1382" i="1"/>
  <c r="I1386" i="1"/>
  <c r="L1386" i="1" s="1"/>
  <c r="M1386" i="1" s="1"/>
  <c r="I1384" i="1"/>
  <c r="I1385" i="1"/>
  <c r="L1385" i="1" s="1"/>
  <c r="M1385" i="1" s="1"/>
  <c r="I1383" i="1"/>
  <c r="L1383" i="1" s="1"/>
  <c r="M1383" i="1" s="1"/>
  <c r="I1382" i="1"/>
  <c r="J1388" i="1"/>
  <c r="K1387" i="1"/>
  <c r="J1387" i="1"/>
  <c r="I1387" i="1"/>
  <c r="I1391" i="1"/>
  <c r="L1391" i="1" s="1"/>
  <c r="M1391" i="1" s="1"/>
  <c r="I1388" i="1"/>
  <c r="I1390" i="1"/>
  <c r="I1389" i="1"/>
  <c r="J1392" i="1"/>
  <c r="I1392" i="1"/>
  <c r="J1394" i="1"/>
  <c r="I1394" i="1"/>
  <c r="I1396" i="1"/>
  <c r="L1396" i="1" s="1"/>
  <c r="M1396" i="1" s="1"/>
  <c r="J1393" i="1"/>
  <c r="I1393" i="1"/>
  <c r="I1395" i="1"/>
  <c r="L1395" i="1" s="1"/>
  <c r="M1395" i="1" s="1"/>
  <c r="I1398" i="1"/>
  <c r="L1398" i="1" s="1"/>
  <c r="M1398" i="1" s="1"/>
  <c r="J1397" i="1"/>
  <c r="I1397" i="1"/>
  <c r="J1399" i="1"/>
  <c r="I1400" i="1"/>
  <c r="L1400" i="1" s="1"/>
  <c r="M1400" i="1" s="1"/>
  <c r="I1399" i="1"/>
  <c r="I1401" i="1"/>
  <c r="L1401" i="1" s="1"/>
  <c r="M1401" i="1" s="1"/>
  <c r="J1403" i="1"/>
  <c r="J1402" i="1"/>
  <c r="I1403" i="1"/>
  <c r="I1402" i="1"/>
  <c r="K1405" i="1"/>
  <c r="J1404" i="1"/>
  <c r="I1404" i="1"/>
  <c r="J1405" i="1"/>
  <c r="I1405" i="1"/>
  <c r="J1406" i="1"/>
  <c r="J1407" i="1"/>
  <c r="I1407" i="1"/>
  <c r="I1406" i="1"/>
  <c r="I1408" i="1"/>
  <c r="L1408" i="1" s="1"/>
  <c r="M1408" i="1" s="1"/>
  <c r="L1409" i="1"/>
  <c r="M1409" i="1" s="1"/>
  <c r="I1410" i="1"/>
  <c r="L1410" i="1" s="1"/>
  <c r="M1410" i="1" s="1"/>
  <c r="I1411" i="1"/>
  <c r="L1411" i="1" s="1"/>
  <c r="M1411" i="1" s="1"/>
  <c r="I1413" i="1"/>
  <c r="L1413" i="1" s="1"/>
  <c r="M1413" i="1" s="1"/>
  <c r="I1412" i="1"/>
  <c r="L1412" i="1" s="1"/>
  <c r="M1412" i="1" s="1"/>
  <c r="I1414" i="1"/>
  <c r="L1414" i="1" s="1"/>
  <c r="M1414" i="1" s="1"/>
  <c r="I1415" i="1"/>
  <c r="L1415" i="1" s="1"/>
  <c r="M1415" i="1" s="1"/>
  <c r="J1417" i="1"/>
  <c r="J1416" i="1"/>
  <c r="I1417" i="1"/>
  <c r="I1416" i="1"/>
  <c r="I1418" i="1"/>
  <c r="L1418" i="1" s="1"/>
  <c r="M1418" i="1" s="1"/>
  <c r="I1420" i="1"/>
  <c r="L1420" i="1" s="1"/>
  <c r="M1420" i="1" s="1"/>
  <c r="I1419" i="1"/>
  <c r="L1419" i="1" s="1"/>
  <c r="M1419" i="1" s="1"/>
  <c r="I1421" i="1"/>
  <c r="L1421" i="1" s="1"/>
  <c r="M1421" i="1" s="1"/>
  <c r="J1422" i="1"/>
  <c r="I1423" i="1"/>
  <c r="L1423" i="1" s="1"/>
  <c r="M1423" i="1" s="1"/>
  <c r="I1422" i="1"/>
  <c r="I1425" i="1"/>
  <c r="L1425" i="1" s="1"/>
  <c r="M1425" i="1" s="1"/>
  <c r="I1424" i="1"/>
  <c r="L1424" i="1" s="1"/>
  <c r="M1424" i="1" s="1"/>
  <c r="J1426" i="1"/>
  <c r="I1426" i="1"/>
  <c r="I1427" i="1"/>
  <c r="I1428" i="1"/>
  <c r="L1428" i="1" s="1"/>
  <c r="M1428" i="1" s="1"/>
  <c r="I1430" i="1"/>
  <c r="L1430" i="1" s="1"/>
  <c r="M1430" i="1" s="1"/>
  <c r="K1429" i="1"/>
  <c r="J1429" i="1"/>
  <c r="I1429" i="1"/>
  <c r="I1431" i="1"/>
  <c r="L1431" i="1" s="1"/>
  <c r="M1431" i="1" s="1"/>
  <c r="I1433" i="1"/>
  <c r="L1433" i="1" s="1"/>
  <c r="M1433" i="1" s="1"/>
  <c r="I1432" i="1"/>
  <c r="L1432" i="1" s="1"/>
  <c r="M1432" i="1" s="1"/>
  <c r="I1436" i="1"/>
  <c r="L1436" i="1" s="1"/>
  <c r="M1436" i="1" s="1"/>
  <c r="I1438" i="1"/>
  <c r="L1438" i="1" s="1"/>
  <c r="M1438" i="1" s="1"/>
  <c r="I1437" i="1"/>
  <c r="L1437" i="1" s="1"/>
  <c r="M1437" i="1" s="1"/>
  <c r="I1435" i="1"/>
  <c r="L1435" i="1" s="1"/>
  <c r="M1435" i="1" s="1"/>
  <c r="I1434" i="1"/>
  <c r="L1434" i="1" s="1"/>
  <c r="M1434" i="1" s="1"/>
  <c r="I1444" i="1"/>
  <c r="L1444" i="1" s="1"/>
  <c r="M1444" i="1" s="1"/>
  <c r="I1443" i="1"/>
  <c r="L1443" i="1" s="1"/>
  <c r="M1443" i="1" s="1"/>
  <c r="J1439" i="1"/>
  <c r="I1442" i="1"/>
  <c r="L1442" i="1" s="1"/>
  <c r="M1442" i="1" s="1"/>
  <c r="I1441" i="1"/>
  <c r="L1441" i="1" s="1"/>
  <c r="M1441" i="1" s="1"/>
  <c r="I1440" i="1"/>
  <c r="L1440" i="1" s="1"/>
  <c r="M1440" i="1" s="1"/>
  <c r="I1439" i="1"/>
  <c r="I1446" i="1"/>
  <c r="L1446" i="1" s="1"/>
  <c r="M1446" i="1" s="1"/>
  <c r="I1445" i="1"/>
  <c r="L1445" i="1" s="1"/>
  <c r="M1445" i="1" s="1"/>
  <c r="I1450" i="1"/>
  <c r="L1450" i="1" s="1"/>
  <c r="M1450" i="1" s="1"/>
  <c r="I1449" i="1"/>
  <c r="L1449" i="1" s="1"/>
  <c r="M1449" i="1" s="1"/>
  <c r="I1448" i="1"/>
  <c r="L1448" i="1" s="1"/>
  <c r="M1448" i="1" s="1"/>
  <c r="I1447" i="1"/>
  <c r="L1447" i="1" s="1"/>
  <c r="M1447" i="1" s="1"/>
  <c r="I1451" i="1"/>
  <c r="J1453" i="1"/>
  <c r="I1454" i="1"/>
  <c r="L1454" i="1" s="1"/>
  <c r="M1454" i="1" s="1"/>
  <c r="J1452" i="1"/>
  <c r="I1453" i="1"/>
  <c r="I1455" i="1"/>
  <c r="L1455" i="1" s="1"/>
  <c r="M1455" i="1" s="1"/>
  <c r="I1452" i="1"/>
  <c r="I1456" i="1"/>
  <c r="L1456" i="1" s="1"/>
  <c r="M1456" i="1" s="1"/>
  <c r="J1457" i="1"/>
  <c r="I1459" i="1"/>
  <c r="L1459" i="1" s="1"/>
  <c r="M1459" i="1" s="1"/>
  <c r="I1458" i="1"/>
  <c r="L1458" i="1" s="1"/>
  <c r="M1458" i="1" s="1"/>
  <c r="I1457" i="1"/>
  <c r="K1460" i="1"/>
  <c r="J1460" i="1"/>
  <c r="I1460" i="1"/>
  <c r="L1461" i="1"/>
  <c r="M1461" i="1" s="1"/>
  <c r="I1462" i="1"/>
  <c r="J1465" i="1"/>
  <c r="J1464" i="1"/>
  <c r="I1464" i="1"/>
  <c r="J1463" i="1"/>
  <c r="I1465" i="1"/>
  <c r="L1465" i="1" s="1"/>
  <c r="M1465" i="1" s="1"/>
  <c r="I1463" i="1"/>
  <c r="L1288" i="1" l="1"/>
  <c r="M1288" i="1" s="1"/>
  <c r="L1282" i="1"/>
  <c r="M1282" i="1" s="1"/>
  <c r="L1280" i="1"/>
  <c r="M1280" i="1" s="1"/>
  <c r="L1279" i="1"/>
  <c r="M1279" i="1" s="1"/>
  <c r="L1277" i="1"/>
  <c r="M1277" i="1" s="1"/>
  <c r="L1306" i="1"/>
  <c r="M1306" i="1" s="1"/>
  <c r="L1299" i="1"/>
  <c r="M1299" i="1" s="1"/>
  <c r="L1281" i="1"/>
  <c r="M1281" i="1" s="1"/>
  <c r="L1285" i="1"/>
  <c r="M1285" i="1" s="1"/>
  <c r="L1286" i="1"/>
  <c r="M1286" i="1" s="1"/>
  <c r="L1292" i="1"/>
  <c r="M1292" i="1" s="1"/>
  <c r="L1293" i="1"/>
  <c r="M1293" i="1" s="1"/>
  <c r="L1294" i="1"/>
  <c r="M1294" i="1" s="1"/>
  <c r="L1302" i="1"/>
  <c r="M1302" i="1" s="1"/>
  <c r="L1300" i="1"/>
  <c r="M1300" i="1" s="1"/>
  <c r="L1301" i="1"/>
  <c r="M1301" i="1" s="1"/>
  <c r="L1311" i="1"/>
  <c r="M1311" i="1" s="1"/>
  <c r="L1312" i="1"/>
  <c r="M1312" i="1" s="1"/>
  <c r="L1328" i="1"/>
  <c r="M1328" i="1" s="1"/>
  <c r="L1335" i="1"/>
  <c r="M1335" i="1" s="1"/>
  <c r="L1329" i="1"/>
  <c r="M1329" i="1" s="1"/>
  <c r="L1353" i="1"/>
  <c r="M1353" i="1" s="1"/>
  <c r="L1350" i="1"/>
  <c r="M1350" i="1" s="1"/>
  <c r="L1354" i="1"/>
  <c r="M1354" i="1" s="1"/>
  <c r="L1366" i="1"/>
  <c r="M1366" i="1" s="1"/>
  <c r="L1367" i="1"/>
  <c r="M1367" i="1" s="1"/>
  <c r="L1375" i="1"/>
  <c r="M1375" i="1" s="1"/>
  <c r="L1382" i="1"/>
  <c r="M1382" i="1" s="1"/>
  <c r="L1384" i="1"/>
  <c r="M1384" i="1" s="1"/>
  <c r="L1387" i="1"/>
  <c r="M1387" i="1" s="1"/>
  <c r="L1390" i="1"/>
  <c r="M1390" i="1" s="1"/>
  <c r="L1388" i="1"/>
  <c r="M1388" i="1" s="1"/>
  <c r="L1389" i="1"/>
  <c r="M1389" i="1" s="1"/>
  <c r="L1392" i="1"/>
  <c r="M1392" i="1" s="1"/>
  <c r="L1394" i="1"/>
  <c r="M1394" i="1" s="1"/>
  <c r="L1393" i="1"/>
  <c r="M1393" i="1" s="1"/>
  <c r="L1397" i="1"/>
  <c r="M1397" i="1" s="1"/>
  <c r="L1399" i="1"/>
  <c r="M1399" i="1" s="1"/>
  <c r="L1403" i="1"/>
  <c r="M1403" i="1" s="1"/>
  <c r="L1402" i="1"/>
  <c r="M1402" i="1" s="1"/>
  <c r="L1404" i="1"/>
  <c r="M1404" i="1" s="1"/>
  <c r="L1405" i="1"/>
  <c r="M1405" i="1" s="1"/>
  <c r="L1406" i="1"/>
  <c r="M1406" i="1" s="1"/>
  <c r="L1407" i="1"/>
  <c r="M1407" i="1" s="1"/>
  <c r="L1417" i="1"/>
  <c r="M1417" i="1" s="1"/>
  <c r="L1416" i="1"/>
  <c r="M1416" i="1" s="1"/>
  <c r="L1422" i="1"/>
  <c r="M1422" i="1" s="1"/>
  <c r="L1426" i="1"/>
  <c r="M1426" i="1" s="1"/>
  <c r="L1427" i="1"/>
  <c r="M1427" i="1" s="1"/>
  <c r="L1429" i="1"/>
  <c r="M1429" i="1" s="1"/>
  <c r="L1439" i="1"/>
  <c r="M1439" i="1" s="1"/>
  <c r="L1451" i="1"/>
  <c r="M1451" i="1" s="1"/>
  <c r="L1453" i="1"/>
  <c r="M1453" i="1" s="1"/>
  <c r="L1452" i="1"/>
  <c r="M1452" i="1" s="1"/>
  <c r="L1457" i="1"/>
  <c r="M1457" i="1" s="1"/>
  <c r="L1460" i="1"/>
  <c r="M1460" i="1" s="1"/>
  <c r="L1462" i="1"/>
  <c r="M1462" i="1" s="1"/>
  <c r="L1464" i="1"/>
  <c r="M1464" i="1" s="1"/>
  <c r="L1463" i="1"/>
  <c r="M1463" i="1" s="1"/>
  <c r="I1469" i="1"/>
  <c r="I1468" i="1"/>
  <c r="I1467" i="1"/>
  <c r="I1466" i="1"/>
  <c r="J1471" i="1"/>
  <c r="I1470" i="1"/>
  <c r="L1470" i="1" s="1"/>
  <c r="M1470" i="1" s="1"/>
  <c r="I1471" i="1"/>
  <c r="I1472" i="1"/>
  <c r="L1472" i="1" s="1"/>
  <c r="M1472" i="1" s="1"/>
  <c r="I1474" i="1"/>
  <c r="L1474" i="1" s="1"/>
  <c r="M1474" i="1" s="1"/>
  <c r="I1473" i="1"/>
  <c r="L1473" i="1" s="1"/>
  <c r="M1473" i="1" s="1"/>
  <c r="I1476" i="1"/>
  <c r="L1476" i="1" s="1"/>
  <c r="M1476" i="1" s="1"/>
  <c r="I1475" i="1"/>
  <c r="K1477" i="1"/>
  <c r="J1477" i="1"/>
  <c r="I1478" i="1"/>
  <c r="L1478" i="1" s="1"/>
  <c r="M1478" i="1" s="1"/>
  <c r="I1477" i="1"/>
  <c r="I1479" i="1"/>
  <c r="L1479" i="1" s="1"/>
  <c r="M1479" i="1" s="1"/>
  <c r="I1480" i="1"/>
  <c r="L1480" i="1" s="1"/>
  <c r="M1480" i="1" s="1"/>
  <c r="J1481" i="1"/>
  <c r="I1482" i="1"/>
  <c r="I1481" i="1"/>
  <c r="J1483" i="1"/>
  <c r="I1483" i="1"/>
  <c r="I1484" i="1"/>
  <c r="J1485" i="1"/>
  <c r="I1485" i="1"/>
  <c r="I1487" i="1"/>
  <c r="L1487" i="1" s="1"/>
  <c r="M1487" i="1" s="1"/>
  <c r="I1486" i="1"/>
  <c r="L1486" i="1" s="1"/>
  <c r="M1486" i="1" s="1"/>
  <c r="J1488" i="1"/>
  <c r="I1488" i="1"/>
  <c r="J1489" i="1"/>
  <c r="I1489" i="1"/>
  <c r="I1490" i="1"/>
  <c r="I1494" i="1"/>
  <c r="L1494" i="1" s="1"/>
  <c r="M1494" i="1" s="1"/>
  <c r="J1493" i="1"/>
  <c r="J1491" i="1"/>
  <c r="I1491" i="1"/>
  <c r="I1493" i="1"/>
  <c r="I1492" i="1"/>
  <c r="L1492" i="1" s="1"/>
  <c r="M1492" i="1" s="1"/>
  <c r="I1495" i="1"/>
  <c r="L1495" i="1" s="1"/>
  <c r="M1495" i="1" s="1"/>
  <c r="I1497" i="1"/>
  <c r="L1497" i="1" s="1"/>
  <c r="M1497" i="1" s="1"/>
  <c r="I1496" i="1"/>
  <c r="L1496" i="1" s="1"/>
  <c r="M1496" i="1" s="1"/>
  <c r="J1498" i="1"/>
  <c r="I1498" i="1"/>
  <c r="I1499" i="1"/>
  <c r="L1499" i="1" s="1"/>
  <c r="M1499" i="1" s="1"/>
  <c r="I1501" i="1"/>
  <c r="L1501" i="1" s="1"/>
  <c r="M1501" i="1" s="1"/>
  <c r="I1500" i="1"/>
  <c r="L1500" i="1" s="1"/>
  <c r="M1500" i="1" s="1"/>
  <c r="I1502" i="1"/>
  <c r="L1502" i="1" s="1"/>
  <c r="M1502" i="1" s="1"/>
  <c r="I1503" i="1"/>
  <c r="L1503" i="1" s="1"/>
  <c r="M1503" i="1" s="1"/>
  <c r="I1504" i="1"/>
  <c r="L1504" i="1" s="1"/>
  <c r="M1504" i="1" s="1"/>
  <c r="I1505" i="1"/>
  <c r="L1505" i="1" s="1"/>
  <c r="M1505" i="1" s="1"/>
  <c r="I1506" i="1"/>
  <c r="L1506" i="1" s="1"/>
  <c r="M1506" i="1" s="1"/>
  <c r="I1507" i="1"/>
  <c r="J1508" i="1"/>
  <c r="I1510" i="1"/>
  <c r="L1510" i="1" s="1"/>
  <c r="M1510" i="1" s="1"/>
  <c r="I1509" i="1"/>
  <c r="L1509" i="1" s="1"/>
  <c r="M1509" i="1" s="1"/>
  <c r="I1508" i="1"/>
  <c r="I1511" i="1"/>
  <c r="L1511" i="1" s="1"/>
  <c r="M1511" i="1" s="1"/>
  <c r="J1514" i="1"/>
  <c r="I1512" i="1"/>
  <c r="L1512" i="1" s="1"/>
  <c r="M1512" i="1" s="1"/>
  <c r="I1513" i="1"/>
  <c r="L1513" i="1" s="1"/>
  <c r="M1513" i="1" s="1"/>
  <c r="I1514" i="1"/>
  <c r="K1515" i="1"/>
  <c r="J1515" i="1"/>
  <c r="I1515" i="1"/>
  <c r="I1517" i="1"/>
  <c r="L1517" i="1" s="1"/>
  <c r="M1517" i="1" s="1"/>
  <c r="I1516" i="1"/>
  <c r="L1516" i="1" s="1"/>
  <c r="M1516" i="1" s="1"/>
  <c r="I1518" i="1"/>
  <c r="L1518" i="1" s="1"/>
  <c r="M1518" i="1" s="1"/>
  <c r="I1519" i="1"/>
  <c r="L1519" i="1" s="1"/>
  <c r="M1519" i="1" s="1"/>
  <c r="I1521" i="1"/>
  <c r="L1521" i="1" s="1"/>
  <c r="M1521" i="1" s="1"/>
  <c r="I1523" i="1"/>
  <c r="L1523" i="1" s="1"/>
  <c r="M1523" i="1" s="1"/>
  <c r="I1522" i="1"/>
  <c r="L1522" i="1" s="1"/>
  <c r="M1522" i="1" s="1"/>
  <c r="I1520" i="1"/>
  <c r="L1520" i="1" s="1"/>
  <c r="M1520" i="1" s="1"/>
  <c r="I1524" i="1"/>
  <c r="J1525" i="1"/>
  <c r="I1525" i="1"/>
  <c r="J1526" i="1"/>
  <c r="J1527" i="1"/>
  <c r="I1526" i="1"/>
  <c r="I1527" i="1"/>
  <c r="I1529" i="1"/>
  <c r="L1529" i="1" s="1"/>
  <c r="M1529" i="1" s="1"/>
  <c r="I1528" i="1"/>
  <c r="L1528" i="1" s="1"/>
  <c r="M1528" i="1" s="1"/>
  <c r="I1530" i="1"/>
  <c r="L1530" i="1" s="1"/>
  <c r="M1530" i="1" s="1"/>
  <c r="J1531" i="1"/>
  <c r="I1531" i="1"/>
  <c r="J1533" i="1"/>
  <c r="I1533" i="1"/>
  <c r="I1532" i="1"/>
  <c r="J1537" i="1"/>
  <c r="J1534" i="1"/>
  <c r="I1534" i="1"/>
  <c r="J1535" i="1"/>
  <c r="I1537" i="1"/>
  <c r="L1537" i="1" s="1"/>
  <c r="M1537" i="1" s="1"/>
  <c r="I1536" i="1"/>
  <c r="L1536" i="1" s="1"/>
  <c r="M1536" i="1" s="1"/>
  <c r="I1535" i="1"/>
  <c r="I1538" i="1"/>
  <c r="L1538" i="1" s="1"/>
  <c r="M1538" i="1" s="1"/>
  <c r="I1540" i="1"/>
  <c r="L1540" i="1" s="1"/>
  <c r="M1540" i="1" s="1"/>
  <c r="I1539" i="1"/>
  <c r="J1541" i="1"/>
  <c r="I1541" i="1"/>
  <c r="K1544" i="1"/>
  <c r="J1544" i="1"/>
  <c r="I1544" i="1"/>
  <c r="I1543" i="1"/>
  <c r="L1543" i="1" s="1"/>
  <c r="M1543" i="1" s="1"/>
  <c r="I1542" i="1"/>
  <c r="L1542" i="1" s="1"/>
  <c r="M1542" i="1" s="1"/>
  <c r="I1545" i="1"/>
  <c r="L1545" i="1" s="1"/>
  <c r="M1545" i="1" s="1"/>
  <c r="I1546" i="1"/>
  <c r="L1546" i="1" s="1"/>
  <c r="M1546" i="1" s="1"/>
  <c r="I1548" i="1"/>
  <c r="L1548" i="1" s="1"/>
  <c r="M1548" i="1" s="1"/>
  <c r="I1547" i="1"/>
  <c r="L1547" i="1" s="1"/>
  <c r="M1547" i="1" s="1"/>
  <c r="I1551" i="1"/>
  <c r="L1551" i="1" s="1"/>
  <c r="M1551" i="1" s="1"/>
  <c r="I1550" i="1"/>
  <c r="L1550" i="1" s="1"/>
  <c r="M1550" i="1" s="1"/>
  <c r="I1549" i="1"/>
  <c r="L1549" i="1" s="1"/>
  <c r="M1549" i="1" s="1"/>
  <c r="I1552" i="1"/>
  <c r="L1552" i="1" s="1"/>
  <c r="M1552" i="1" s="1"/>
  <c r="I1558" i="1"/>
  <c r="L1558" i="1" s="1"/>
  <c r="M1558" i="1" s="1"/>
  <c r="I1557" i="1"/>
  <c r="L1557" i="1" s="1"/>
  <c r="M1557" i="1" s="1"/>
  <c r="I1556" i="1"/>
  <c r="L1556" i="1" s="1"/>
  <c r="M1556" i="1" s="1"/>
  <c r="I1555" i="1"/>
  <c r="L1555" i="1" s="1"/>
  <c r="M1555" i="1" s="1"/>
  <c r="I1554" i="1"/>
  <c r="L1554" i="1" s="1"/>
  <c r="M1554" i="1" s="1"/>
  <c r="I1553" i="1"/>
  <c r="L1553" i="1" s="1"/>
  <c r="M1553" i="1" s="1"/>
  <c r="J1559" i="1"/>
  <c r="J1561" i="1"/>
  <c r="I1559" i="1"/>
  <c r="I1560" i="1"/>
  <c r="L1560" i="1" s="1"/>
  <c r="M1560" i="1" s="1"/>
  <c r="J1564" i="1"/>
  <c r="J1565" i="1"/>
  <c r="I1565" i="1"/>
  <c r="I1564" i="1"/>
  <c r="I1563" i="1"/>
  <c r="L1563" i="1" s="1"/>
  <c r="M1563" i="1" s="1"/>
  <c r="I1562" i="1"/>
  <c r="L1562" i="1" s="1"/>
  <c r="M1562" i="1" s="1"/>
  <c r="I1561" i="1"/>
  <c r="J1567" i="1"/>
  <c r="K1569" i="1"/>
  <c r="J1569" i="1"/>
  <c r="I1571" i="1"/>
  <c r="I1570" i="1"/>
  <c r="L1570" i="1" s="1"/>
  <c r="M1570" i="1" s="1"/>
  <c r="I1569" i="1"/>
  <c r="I1568" i="1"/>
  <c r="L1568" i="1" s="1"/>
  <c r="M1568" i="1" s="1"/>
  <c r="I1567" i="1"/>
  <c r="I1566" i="1"/>
  <c r="L1566" i="1" s="1"/>
  <c r="M1566" i="1" s="1"/>
  <c r="J1572" i="1"/>
  <c r="I1572" i="1"/>
  <c r="K1575" i="1"/>
  <c r="J1575" i="1"/>
  <c r="L1578" i="1"/>
  <c r="M1578" i="1" s="1"/>
  <c r="I1584" i="1"/>
  <c r="L1584" i="1" s="1"/>
  <c r="M1584" i="1" s="1"/>
  <c r="I1583" i="1"/>
  <c r="L1583" i="1" s="1"/>
  <c r="M1583" i="1" s="1"/>
  <c r="I1582" i="1"/>
  <c r="L1582" i="1" s="1"/>
  <c r="M1582" i="1" s="1"/>
  <c r="I1581" i="1"/>
  <c r="L1581" i="1" s="1"/>
  <c r="M1581" i="1" s="1"/>
  <c r="L1580" i="1"/>
  <c r="M1580" i="1" s="1"/>
  <c r="I1579" i="1"/>
  <c r="L1579" i="1" s="1"/>
  <c r="M1579" i="1" s="1"/>
  <c r="I1577" i="1"/>
  <c r="L1577" i="1" s="1"/>
  <c r="M1577" i="1" s="1"/>
  <c r="I1576" i="1"/>
  <c r="L1576" i="1" s="1"/>
  <c r="M1576" i="1" s="1"/>
  <c r="I1575" i="1"/>
  <c r="I1574" i="1"/>
  <c r="L1574" i="1" s="1"/>
  <c r="M1574" i="1" s="1"/>
  <c r="I1573" i="1"/>
  <c r="L1573" i="1" s="1"/>
  <c r="M1573" i="1" s="1"/>
  <c r="I1585" i="1"/>
  <c r="L1585" i="1" s="1"/>
  <c r="M1585" i="1" s="1"/>
  <c r="J1594" i="1"/>
  <c r="I1594" i="1"/>
  <c r="M1594" i="1" s="1"/>
  <c r="I1593" i="1"/>
  <c r="L1593" i="1" s="1"/>
  <c r="M1593" i="1" s="1"/>
  <c r="I1592" i="1"/>
  <c r="L1592" i="1" s="1"/>
  <c r="M1592" i="1" s="1"/>
  <c r="L1591" i="1"/>
  <c r="M1591" i="1" s="1"/>
  <c r="I1590" i="1"/>
  <c r="L1590" i="1" s="1"/>
  <c r="M1590" i="1" s="1"/>
  <c r="L1589" i="1"/>
  <c r="M1589" i="1" s="1"/>
  <c r="I1588" i="1"/>
  <c r="L1588" i="1" s="1"/>
  <c r="M1588" i="1" s="1"/>
  <c r="I1587" i="1"/>
  <c r="L1587" i="1" s="1"/>
  <c r="M1587" i="1" s="1"/>
  <c r="I1586" i="1"/>
  <c r="L1586" i="1" s="1"/>
  <c r="M1586" i="1" s="1"/>
  <c r="I1604" i="1"/>
  <c r="L1604" i="1" s="1"/>
  <c r="M1604" i="1" s="1"/>
  <c r="I1603" i="1"/>
  <c r="L1603" i="1" s="1"/>
  <c r="M1603" i="1" s="1"/>
  <c r="I1602" i="1"/>
  <c r="L1602" i="1" s="1"/>
  <c r="M1602" i="1" s="1"/>
  <c r="I1601" i="1"/>
  <c r="L1601" i="1" s="1"/>
  <c r="M1601" i="1" s="1"/>
  <c r="I1600" i="1"/>
  <c r="L1600" i="1" s="1"/>
  <c r="M1600" i="1" s="1"/>
  <c r="I1599" i="1"/>
  <c r="L1599" i="1" s="1"/>
  <c r="M1599" i="1" s="1"/>
  <c r="J1598" i="1"/>
  <c r="I1598" i="1"/>
  <c r="I1595" i="1"/>
  <c r="I1596" i="1"/>
  <c r="I1597" i="1"/>
  <c r="I1605" i="1"/>
  <c r="I1606" i="1"/>
  <c r="I1607" i="1"/>
  <c r="J1608" i="1"/>
  <c r="I1608" i="1"/>
  <c r="I1609" i="1"/>
  <c r="I1610" i="1"/>
  <c r="J1611" i="1"/>
  <c r="I1611" i="1"/>
  <c r="I1612" i="1"/>
  <c r="L1612" i="1" s="1"/>
  <c r="M1612" i="1" s="1"/>
  <c r="I1613" i="1"/>
  <c r="L1613" i="1" s="1"/>
  <c r="M1613" i="1" s="1"/>
  <c r="I1614" i="1"/>
  <c r="L1614" i="1" s="1"/>
  <c r="M1614" i="1" s="1"/>
  <c r="I1615" i="1"/>
  <c r="L1615" i="1" s="1"/>
  <c r="M1615" i="1" s="1"/>
  <c r="I1616" i="1"/>
  <c r="I1617" i="1"/>
  <c r="I1618" i="1"/>
  <c r="L1618" i="1" s="1"/>
  <c r="M1618" i="1" s="1"/>
  <c r="J1620" i="1"/>
  <c r="J1619" i="1"/>
  <c r="I1619" i="1"/>
  <c r="I1620" i="1"/>
  <c r="I1621" i="1"/>
  <c r="L1621" i="1" s="1"/>
  <c r="M1621" i="1" s="1"/>
  <c r="I1622" i="1"/>
  <c r="L1622" i="1" s="1"/>
  <c r="M1622" i="1" s="1"/>
  <c r="I1623" i="1"/>
  <c r="L1623" i="1" s="1"/>
  <c r="M1623" i="1" s="1"/>
  <c r="I1624" i="1"/>
  <c r="L1624" i="1" s="1"/>
  <c r="M1624" i="1" s="1"/>
  <c r="I1625" i="1"/>
  <c r="I1626" i="1"/>
  <c r="I1628" i="1"/>
  <c r="L1628" i="1" s="1"/>
  <c r="M1628" i="1" s="1"/>
  <c r="I1627" i="1"/>
  <c r="I1629" i="1"/>
  <c r="I1630" i="1"/>
  <c r="L1630" i="1" s="1"/>
  <c r="M1630" i="1" s="1"/>
  <c r="I1631" i="1"/>
  <c r="I1632" i="1"/>
  <c r="I1633" i="1"/>
  <c r="L1633" i="1" s="1"/>
  <c r="M1633" i="1" s="1"/>
  <c r="I1634" i="1"/>
  <c r="L1634" i="1" s="1"/>
  <c r="M1634" i="1" s="1"/>
  <c r="I1640" i="1"/>
  <c r="I1637" i="1"/>
  <c r="L1637" i="1" s="1"/>
  <c r="M1637" i="1" s="1"/>
  <c r="I1639" i="1"/>
  <c r="J1635" i="1"/>
  <c r="I1635" i="1"/>
  <c r="I1636" i="1"/>
  <c r="I1638" i="1"/>
  <c r="I1641" i="1"/>
  <c r="I1642" i="1"/>
  <c r="I1643" i="1"/>
  <c r="I1644" i="1"/>
  <c r="I1645" i="1"/>
  <c r="J1656" i="1"/>
  <c r="J1657" i="1"/>
  <c r="J1647" i="1"/>
  <c r="I1647" i="1"/>
  <c r="J1646" i="1"/>
  <c r="I1646" i="1"/>
  <c r="J1648" i="1"/>
  <c r="I1648" i="1"/>
  <c r="J1651" i="1"/>
  <c r="I1651" i="1"/>
  <c r="I1649" i="1"/>
  <c r="I1650" i="1"/>
  <c r="L1650" i="1" s="1"/>
  <c r="M1650" i="1" s="1"/>
  <c r="I1653" i="1"/>
  <c r="I1652" i="1"/>
  <c r="J1654" i="1"/>
  <c r="L1654" i="1" s="1"/>
  <c r="M1654" i="1" s="1"/>
  <c r="I1655" i="1"/>
  <c r="I1656" i="1"/>
  <c r="I1657" i="1"/>
  <c r="J1658" i="1"/>
  <c r="I1662" i="1"/>
  <c r="L1662" i="1" s="1"/>
  <c r="M1662" i="1" s="1"/>
  <c r="I1661" i="1"/>
  <c r="L1661" i="1" s="1"/>
  <c r="M1661" i="1" s="1"/>
  <c r="J1664" i="1"/>
  <c r="J1665" i="1"/>
  <c r="I1658" i="1"/>
  <c r="I1659" i="1"/>
  <c r="L1659" i="1" s="1"/>
  <c r="M1659" i="1" s="1"/>
  <c r="I1660" i="1"/>
  <c r="L1660" i="1" s="1"/>
  <c r="M1660" i="1" s="1"/>
  <c r="I1663" i="1"/>
  <c r="L1663" i="1" s="1"/>
  <c r="M1663" i="1" s="1"/>
  <c r="I1664" i="1"/>
  <c r="I1665" i="1"/>
  <c r="J1683" i="1"/>
  <c r="I1666" i="1"/>
  <c r="L1666" i="1" s="1"/>
  <c r="M1666" i="1" s="1"/>
  <c r="I1667" i="1"/>
  <c r="L1667" i="1" s="1"/>
  <c r="M1667" i="1" s="1"/>
  <c r="I1668" i="1"/>
  <c r="I1669" i="1"/>
  <c r="J1670" i="1"/>
  <c r="I1675" i="1"/>
  <c r="L1675" i="1" s="1"/>
  <c r="M1675" i="1" s="1"/>
  <c r="I1670" i="1"/>
  <c r="I1671" i="1"/>
  <c r="I1672" i="1"/>
  <c r="I1673" i="1"/>
  <c r="I1674" i="1"/>
  <c r="I1676" i="1"/>
  <c r="L1676" i="1" s="1"/>
  <c r="M1676" i="1" s="1"/>
  <c r="I1677" i="1"/>
  <c r="L1677" i="1" s="1"/>
  <c r="M1677" i="1" s="1"/>
  <c r="I1678" i="1"/>
  <c r="L1678" i="1" s="1"/>
  <c r="M1678" i="1" s="1"/>
  <c r="I1679" i="1"/>
  <c r="I1680" i="1"/>
  <c r="L1680" i="1" s="1"/>
  <c r="M1680" i="1" s="1"/>
  <c r="I1681" i="1"/>
  <c r="I1682" i="1"/>
  <c r="I1683" i="1"/>
  <c r="I1684" i="1"/>
  <c r="J1685" i="1"/>
  <c r="I1685" i="1"/>
  <c r="K1688" i="1"/>
  <c r="K1689" i="1"/>
  <c r="J1686" i="1"/>
  <c r="J1688" i="1"/>
  <c r="J1689" i="1"/>
  <c r="I1687" i="1"/>
  <c r="L1687" i="1" s="1"/>
  <c r="M1687" i="1" s="1"/>
  <c r="I1686" i="1"/>
  <c r="I1688" i="1"/>
  <c r="I1689" i="1"/>
  <c r="I1695" i="1"/>
  <c r="L1695" i="1" s="1"/>
  <c r="M1695" i="1" s="1"/>
  <c r="I1696" i="1"/>
  <c r="L1696" i="1" s="1"/>
  <c r="M1696" i="1" s="1"/>
  <c r="I1699" i="1"/>
  <c r="L1699" i="1" s="1"/>
  <c r="M1699" i="1" s="1"/>
  <c r="I1697" i="1"/>
  <c r="L1697" i="1" s="1"/>
  <c r="M1697" i="1" s="1"/>
  <c r="I1690" i="1"/>
  <c r="L1690" i="1" s="1"/>
  <c r="M1690" i="1" s="1"/>
  <c r="I1692" i="1"/>
  <c r="L1692" i="1" s="1"/>
  <c r="M1692" i="1" s="1"/>
  <c r="I1691" i="1"/>
  <c r="L1691" i="1" s="1"/>
  <c r="M1691" i="1" s="1"/>
  <c r="I1693" i="1"/>
  <c r="L1693" i="1" s="1"/>
  <c r="M1693" i="1" s="1"/>
  <c r="I1694" i="1"/>
  <c r="L1694" i="1" s="1"/>
  <c r="M1694" i="1" s="1"/>
  <c r="I1698" i="1"/>
  <c r="L1698" i="1" s="1"/>
  <c r="M1698" i="1" s="1"/>
  <c r="I1701" i="1"/>
  <c r="L1701" i="1" s="1"/>
  <c r="M1701" i="1" s="1"/>
  <c r="I1700" i="1"/>
  <c r="L1700" i="1" s="1"/>
  <c r="M1700" i="1" s="1"/>
  <c r="J1704" i="1"/>
  <c r="J1705" i="1"/>
  <c r="J1706" i="1"/>
  <c r="J1709" i="1"/>
  <c r="J1710" i="1"/>
  <c r="I1702" i="1"/>
  <c r="L1702" i="1" s="1"/>
  <c r="M1702" i="1" s="1"/>
  <c r="I1703" i="1"/>
  <c r="L1703" i="1" s="1"/>
  <c r="M1703" i="1" s="1"/>
  <c r="I1704" i="1"/>
  <c r="I1705" i="1"/>
  <c r="I1706" i="1"/>
  <c r="I1707" i="1"/>
  <c r="L1707" i="1" s="1"/>
  <c r="M1707" i="1" s="1"/>
  <c r="J1717" i="1"/>
  <c r="J1719" i="1"/>
  <c r="J1725" i="1"/>
  <c r="J1727" i="1"/>
  <c r="I1709" i="1"/>
  <c r="L1709" i="1" s="1"/>
  <c r="M1709" i="1" s="1"/>
  <c r="I1708" i="1"/>
  <c r="L1708" i="1" s="1"/>
  <c r="M1708" i="1" s="1"/>
  <c r="I1710" i="1"/>
  <c r="I1711" i="1"/>
  <c r="L1711" i="1" s="1"/>
  <c r="M1711" i="1" s="1"/>
  <c r="I1712" i="1"/>
  <c r="L1712" i="1" s="1"/>
  <c r="M1712" i="1" s="1"/>
  <c r="I1715" i="1"/>
  <c r="L1715" i="1" s="1"/>
  <c r="M1715" i="1" s="1"/>
  <c r="I1713" i="1"/>
  <c r="L1713" i="1" s="1"/>
  <c r="M1713" i="1" s="1"/>
  <c r="I1714" i="1"/>
  <c r="L1714" i="1" s="1"/>
  <c r="M1714" i="1" s="1"/>
  <c r="I1716" i="1"/>
  <c r="L1716" i="1" s="1"/>
  <c r="M1716" i="1" s="1"/>
  <c r="I1717" i="1"/>
  <c r="I1718" i="1"/>
  <c r="L1718" i="1" s="1"/>
  <c r="M1718" i="1" s="1"/>
  <c r="I1719" i="1"/>
  <c r="I1720" i="1"/>
  <c r="L1720" i="1" s="1"/>
  <c r="M1720" i="1" s="1"/>
  <c r="I1721" i="1"/>
  <c r="L1721" i="1" s="1"/>
  <c r="M1721" i="1" s="1"/>
  <c r="I1722" i="1"/>
  <c r="L1722" i="1" s="1"/>
  <c r="M1722" i="1" s="1"/>
  <c r="I1724" i="1"/>
  <c r="L1724" i="1" s="1"/>
  <c r="M1724" i="1" s="1"/>
  <c r="I1723" i="1"/>
  <c r="L1723" i="1" s="1"/>
  <c r="M1723" i="1" s="1"/>
  <c r="I1725" i="1"/>
  <c r="I1726" i="1"/>
  <c r="I1727" i="1"/>
  <c r="L1727" i="1" s="1"/>
  <c r="M1727" i="1" s="1"/>
  <c r="I1733" i="1"/>
  <c r="L1733" i="1" s="1"/>
  <c r="M1733" i="1" s="1"/>
  <c r="I1732" i="1"/>
  <c r="L1732" i="1" s="1"/>
  <c r="M1732" i="1" s="1"/>
  <c r="J1731" i="1"/>
  <c r="J1735" i="1"/>
  <c r="J1740" i="1"/>
  <c r="I1729" i="1"/>
  <c r="L1729" i="1" s="1"/>
  <c r="M1729" i="1" s="1"/>
  <c r="I1728" i="1"/>
  <c r="L1728" i="1" s="1"/>
  <c r="M1728" i="1" s="1"/>
  <c r="I1730" i="1"/>
  <c r="L1730" i="1" s="1"/>
  <c r="M1730" i="1" s="1"/>
  <c r="I1731" i="1"/>
  <c r="I1734" i="1"/>
  <c r="L1734" i="1" s="1"/>
  <c r="M1734" i="1" s="1"/>
  <c r="I1735" i="1"/>
  <c r="I1736" i="1"/>
  <c r="L1736" i="1" s="1"/>
  <c r="M1736" i="1" s="1"/>
  <c r="I1737" i="1"/>
  <c r="L1737" i="1" s="1"/>
  <c r="M1737" i="1" s="1"/>
  <c r="I1738" i="1"/>
  <c r="L1738" i="1" s="1"/>
  <c r="M1738" i="1" s="1"/>
  <c r="L1739" i="1"/>
  <c r="M1739" i="1" s="1"/>
  <c r="I1740" i="1"/>
  <c r="I1742" i="1"/>
  <c r="L1742" i="1" s="1"/>
  <c r="M1742" i="1" s="1"/>
  <c r="I1741" i="1"/>
  <c r="L1741" i="1" s="1"/>
  <c r="M1741" i="1" s="1"/>
  <c r="J1750" i="1"/>
  <c r="I1752" i="1"/>
  <c r="L1752" i="1" s="1"/>
  <c r="M1752" i="1" s="1"/>
  <c r="I1743" i="1"/>
  <c r="L1743" i="1" s="1"/>
  <c r="M1743" i="1" s="1"/>
  <c r="I1744" i="1"/>
  <c r="L1744" i="1" s="1"/>
  <c r="M1744" i="1" s="1"/>
  <c r="I1745" i="1"/>
  <c r="L1745" i="1" s="1"/>
  <c r="M1745" i="1" s="1"/>
  <c r="I1746" i="1"/>
  <c r="L1746" i="1" s="1"/>
  <c r="M1746" i="1" s="1"/>
  <c r="I1747" i="1"/>
  <c r="L1747" i="1" s="1"/>
  <c r="M1747" i="1" s="1"/>
  <c r="I1748" i="1"/>
  <c r="L1748" i="1" s="1"/>
  <c r="M1748" i="1" s="1"/>
  <c r="I1749" i="1"/>
  <c r="L1749" i="1" s="1"/>
  <c r="M1749" i="1" s="1"/>
  <c r="I1750" i="1"/>
  <c r="I1751" i="1"/>
  <c r="L1751" i="1" s="1"/>
  <c r="M1751" i="1" s="1"/>
  <c r="I1753" i="1"/>
  <c r="L1753" i="1" s="1"/>
  <c r="M1753" i="1" s="1"/>
  <c r="I1754" i="1"/>
  <c r="L1754" i="1" s="1"/>
  <c r="M1754" i="1" s="1"/>
  <c r="J1758" i="1"/>
  <c r="J1755" i="1"/>
  <c r="I1758" i="1"/>
  <c r="I1756" i="1"/>
  <c r="L1756" i="1" s="1"/>
  <c r="M1756" i="1" s="1"/>
  <c r="I1755" i="1"/>
  <c r="I1757" i="1"/>
  <c r="L1757" i="1" s="1"/>
  <c r="M1757" i="1" s="1"/>
  <c r="I1759" i="1"/>
  <c r="L1759" i="1" s="1"/>
  <c r="M1759" i="1" s="1"/>
  <c r="L1761" i="1"/>
  <c r="M1761" i="1" s="1"/>
  <c r="I1760" i="1"/>
  <c r="L1760" i="1" s="1"/>
  <c r="M1760" i="1" s="1"/>
  <c r="I1762" i="1"/>
  <c r="L1762" i="1" s="1"/>
  <c r="M1762" i="1" s="1"/>
  <c r="I1763" i="1"/>
  <c r="L1763" i="1" s="1"/>
  <c r="M1763" i="1" s="1"/>
  <c r="I1764" i="1"/>
  <c r="L1764" i="1" s="1"/>
  <c r="M1764" i="1" s="1"/>
  <c r="I1765" i="1"/>
  <c r="L1765" i="1" s="1"/>
  <c r="M1765" i="1" s="1"/>
  <c r="I1766" i="1"/>
  <c r="L1766" i="1" s="1"/>
  <c r="M1766" i="1" s="1"/>
  <c r="I1767" i="1"/>
  <c r="L1767" i="1" s="1"/>
  <c r="M1767" i="1" s="1"/>
  <c r="I1768" i="1"/>
  <c r="L1768" i="1" s="1"/>
  <c r="M1768" i="1" s="1"/>
  <c r="J1769" i="1"/>
  <c r="I1769" i="1"/>
  <c r="J1771" i="1"/>
  <c r="I1770" i="1"/>
  <c r="L1770" i="1" s="1"/>
  <c r="M1770" i="1" s="1"/>
  <c r="I1772" i="1"/>
  <c r="I1771" i="1"/>
  <c r="J1777" i="1"/>
  <c r="J1779" i="1"/>
  <c r="I1777" i="1"/>
  <c r="I1775" i="1"/>
  <c r="L1775" i="1" s="1"/>
  <c r="M1775" i="1" s="1"/>
  <c r="I1776" i="1"/>
  <c r="L1776" i="1" s="1"/>
  <c r="M1776" i="1" s="1"/>
  <c r="I1773" i="1"/>
  <c r="L1773" i="1" s="1"/>
  <c r="M1773" i="1" s="1"/>
  <c r="I1774" i="1"/>
  <c r="L1774" i="1" s="1"/>
  <c r="M1774" i="1" s="1"/>
  <c r="I1778" i="1"/>
  <c r="L1778" i="1" s="1"/>
  <c r="M1778" i="1" s="1"/>
  <c r="I1779" i="1"/>
  <c r="I1780" i="1"/>
  <c r="L1780" i="1" s="1"/>
  <c r="M1780" i="1" s="1"/>
  <c r="I1781" i="1"/>
  <c r="L1781" i="1" s="1"/>
  <c r="M1781" i="1" s="1"/>
  <c r="I1782" i="1"/>
  <c r="L1782" i="1" s="1"/>
  <c r="M1782" i="1" s="1"/>
  <c r="I1783" i="1"/>
  <c r="L1783" i="1" s="1"/>
  <c r="M1783" i="1" s="1"/>
  <c r="J1785" i="1"/>
  <c r="J1790" i="1"/>
  <c r="J1791" i="1"/>
  <c r="K1795" i="1"/>
  <c r="J1795" i="1"/>
  <c r="K1798" i="1"/>
  <c r="J1798" i="1"/>
  <c r="I1784" i="1"/>
  <c r="L1784" i="1" s="1"/>
  <c r="M1784" i="1" s="1"/>
  <c r="I1789" i="1"/>
  <c r="L1789" i="1" s="1"/>
  <c r="M1789" i="1" s="1"/>
  <c r="I1785" i="1"/>
  <c r="I1786" i="1"/>
  <c r="L1786" i="1" s="1"/>
  <c r="M1786" i="1" s="1"/>
  <c r="I1787" i="1"/>
  <c r="L1787" i="1" s="1"/>
  <c r="M1787" i="1" s="1"/>
  <c r="I1788" i="1"/>
  <c r="L1788" i="1" s="1"/>
  <c r="M1788" i="1" s="1"/>
  <c r="I1790" i="1"/>
  <c r="L1790" i="1" s="1"/>
  <c r="M1790" i="1" s="1"/>
  <c r="I1791" i="1"/>
  <c r="L1791" i="1" s="1"/>
  <c r="M1791" i="1" s="1"/>
  <c r="I1792" i="1"/>
  <c r="L1792" i="1" s="1"/>
  <c r="M1792" i="1" s="1"/>
  <c r="I1793" i="1"/>
  <c r="L1793" i="1" s="1"/>
  <c r="M1793" i="1" s="1"/>
  <c r="I1794" i="1"/>
  <c r="L1794" i="1" s="1"/>
  <c r="M1794" i="1" s="1"/>
  <c r="I1795" i="1"/>
  <c r="I1796" i="1"/>
  <c r="L1796" i="1" s="1"/>
  <c r="M1796" i="1" s="1"/>
  <c r="I1797" i="1"/>
  <c r="L1797" i="1" s="1"/>
  <c r="M1797" i="1" s="1"/>
  <c r="I1798" i="1"/>
  <c r="I1799" i="1"/>
  <c r="L1799" i="1" s="1"/>
  <c r="M1799" i="1" s="1"/>
  <c r="K1806" i="1"/>
  <c r="K1816" i="1"/>
  <c r="J1804" i="1"/>
  <c r="J1806" i="1"/>
  <c r="J1808" i="1"/>
  <c r="I1801" i="1"/>
  <c r="L1801" i="1" s="1"/>
  <c r="M1801" i="1" s="1"/>
  <c r="I1800" i="1"/>
  <c r="L1800" i="1" s="1"/>
  <c r="M1800" i="1" s="1"/>
  <c r="L1802" i="1"/>
  <c r="M1802" i="1" s="1"/>
  <c r="I1803" i="1"/>
  <c r="L1803" i="1" s="1"/>
  <c r="M1803" i="1" s="1"/>
  <c r="I1806" i="1"/>
  <c r="I1807" i="1"/>
  <c r="L1807" i="1" s="1"/>
  <c r="M1807" i="1" s="1"/>
  <c r="I1804" i="1"/>
  <c r="I1805" i="1"/>
  <c r="L1805" i="1" s="1"/>
  <c r="M1805" i="1" s="1"/>
  <c r="I1809" i="1"/>
  <c r="L1809" i="1" s="1"/>
  <c r="M1809" i="1" s="1"/>
  <c r="I1808" i="1"/>
  <c r="J1813" i="1"/>
  <c r="I1811" i="1"/>
  <c r="L1811" i="1" s="1"/>
  <c r="M1811" i="1" s="1"/>
  <c r="I1810" i="1"/>
  <c r="L1810" i="1" s="1"/>
  <c r="M1810" i="1" s="1"/>
  <c r="I1812" i="1"/>
  <c r="L1812" i="1" s="1"/>
  <c r="M1812" i="1" s="1"/>
  <c r="I1813" i="1"/>
  <c r="I1814" i="1"/>
  <c r="L1814" i="1" s="1"/>
  <c r="M1814" i="1" s="1"/>
  <c r="I1815" i="1"/>
  <c r="L1815" i="1" s="1"/>
  <c r="M1815" i="1" s="1"/>
  <c r="J1821" i="1"/>
  <c r="J1823" i="1"/>
  <c r="J1820" i="1"/>
  <c r="I1816" i="1"/>
  <c r="L1816" i="1" s="1"/>
  <c r="M1816" i="1" s="1"/>
  <c r="I1818" i="1"/>
  <c r="L1818" i="1" s="1"/>
  <c r="M1818" i="1" s="1"/>
  <c r="I1817" i="1"/>
  <c r="L1817" i="1" s="1"/>
  <c r="M1817" i="1" s="1"/>
  <c r="I1819" i="1"/>
  <c r="L1819" i="1" s="1"/>
  <c r="M1819" i="1" s="1"/>
  <c r="I1820" i="1"/>
  <c r="I1821" i="1"/>
  <c r="L1821" i="1" s="1"/>
  <c r="M1821" i="1" s="1"/>
  <c r="I1822" i="1"/>
  <c r="L1822" i="1" s="1"/>
  <c r="M1822" i="1" s="1"/>
  <c r="I1823" i="1"/>
  <c r="K1826" i="1"/>
  <c r="K1827" i="1"/>
  <c r="J1826" i="1"/>
  <c r="J1827" i="1"/>
  <c r="I1824" i="1"/>
  <c r="L1824" i="1" s="1"/>
  <c r="M1824" i="1" s="1"/>
  <c r="I1825" i="1"/>
  <c r="L1825" i="1" s="1"/>
  <c r="M1825" i="1" s="1"/>
  <c r="I1831" i="1"/>
  <c r="I1826" i="1"/>
  <c r="I1827" i="1"/>
  <c r="I1828" i="1"/>
  <c r="I1829" i="1"/>
  <c r="I1830" i="1"/>
  <c r="I1832" i="1"/>
  <c r="I1833" i="1"/>
  <c r="L1833" i="1" s="1"/>
  <c r="M1833" i="1" s="1"/>
  <c r="I1834" i="1"/>
  <c r="I1835" i="1"/>
  <c r="J1836" i="1"/>
  <c r="J1838" i="1"/>
  <c r="J1839" i="1"/>
  <c r="J1841" i="1"/>
  <c r="I1836" i="1"/>
  <c r="I1837" i="1"/>
  <c r="L1837" i="1" s="1"/>
  <c r="M1837" i="1" s="1"/>
  <c r="I1838" i="1"/>
  <c r="I1839" i="1"/>
  <c r="I1840" i="1"/>
  <c r="L1840" i="1" s="1"/>
  <c r="M1840" i="1" s="1"/>
  <c r="I1841" i="1"/>
  <c r="J1844" i="1"/>
  <c r="I1842" i="1"/>
  <c r="L1842" i="1" s="1"/>
  <c r="M1842" i="1" s="1"/>
  <c r="I1843" i="1"/>
  <c r="L1843" i="1" s="1"/>
  <c r="M1843" i="1" s="1"/>
  <c r="I1844" i="1"/>
  <c r="I1845" i="1"/>
  <c r="L1845" i="1" s="1"/>
  <c r="M1845" i="1" s="1"/>
  <c r="I1846" i="1"/>
  <c r="L1846" i="1" s="1"/>
  <c r="M1846" i="1" s="1"/>
  <c r="I1847" i="1"/>
  <c r="L1847" i="1" s="1"/>
  <c r="M1847" i="1" s="1"/>
  <c r="I1848" i="1"/>
  <c r="L1848" i="1" s="1"/>
  <c r="M1848" i="1" s="1"/>
  <c r="J1852" i="1"/>
  <c r="J1851" i="1"/>
  <c r="K1853" i="1"/>
  <c r="J1853" i="1"/>
  <c r="J1859" i="1"/>
  <c r="I1857" i="1"/>
  <c r="L1857" i="1" s="1"/>
  <c r="M1857" i="1" s="1"/>
  <c r="L1854" i="1"/>
  <c r="M1854" i="1" s="1"/>
  <c r="I1856" i="1"/>
  <c r="L1856" i="1" s="1"/>
  <c r="M1856" i="1" s="1"/>
  <c r="I1849" i="1"/>
  <c r="L1849" i="1" s="1"/>
  <c r="M1849" i="1" s="1"/>
  <c r="I1850" i="1"/>
  <c r="L1850" i="1" s="1"/>
  <c r="M1850" i="1" s="1"/>
  <c r="I1851" i="1"/>
  <c r="I1852" i="1"/>
  <c r="I1853" i="1"/>
  <c r="I1855" i="1"/>
  <c r="L1855" i="1" s="1"/>
  <c r="M1855" i="1" s="1"/>
  <c r="I1858" i="1"/>
  <c r="L1858" i="1" s="1"/>
  <c r="M1858" i="1" s="1"/>
  <c r="I1859" i="1"/>
  <c r="I1861" i="1"/>
  <c r="L1861" i="1" s="1"/>
  <c r="M1861" i="1" s="1"/>
  <c r="I1860" i="1"/>
  <c r="L1860" i="1" s="1"/>
  <c r="M1860" i="1" s="1"/>
  <c r="I1862" i="1"/>
  <c r="L1862" i="1" s="1"/>
  <c r="M1862" i="1" s="1"/>
  <c r="J1865" i="1"/>
  <c r="J1866" i="1"/>
  <c r="J1870" i="1"/>
  <c r="J1872" i="1"/>
  <c r="I1868" i="1"/>
  <c r="L1868" i="1" s="1"/>
  <c r="M1868" i="1" s="1"/>
  <c r="I1863" i="1"/>
  <c r="L1863" i="1" s="1"/>
  <c r="M1863" i="1" s="1"/>
  <c r="I1864" i="1"/>
  <c r="L1864" i="1" s="1"/>
  <c r="M1864" i="1" s="1"/>
  <c r="I1865" i="1"/>
  <c r="I1866" i="1"/>
  <c r="I1867" i="1"/>
  <c r="L1867" i="1" s="1"/>
  <c r="M1867" i="1" s="1"/>
  <c r="I1869" i="1"/>
  <c r="L1869" i="1" s="1"/>
  <c r="M1869" i="1" s="1"/>
  <c r="I1870" i="1"/>
  <c r="I1871" i="1"/>
  <c r="L1871" i="1" s="1"/>
  <c r="M1871" i="1" s="1"/>
  <c r="I1872" i="1"/>
  <c r="I1873" i="1"/>
  <c r="L1873" i="1" s="1"/>
  <c r="M1873" i="1" s="1"/>
  <c r="I1874" i="1"/>
  <c r="J1875" i="1"/>
  <c r="I1875" i="1"/>
  <c r="I1876" i="1"/>
  <c r="I1877" i="1"/>
  <c r="J1880" i="1"/>
  <c r="I1878" i="1"/>
  <c r="L1878" i="1" s="1"/>
  <c r="M1878" i="1" s="1"/>
  <c r="I1879" i="1"/>
  <c r="J1881" i="1"/>
  <c r="I1884" i="1"/>
  <c r="L1884" i="1" s="1"/>
  <c r="M1884" i="1" s="1"/>
  <c r="I1881" i="1"/>
  <c r="I1882" i="1"/>
  <c r="L1882" i="1" s="1"/>
  <c r="M1882" i="1" s="1"/>
  <c r="I1883" i="1"/>
  <c r="L1883" i="1" s="1"/>
  <c r="M1883" i="1" s="1"/>
  <c r="I1885" i="1"/>
  <c r="I1886" i="1"/>
  <c r="I1887" i="1"/>
  <c r="I1888" i="1"/>
  <c r="K1890" i="1"/>
  <c r="J1890" i="1"/>
  <c r="J1889" i="1"/>
  <c r="J1891" i="1"/>
  <c r="I1889" i="1"/>
  <c r="I1890" i="1"/>
  <c r="I1891" i="1"/>
  <c r="I1892" i="1"/>
  <c r="L1892" i="1" s="1"/>
  <c r="M1892" i="1" s="1"/>
  <c r="I1893" i="1"/>
  <c r="L1893" i="1" s="1"/>
  <c r="M1893" i="1" s="1"/>
  <c r="J1896" i="1"/>
  <c r="J1895" i="1"/>
  <c r="I1894" i="1"/>
  <c r="L1894" i="1" s="1"/>
  <c r="M1894" i="1" s="1"/>
  <c r="I1895" i="1"/>
  <c r="I1896" i="1"/>
  <c r="I1897" i="1"/>
  <c r="L1897" i="1" s="1"/>
  <c r="M1897" i="1" s="1"/>
  <c r="I1898" i="1"/>
  <c r="L1898" i="1" s="1"/>
  <c r="M1898" i="1" s="1"/>
  <c r="I1899" i="1"/>
  <c r="L1899" i="1" s="1"/>
  <c r="M1899" i="1" s="1"/>
  <c r="L1900" i="1"/>
  <c r="M1900" i="1" s="1"/>
  <c r="I1901" i="1"/>
  <c r="L1901" i="1" s="1"/>
  <c r="M1901" i="1" s="1"/>
  <c r="I1904" i="1"/>
  <c r="L1904" i="1" s="1"/>
  <c r="M1904" i="1" s="1"/>
  <c r="I1902" i="1"/>
  <c r="L1902" i="1" s="1"/>
  <c r="M1902" i="1" s="1"/>
  <c r="I1903" i="1"/>
  <c r="L1903" i="1" s="1"/>
  <c r="M1903" i="1" s="1"/>
  <c r="I1905" i="1"/>
  <c r="L1905" i="1" s="1"/>
  <c r="M1905" i="1" s="1"/>
  <c r="I1906" i="1"/>
  <c r="L1906" i="1" s="1"/>
  <c r="M1906" i="1" s="1"/>
  <c r="I1907" i="1"/>
  <c r="L1907" i="1" s="1"/>
  <c r="M1907" i="1" s="1"/>
  <c r="I1908" i="1"/>
  <c r="L1908" i="1" s="1"/>
  <c r="M1908" i="1" s="1"/>
  <c r="J1912" i="1"/>
  <c r="I1909" i="1"/>
  <c r="L1909" i="1" s="1"/>
  <c r="M1909" i="1" s="1"/>
  <c r="I1910" i="1"/>
  <c r="L1910" i="1" s="1"/>
  <c r="M1910" i="1" s="1"/>
  <c r="I1911" i="1"/>
  <c r="L1911" i="1" s="1"/>
  <c r="M1911" i="1" s="1"/>
  <c r="I1912" i="1"/>
  <c r="I1913" i="1"/>
  <c r="L1913" i="1" s="1"/>
  <c r="M1913" i="1" s="1"/>
  <c r="J1914" i="1"/>
  <c r="I1914" i="1"/>
  <c r="J1915" i="1"/>
  <c r="I1915" i="1"/>
  <c r="I1916" i="1"/>
  <c r="J1917" i="1"/>
  <c r="I1917" i="1"/>
  <c r="I1918" i="1"/>
  <c r="I1919" i="1"/>
  <c r="J1920" i="1"/>
  <c r="I1920" i="1"/>
  <c r="I1921" i="1"/>
  <c r="L1921" i="1" s="1"/>
  <c r="M1921" i="1" s="1"/>
  <c r="I1922" i="1"/>
  <c r="L1922" i="1" s="1"/>
  <c r="M1922" i="1" s="1"/>
  <c r="I1923" i="1"/>
  <c r="L1923" i="1" s="1"/>
  <c r="M1923" i="1" s="1"/>
  <c r="I1924" i="1"/>
  <c r="L1924" i="1" s="1"/>
  <c r="M1924" i="1" s="1"/>
  <c r="I1925" i="1"/>
  <c r="J1926" i="1"/>
  <c r="I1926" i="1"/>
  <c r="K1930" i="1"/>
  <c r="I1930" i="1"/>
  <c r="J1927" i="1"/>
  <c r="I1927" i="1"/>
  <c r="J1928" i="1"/>
  <c r="I1928" i="1"/>
  <c r="K1929" i="1"/>
  <c r="I1929" i="1"/>
  <c r="K1931" i="1"/>
  <c r="I1931" i="1"/>
  <c r="K1932" i="1"/>
  <c r="I1932" i="1"/>
  <c r="K1933" i="1"/>
  <c r="I1933" i="1"/>
  <c r="K1934" i="1"/>
  <c r="I1934" i="1"/>
  <c r="K1935" i="1"/>
  <c r="I1935" i="1"/>
  <c r="K1936" i="1"/>
  <c r="J1936" i="1"/>
  <c r="J1938" i="1"/>
  <c r="K1940" i="1"/>
  <c r="J1940" i="1"/>
  <c r="I1936" i="1"/>
  <c r="I1937" i="1"/>
  <c r="L1937" i="1" s="1"/>
  <c r="M1937" i="1" s="1"/>
  <c r="I1938" i="1"/>
  <c r="I1939" i="1"/>
  <c r="L1939" i="1" s="1"/>
  <c r="M1939" i="1" s="1"/>
  <c r="I1940" i="1"/>
  <c r="J1943" i="1"/>
  <c r="I1941" i="1"/>
  <c r="L1941" i="1" s="1"/>
  <c r="M1941" i="1" s="1"/>
  <c r="I1942" i="1"/>
  <c r="I1943" i="1"/>
  <c r="J1945" i="1"/>
  <c r="I1945" i="1"/>
  <c r="I1948" i="1"/>
  <c r="L1948" i="1" s="1"/>
  <c r="M1948" i="1" s="1"/>
  <c r="J1944" i="1"/>
  <c r="I1944" i="1"/>
  <c r="I1949" i="1"/>
  <c r="L1949" i="1" s="1"/>
  <c r="M1949" i="1" s="1"/>
  <c r="I1946" i="1"/>
  <c r="L1946" i="1" s="1"/>
  <c r="M1946" i="1" s="1"/>
  <c r="I1947" i="1"/>
  <c r="L1947" i="1" s="1"/>
  <c r="M1947" i="1" s="1"/>
  <c r="J1953" i="1"/>
  <c r="I1950" i="1"/>
  <c r="L1950" i="1" s="1"/>
  <c r="M1950" i="1" s="1"/>
  <c r="I1951" i="1"/>
  <c r="L1951" i="1" s="1"/>
  <c r="M1951" i="1" s="1"/>
  <c r="I1952" i="1"/>
  <c r="L1952" i="1" s="1"/>
  <c r="M1952" i="1" s="1"/>
  <c r="I1953" i="1"/>
  <c r="I1954" i="1"/>
  <c r="L1954" i="1" s="1"/>
  <c r="M1954" i="1" s="1"/>
  <c r="I1955" i="1"/>
  <c r="L1955" i="1" s="1"/>
  <c r="M1955" i="1" s="1"/>
  <c r="I1956" i="1"/>
  <c r="L1956" i="1" s="1"/>
  <c r="M1956" i="1" s="1"/>
  <c r="I1957" i="1"/>
  <c r="L1957" i="1" s="1"/>
  <c r="M1957" i="1" s="1"/>
  <c r="I1958" i="1"/>
  <c r="L1958" i="1" s="1"/>
  <c r="M1958" i="1" s="1"/>
  <c r="I1960" i="1"/>
  <c r="I1959" i="1"/>
  <c r="L1959" i="1" s="1"/>
  <c r="M1959" i="1" s="1"/>
  <c r="I1961" i="1"/>
  <c r="L1961" i="1" s="1"/>
  <c r="M1961" i="1" s="1"/>
  <c r="J1963" i="1"/>
  <c r="J1964" i="1"/>
  <c r="I1963" i="1"/>
  <c r="I1964" i="1"/>
  <c r="I1965" i="1"/>
  <c r="L1965" i="1" s="1"/>
  <c r="M1965" i="1" s="1"/>
  <c r="I1966" i="1"/>
  <c r="L1966" i="1" s="1"/>
  <c r="M1966" i="1" s="1"/>
  <c r="I1967" i="1"/>
  <c r="I1968" i="1"/>
  <c r="L1968" i="1" s="1"/>
  <c r="M1968" i="1" s="1"/>
  <c r="K1972" i="1"/>
  <c r="K1971" i="1"/>
  <c r="I1969" i="1"/>
  <c r="L1969" i="1" s="1"/>
  <c r="M1969" i="1" s="1"/>
  <c r="I1970" i="1"/>
  <c r="J1971" i="1"/>
  <c r="I1971" i="1"/>
  <c r="J1972" i="1"/>
  <c r="I1972" i="1"/>
  <c r="I1973" i="1"/>
  <c r="I1974" i="1"/>
  <c r="J1975" i="1"/>
  <c r="I1975" i="1"/>
  <c r="J1976" i="1"/>
  <c r="I1976" i="1"/>
  <c r="I1977" i="1"/>
  <c r="L1977" i="1" s="1"/>
  <c r="M1977" i="1" s="1"/>
  <c r="I1978" i="1"/>
  <c r="L1978" i="1" s="1"/>
  <c r="M1978" i="1" s="1"/>
  <c r="I1979" i="1"/>
  <c r="L1979" i="1" s="1"/>
  <c r="M1979" i="1" s="1"/>
  <c r="I1980" i="1"/>
  <c r="L1980" i="1" s="1"/>
  <c r="M1980" i="1" s="1"/>
  <c r="K1983" i="1"/>
  <c r="I1981" i="1"/>
  <c r="I1982" i="1"/>
  <c r="J1983" i="1"/>
  <c r="I1983" i="1"/>
  <c r="I1984" i="1"/>
  <c r="L1984" i="1" s="1"/>
  <c r="M1984" i="1" s="1"/>
  <c r="J1985" i="1"/>
  <c r="I1985" i="1"/>
  <c r="I1986" i="1"/>
  <c r="I1987" i="1"/>
  <c r="J1996" i="1"/>
  <c r="K1994" i="1"/>
  <c r="J1995" i="1"/>
  <c r="K1997" i="1"/>
  <c r="J1988" i="1"/>
  <c r="I1988" i="1"/>
  <c r="K1993" i="1"/>
  <c r="I1989" i="1"/>
  <c r="L1989" i="1" s="1"/>
  <c r="M1989" i="1" s="1"/>
  <c r="I1990" i="1"/>
  <c r="L1990" i="1" s="1"/>
  <c r="M1990" i="1" s="1"/>
  <c r="I1991" i="1"/>
  <c r="L1991" i="1" s="1"/>
  <c r="M1991" i="1" s="1"/>
  <c r="J1992" i="1"/>
  <c r="I1992" i="1"/>
  <c r="J1993" i="1"/>
  <c r="I1993" i="1"/>
  <c r="J1994" i="1"/>
  <c r="J1997" i="1"/>
  <c r="K1998" i="1"/>
  <c r="J1998" i="1"/>
  <c r="I1994" i="1"/>
  <c r="I1995" i="1"/>
  <c r="I1996" i="1"/>
  <c r="I1997" i="1"/>
  <c r="I1998" i="1"/>
  <c r="I1999" i="1"/>
  <c r="L1999" i="1" s="1"/>
  <c r="M1999" i="1" s="1"/>
  <c r="K2003" i="1"/>
  <c r="K2001" i="1"/>
  <c r="J2001" i="1"/>
  <c r="I2000" i="1"/>
  <c r="I2001" i="1"/>
  <c r="J2002" i="1"/>
  <c r="I2002" i="1"/>
  <c r="J2003" i="1"/>
  <c r="I2003" i="1"/>
  <c r="I2004" i="1"/>
  <c r="I2005" i="1"/>
  <c r="I2006" i="1"/>
  <c r="J2007" i="1"/>
  <c r="I2007" i="1"/>
  <c r="K2008" i="1"/>
  <c r="I2008" i="1"/>
  <c r="K2009" i="1"/>
  <c r="J2009" i="1"/>
  <c r="I2009" i="1"/>
  <c r="I2010" i="1"/>
  <c r="I2011" i="1"/>
  <c r="J2012" i="1"/>
  <c r="J2014" i="1"/>
  <c r="I2012" i="1"/>
  <c r="K2013" i="1"/>
  <c r="I2013" i="1"/>
  <c r="I2014" i="1"/>
  <c r="K2015" i="1"/>
  <c r="I2015" i="1"/>
  <c r="K2016" i="1"/>
  <c r="I2016" i="1"/>
  <c r="K2017" i="1"/>
  <c r="I2017" i="1"/>
  <c r="K2018" i="1"/>
  <c r="I2018" i="1"/>
  <c r="J2020" i="1"/>
  <c r="K2019" i="1"/>
  <c r="I2019" i="1"/>
  <c r="I2020" i="1"/>
  <c r="K2021" i="1"/>
  <c r="I2021" i="1"/>
  <c r="J2022" i="1"/>
  <c r="I2022" i="1"/>
  <c r="K2023" i="1"/>
  <c r="I2023" i="1"/>
  <c r="K2024" i="1"/>
  <c r="K2028" i="1"/>
  <c r="J2028" i="1"/>
  <c r="J2027" i="1"/>
  <c r="J2026" i="1"/>
  <c r="J2025" i="1"/>
  <c r="J2024" i="1"/>
  <c r="I2024" i="1"/>
  <c r="I2026" i="1"/>
  <c r="I2025" i="1"/>
  <c r="J2031" i="1"/>
  <c r="I2027" i="1"/>
  <c r="I2028" i="1"/>
  <c r="I2029" i="1"/>
  <c r="L2029" i="1" s="1"/>
  <c r="M2029" i="1" s="1"/>
  <c r="I2030" i="1"/>
  <c r="L2030" i="1" s="1"/>
  <c r="M2030" i="1" s="1"/>
  <c r="I2031" i="1"/>
  <c r="I2032" i="1"/>
  <c r="L2032" i="1" s="1"/>
  <c r="M2032" i="1" s="1"/>
  <c r="I2033" i="1"/>
  <c r="L2033" i="1" s="1"/>
  <c r="M2033" i="1" s="1"/>
  <c r="I2034" i="1"/>
  <c r="L2034" i="1" s="1"/>
  <c r="M2034" i="1" s="1"/>
  <c r="J2035" i="1"/>
  <c r="I2035" i="1"/>
  <c r="I2036" i="1"/>
  <c r="J2037" i="1"/>
  <c r="I2037" i="1"/>
  <c r="K2038" i="1"/>
  <c r="I2038" i="1"/>
  <c r="I2039" i="1"/>
  <c r="K2039" i="1"/>
  <c r="J2039" i="1"/>
  <c r="I2040" i="1"/>
  <c r="L2040" i="1" s="1"/>
  <c r="M2040" i="1" s="1"/>
  <c r="I2041" i="1"/>
  <c r="L2041" i="1" s="1"/>
  <c r="M2041" i="1" s="1"/>
  <c r="I2042" i="1"/>
  <c r="L2042" i="1" s="1"/>
  <c r="M2042" i="1" s="1"/>
  <c r="I2043" i="1"/>
  <c r="L2043" i="1" s="1"/>
  <c r="M2043" i="1" s="1"/>
  <c r="J2047" i="1"/>
  <c r="L2044" i="1"/>
  <c r="M2044" i="1" s="1"/>
  <c r="I2045" i="1"/>
  <c r="L2045" i="1" s="1"/>
  <c r="M2045" i="1" s="1"/>
  <c r="I2046" i="1"/>
  <c r="L2046" i="1" s="1"/>
  <c r="M2046" i="1" s="1"/>
  <c r="I2048" i="1"/>
  <c r="L2048" i="1" s="1"/>
  <c r="M2048" i="1" s="1"/>
  <c r="L2049" i="1"/>
  <c r="M2049" i="1" s="1"/>
  <c r="I2047" i="1"/>
  <c r="I2050" i="1"/>
  <c r="L2050" i="1" s="1"/>
  <c r="M2050" i="1" s="1"/>
  <c r="I2051" i="1"/>
  <c r="I2052" i="1"/>
  <c r="L2052" i="1" s="1"/>
  <c r="M2052" i="1" s="1"/>
  <c r="I2053" i="1"/>
  <c r="I2054" i="1"/>
  <c r="J2055" i="1"/>
  <c r="I2055" i="1"/>
  <c r="J2056" i="1"/>
  <c r="I2056" i="1"/>
  <c r="J2057" i="1"/>
  <c r="I2057" i="1"/>
  <c r="I2058" i="1"/>
  <c r="J2059" i="1"/>
  <c r="I2059" i="1"/>
  <c r="J2060" i="1"/>
  <c r="I2060" i="1"/>
  <c r="J2061" i="1"/>
  <c r="I2061" i="1"/>
  <c r="K2062" i="1"/>
  <c r="I2062" i="1"/>
  <c r="K2063" i="1"/>
  <c r="J2063" i="1"/>
  <c r="K2065" i="1"/>
  <c r="J2067" i="1"/>
  <c r="J2065" i="1"/>
  <c r="K2066" i="1"/>
  <c r="J2066" i="1"/>
  <c r="I2063" i="1"/>
  <c r="I2064" i="1"/>
  <c r="I2065" i="1"/>
  <c r="I2066" i="1"/>
  <c r="I2067" i="1"/>
  <c r="L2026" i="1" l="1"/>
  <c r="M2026" i="1" s="1"/>
  <c r="L1996" i="1"/>
  <c r="M1996" i="1" s="1"/>
  <c r="L1467" i="1"/>
  <c r="M1467" i="1" s="1"/>
  <c r="L1469" i="1"/>
  <c r="M1469" i="1" s="1"/>
  <c r="L1466" i="1"/>
  <c r="M1466" i="1" s="1"/>
  <c r="L1468" i="1"/>
  <c r="M1468" i="1" s="1"/>
  <c r="L1471" i="1"/>
  <c r="M1471" i="1" s="1"/>
  <c r="L1475" i="1"/>
  <c r="M1475" i="1" s="1"/>
  <c r="L1477" i="1"/>
  <c r="M1477" i="1" s="1"/>
  <c r="L1912" i="1"/>
  <c r="M1912" i="1" s="1"/>
  <c r="L1481" i="1"/>
  <c r="M1481" i="1" s="1"/>
  <c r="L1491" i="1"/>
  <c r="M1491" i="1" s="1"/>
  <c r="L1483" i="1"/>
  <c r="M1483" i="1" s="1"/>
  <c r="L1482" i="1"/>
  <c r="M1482" i="1" s="1"/>
  <c r="L1488" i="1"/>
  <c r="M1488" i="1" s="1"/>
  <c r="L1485" i="1"/>
  <c r="M1485" i="1" s="1"/>
  <c r="L1484" i="1"/>
  <c r="M1484" i="1" s="1"/>
  <c r="L1489" i="1"/>
  <c r="M1489" i="1" s="1"/>
  <c r="L1490" i="1"/>
  <c r="M1490" i="1" s="1"/>
  <c r="L1493" i="1"/>
  <c r="M1493" i="1" s="1"/>
  <c r="L1508" i="1"/>
  <c r="M1508" i="1" s="1"/>
  <c r="L1514" i="1"/>
  <c r="M1514" i="1" s="1"/>
  <c r="L1498" i="1"/>
  <c r="M1498" i="1" s="1"/>
  <c r="L1507" i="1"/>
  <c r="M1507" i="1" s="1"/>
  <c r="L1515" i="1"/>
  <c r="M1515" i="1" s="1"/>
  <c r="L2027" i="1"/>
  <c r="M2027" i="1" s="1"/>
  <c r="L1836" i="1"/>
  <c r="M1836" i="1" s="1"/>
  <c r="L1526" i="1"/>
  <c r="M1526" i="1" s="1"/>
  <c r="L1524" i="1"/>
  <c r="M1524" i="1" s="1"/>
  <c r="L1525" i="1"/>
  <c r="M1525" i="1" s="1"/>
  <c r="L1527" i="1"/>
  <c r="M1527" i="1" s="1"/>
  <c r="L1531" i="1"/>
  <c r="M1531" i="1" s="1"/>
  <c r="L1533" i="1"/>
  <c r="M1533" i="1" s="1"/>
  <c r="L1532" i="1"/>
  <c r="M1532" i="1" s="1"/>
  <c r="L1534" i="1"/>
  <c r="M1534" i="1" s="1"/>
  <c r="L1535" i="1"/>
  <c r="M1535" i="1" s="1"/>
  <c r="L1539" i="1"/>
  <c r="M1539" i="1" s="1"/>
  <c r="L2014" i="1"/>
  <c r="M2014" i="1" s="1"/>
  <c r="L1541" i="1"/>
  <c r="M1541" i="1" s="1"/>
  <c r="L1953" i="1"/>
  <c r="M1953" i="1" s="1"/>
  <c r="L1544" i="1"/>
  <c r="M1544" i="1" s="1"/>
  <c r="L2025" i="1"/>
  <c r="M2025" i="1" s="1"/>
  <c r="L1889" i="1"/>
  <c r="M1889" i="1" s="1"/>
  <c r="L1881" i="1"/>
  <c r="M1881" i="1" s="1"/>
  <c r="L1670" i="1"/>
  <c r="M1670" i="1" s="1"/>
  <c r="L1665" i="1"/>
  <c r="M1665" i="1" s="1"/>
  <c r="L1963" i="1"/>
  <c r="M1963" i="1" s="1"/>
  <c r="L1758" i="1"/>
  <c r="M1758" i="1" s="1"/>
  <c r="L1813" i="1"/>
  <c r="M1813" i="1" s="1"/>
  <c r="L1964" i="1"/>
  <c r="M1964" i="1" s="1"/>
  <c r="L1559" i="1"/>
  <c r="M1559" i="1" s="1"/>
  <c r="L1896" i="1"/>
  <c r="M1896" i="1" s="1"/>
  <c r="L1841" i="1"/>
  <c r="M1841" i="1" s="1"/>
  <c r="L1719" i="1"/>
  <c r="M1719" i="1" s="1"/>
  <c r="L1664" i="1"/>
  <c r="M1664" i="1" s="1"/>
  <c r="L1777" i="1"/>
  <c r="M1777" i="1" s="1"/>
  <c r="L1567" i="1"/>
  <c r="M1567" i="1" s="1"/>
  <c r="L1561" i="1"/>
  <c r="M1561" i="1" s="1"/>
  <c r="L1565" i="1"/>
  <c r="M1565" i="1" s="1"/>
  <c r="L1564" i="1"/>
  <c r="M1564" i="1" s="1"/>
  <c r="L1572" i="1"/>
  <c r="M1572" i="1" s="1"/>
  <c r="L1569" i="1"/>
  <c r="M1569" i="1" s="1"/>
  <c r="L1571" i="1"/>
  <c r="M1571" i="1" s="1"/>
  <c r="L1575" i="1"/>
  <c r="M1575" i="1" s="1"/>
  <c r="L1735" i="1"/>
  <c r="M1735" i="1" s="1"/>
  <c r="L1710" i="1"/>
  <c r="M1710" i="1" s="1"/>
  <c r="L1706" i="1"/>
  <c r="M1706" i="1" s="1"/>
  <c r="L1704" i="1"/>
  <c r="M1704" i="1" s="1"/>
  <c r="L1646" i="1"/>
  <c r="M1646" i="1" s="1"/>
  <c r="L1608" i="1"/>
  <c r="M1608" i="1" s="1"/>
  <c r="L1620" i="1"/>
  <c r="M1620" i="1" s="1"/>
  <c r="L1598" i="1"/>
  <c r="M1598" i="1" s="1"/>
  <c r="L1595" i="1"/>
  <c r="M1595" i="1" s="1"/>
  <c r="L1596" i="1"/>
  <c r="M1596" i="1" s="1"/>
  <c r="L1597" i="1"/>
  <c r="M1597" i="1" s="1"/>
  <c r="L1606" i="1"/>
  <c r="M1606" i="1" s="1"/>
  <c r="L1605" i="1"/>
  <c r="M1605" i="1" s="1"/>
  <c r="L1607" i="1"/>
  <c r="M1607" i="1" s="1"/>
  <c r="L1609" i="1"/>
  <c r="M1609" i="1" s="1"/>
  <c r="L1610" i="1"/>
  <c r="M1610" i="1" s="1"/>
  <c r="L1611" i="1"/>
  <c r="M1611" i="1" s="1"/>
  <c r="L1616" i="1"/>
  <c r="M1616" i="1" s="1"/>
  <c r="L1617" i="1"/>
  <c r="M1617" i="1" s="1"/>
  <c r="L1619" i="1"/>
  <c r="M1619" i="1" s="1"/>
  <c r="L1625" i="1"/>
  <c r="M1625" i="1" s="1"/>
  <c r="L1626" i="1"/>
  <c r="M1626" i="1" s="1"/>
  <c r="L1627" i="1"/>
  <c r="M1627" i="1" s="1"/>
  <c r="L1629" i="1"/>
  <c r="M1629" i="1" s="1"/>
  <c r="L1631" i="1"/>
  <c r="M1631" i="1" s="1"/>
  <c r="L1632" i="1"/>
  <c r="M1632" i="1" s="1"/>
  <c r="L1636" i="1"/>
  <c r="M1636" i="1" s="1"/>
  <c r="L1635" i="1"/>
  <c r="M1635" i="1" s="1"/>
  <c r="L1638" i="1"/>
  <c r="M1638" i="1" s="1"/>
  <c r="L1639" i="1"/>
  <c r="M1639" i="1" s="1"/>
  <c r="L1640" i="1"/>
  <c r="M1640" i="1" s="1"/>
  <c r="L1641" i="1"/>
  <c r="M1641" i="1" s="1"/>
  <c r="L1642" i="1"/>
  <c r="M1642" i="1" s="1"/>
  <c r="L1643" i="1"/>
  <c r="M1643" i="1" s="1"/>
  <c r="L1644" i="1"/>
  <c r="M1644" i="1" s="1"/>
  <c r="L1645" i="1"/>
  <c r="M1645" i="1" s="1"/>
  <c r="L1750" i="1"/>
  <c r="M1750" i="1" s="1"/>
  <c r="L1740" i="1"/>
  <c r="M1740" i="1" s="1"/>
  <c r="L1658" i="1"/>
  <c r="M1658" i="1" s="1"/>
  <c r="L1647" i="1"/>
  <c r="M1647" i="1" s="1"/>
  <c r="L1648" i="1"/>
  <c r="M1648" i="1" s="1"/>
  <c r="L1649" i="1"/>
  <c r="M1649" i="1" s="1"/>
  <c r="L1651" i="1"/>
  <c r="M1651" i="1" s="1"/>
  <c r="L1652" i="1"/>
  <c r="M1652" i="1" s="1"/>
  <c r="L1653" i="1"/>
  <c r="M1653" i="1" s="1"/>
  <c r="L1655" i="1"/>
  <c r="M1655" i="1" s="1"/>
  <c r="L1657" i="1"/>
  <c r="M1657" i="1" s="1"/>
  <c r="L1656" i="1"/>
  <c r="M1656" i="1" s="1"/>
  <c r="L1683" i="1"/>
  <c r="M1683" i="1" s="1"/>
  <c r="L1668" i="1"/>
  <c r="M1668" i="1" s="1"/>
  <c r="L1669" i="1"/>
  <c r="M1669" i="1" s="1"/>
  <c r="L1671" i="1"/>
  <c r="M1671" i="1" s="1"/>
  <c r="L1672" i="1"/>
  <c r="M1672" i="1" s="1"/>
  <c r="L1673" i="1"/>
  <c r="M1673" i="1" s="1"/>
  <c r="L1674" i="1"/>
  <c r="M1674" i="1" s="1"/>
  <c r="L1679" i="1"/>
  <c r="M1679" i="1" s="1"/>
  <c r="L1681" i="1"/>
  <c r="M1681" i="1" s="1"/>
  <c r="L1682" i="1"/>
  <c r="M1682" i="1" s="1"/>
  <c r="L1684" i="1"/>
  <c r="M1684" i="1" s="1"/>
  <c r="L1685" i="1"/>
  <c r="M1685" i="1" s="1"/>
  <c r="L1686" i="1"/>
  <c r="M1686" i="1" s="1"/>
  <c r="L1688" i="1"/>
  <c r="M1688" i="1" s="1"/>
  <c r="L1689" i="1"/>
  <c r="M1689" i="1" s="1"/>
  <c r="L1731" i="1"/>
  <c r="M1731" i="1" s="1"/>
  <c r="L1725" i="1"/>
  <c r="M1725" i="1" s="1"/>
  <c r="L1705" i="1"/>
  <c r="M1705" i="1" s="1"/>
  <c r="L1717" i="1"/>
  <c r="M1717" i="1" s="1"/>
  <c r="L1726" i="1"/>
  <c r="M1726" i="1" s="1"/>
  <c r="L1795" i="1"/>
  <c r="M1795" i="1" s="1"/>
  <c r="L1771" i="1"/>
  <c r="M1771" i="1" s="1"/>
  <c r="L1755" i="1"/>
  <c r="M1755" i="1" s="1"/>
  <c r="L1769" i="1"/>
  <c r="M1769" i="1" s="1"/>
  <c r="L1772" i="1"/>
  <c r="M1772" i="1" s="1"/>
  <c r="L1779" i="1"/>
  <c r="M1779" i="1" s="1"/>
  <c r="L1891" i="1"/>
  <c r="M1891" i="1" s="1"/>
  <c r="L1870" i="1"/>
  <c r="M1870" i="1" s="1"/>
  <c r="L1865" i="1"/>
  <c r="M1865" i="1" s="1"/>
  <c r="L1853" i="1"/>
  <c r="M1853" i="1" s="1"/>
  <c r="L1851" i="1"/>
  <c r="M1851" i="1" s="1"/>
  <c r="L1838" i="1"/>
  <c r="M1838" i="1" s="1"/>
  <c r="L1820" i="1"/>
  <c r="M1820" i="1" s="1"/>
  <c r="L1804" i="1"/>
  <c r="M1804" i="1" s="1"/>
  <c r="L1798" i="1"/>
  <c r="M1798" i="1" s="1"/>
  <c r="L1785" i="1"/>
  <c r="M1785" i="1" s="1"/>
  <c r="L1806" i="1"/>
  <c r="M1806" i="1" s="1"/>
  <c r="L1808" i="1"/>
  <c r="M1808" i="1" s="1"/>
  <c r="L1859" i="1"/>
  <c r="M1859" i="1" s="1"/>
  <c r="L1852" i="1"/>
  <c r="M1852" i="1" s="1"/>
  <c r="L1839" i="1"/>
  <c r="M1839" i="1" s="1"/>
  <c r="L1823" i="1"/>
  <c r="M1823" i="1" s="1"/>
  <c r="L1826" i="1"/>
  <c r="M1826" i="1" s="1"/>
  <c r="L1827" i="1"/>
  <c r="M1827" i="1" s="1"/>
  <c r="L1829" i="1"/>
  <c r="M1829" i="1" s="1"/>
  <c r="L1828" i="1"/>
  <c r="M1828" i="1" s="1"/>
  <c r="L1830" i="1"/>
  <c r="M1830" i="1" s="1"/>
  <c r="L1831" i="1"/>
  <c r="M1831" i="1" s="1"/>
  <c r="L1832" i="1"/>
  <c r="M1832" i="1" s="1"/>
  <c r="L1834" i="1"/>
  <c r="M1834" i="1" s="1"/>
  <c r="L1835" i="1"/>
  <c r="M1835" i="1" s="1"/>
  <c r="L1844" i="1"/>
  <c r="M1844" i="1" s="1"/>
  <c r="L1866" i="1"/>
  <c r="M1866" i="1" s="1"/>
  <c r="L1872" i="1"/>
  <c r="M1872" i="1" s="1"/>
  <c r="L1930" i="1"/>
  <c r="M1930" i="1" s="1"/>
  <c r="L1875" i="1"/>
  <c r="M1875" i="1" s="1"/>
  <c r="L1874" i="1"/>
  <c r="M1874" i="1" s="1"/>
  <c r="L1876" i="1"/>
  <c r="M1876" i="1" s="1"/>
  <c r="L1879" i="1"/>
  <c r="M1879" i="1" s="1"/>
  <c r="L1877" i="1"/>
  <c r="M1877" i="1" s="1"/>
  <c r="L1880" i="1"/>
  <c r="M1880" i="1" s="1"/>
  <c r="L1943" i="1"/>
  <c r="M1943" i="1" s="1"/>
  <c r="L1885" i="1"/>
  <c r="M1885" i="1" s="1"/>
  <c r="L1886" i="1"/>
  <c r="M1886" i="1" s="1"/>
  <c r="L1887" i="1"/>
  <c r="M1887" i="1" s="1"/>
  <c r="L1888" i="1"/>
  <c r="M1888" i="1" s="1"/>
  <c r="L1890" i="1"/>
  <c r="M1890" i="1" s="1"/>
  <c r="L1895" i="1"/>
  <c r="M1895" i="1" s="1"/>
  <c r="L1914" i="1"/>
  <c r="M1914" i="1" s="1"/>
  <c r="L1915" i="1"/>
  <c r="M1915" i="1" s="1"/>
  <c r="L1916" i="1"/>
  <c r="M1916" i="1" s="1"/>
  <c r="L1917" i="1"/>
  <c r="M1917" i="1" s="1"/>
  <c r="L1918" i="1"/>
  <c r="M1918" i="1" s="1"/>
  <c r="L1919" i="1"/>
  <c r="M1919" i="1" s="1"/>
  <c r="L1920" i="1"/>
  <c r="M1920" i="1" s="1"/>
  <c r="L1925" i="1"/>
  <c r="M1925" i="1" s="1"/>
  <c r="L1926" i="1"/>
  <c r="M1926" i="1" s="1"/>
  <c r="L1994" i="1"/>
  <c r="M1994" i="1" s="1"/>
  <c r="L1945" i="1"/>
  <c r="M1945" i="1" s="1"/>
  <c r="L1938" i="1"/>
  <c r="M1938" i="1" s="1"/>
  <c r="L1936" i="1"/>
  <c r="M1936" i="1" s="1"/>
  <c r="L1929" i="1"/>
  <c r="M1929" i="1" s="1"/>
  <c r="L1927" i="1"/>
  <c r="M1927" i="1" s="1"/>
  <c r="L1928" i="1"/>
  <c r="M1928" i="1" s="1"/>
  <c r="L1931" i="1"/>
  <c r="M1931" i="1" s="1"/>
  <c r="L1932" i="1"/>
  <c r="M1932" i="1" s="1"/>
  <c r="L1934" i="1"/>
  <c r="M1934" i="1" s="1"/>
  <c r="L1933" i="1"/>
  <c r="M1933" i="1" s="1"/>
  <c r="L1935" i="1"/>
  <c r="M1935" i="1" s="1"/>
  <c r="L1940" i="1"/>
  <c r="M1940" i="1" s="1"/>
  <c r="L1942" i="1"/>
  <c r="M1942" i="1" s="1"/>
  <c r="L1944" i="1"/>
  <c r="M1944" i="1" s="1"/>
  <c r="L1960" i="1"/>
  <c r="M1960" i="1" s="1"/>
  <c r="L1962" i="1"/>
  <c r="M1962" i="1" s="1"/>
  <c r="L1967" i="1"/>
  <c r="M1967" i="1" s="1"/>
  <c r="L2035" i="1"/>
  <c r="M2035" i="1" s="1"/>
  <c r="L2028" i="1"/>
  <c r="M2028" i="1" s="1"/>
  <c r="L1995" i="1"/>
  <c r="M1995" i="1" s="1"/>
  <c r="L1988" i="1"/>
  <c r="M1988" i="1" s="1"/>
  <c r="L1985" i="1"/>
  <c r="M1985" i="1" s="1"/>
  <c r="L1976" i="1"/>
  <c r="M1976" i="1" s="1"/>
  <c r="L1970" i="1"/>
  <c r="M1970" i="1" s="1"/>
  <c r="L1971" i="1"/>
  <c r="M1971" i="1" s="1"/>
  <c r="L1972" i="1"/>
  <c r="M1972" i="1" s="1"/>
  <c r="L1973" i="1"/>
  <c r="M1973" i="1" s="1"/>
  <c r="L1974" i="1"/>
  <c r="M1974" i="1" s="1"/>
  <c r="L1975" i="1"/>
  <c r="M1975" i="1" s="1"/>
  <c r="L1983" i="1"/>
  <c r="M1983" i="1" s="1"/>
  <c r="L1982" i="1"/>
  <c r="M1982" i="1" s="1"/>
  <c r="L1981" i="1"/>
  <c r="M1981" i="1" s="1"/>
  <c r="L1986" i="1"/>
  <c r="M1986" i="1" s="1"/>
  <c r="L1987" i="1"/>
  <c r="M1987" i="1" s="1"/>
  <c r="L1993" i="1"/>
  <c r="M1993" i="1" s="1"/>
  <c r="L1992" i="1"/>
  <c r="M1992" i="1" s="1"/>
  <c r="L2013" i="1"/>
  <c r="M2013" i="1" s="1"/>
  <c r="L1997" i="1"/>
  <c r="M1997" i="1" s="1"/>
  <c r="L1998" i="1"/>
  <c r="M1998" i="1" s="1"/>
  <c r="L2000" i="1"/>
  <c r="M2000" i="1" s="1"/>
  <c r="L2001" i="1"/>
  <c r="M2001" i="1" s="1"/>
  <c r="L2002" i="1"/>
  <c r="M2002" i="1" s="1"/>
  <c r="L2003" i="1"/>
  <c r="M2003" i="1" s="1"/>
  <c r="L2004" i="1"/>
  <c r="M2004" i="1" s="1"/>
  <c r="L2005" i="1"/>
  <c r="M2005" i="1" s="1"/>
  <c r="L2006" i="1"/>
  <c r="M2006" i="1" s="1"/>
  <c r="L2007" i="1"/>
  <c r="M2007" i="1" s="1"/>
  <c r="L2008" i="1"/>
  <c r="M2008" i="1" s="1"/>
  <c r="L2018" i="1"/>
  <c r="M2018" i="1" s="1"/>
  <c r="L2017" i="1"/>
  <c r="M2017" i="1" s="1"/>
  <c r="L2016" i="1"/>
  <c r="M2016" i="1" s="1"/>
  <c r="L2015" i="1"/>
  <c r="M2015" i="1" s="1"/>
  <c r="L2009" i="1"/>
  <c r="M2009" i="1" s="1"/>
  <c r="L2010" i="1"/>
  <c r="M2010" i="1" s="1"/>
  <c r="L2011" i="1"/>
  <c r="M2011" i="1" s="1"/>
  <c r="L2012" i="1"/>
  <c r="M2012" i="1" s="1"/>
  <c r="L2019" i="1"/>
  <c r="M2019" i="1" s="1"/>
  <c r="L2020" i="1"/>
  <c r="M2020" i="1" s="1"/>
  <c r="L2038" i="1"/>
  <c r="M2038" i="1" s="1"/>
  <c r="L2031" i="1"/>
  <c r="M2031" i="1" s="1"/>
  <c r="L2022" i="1"/>
  <c r="M2022" i="1" s="1"/>
  <c r="L2021" i="1"/>
  <c r="M2021" i="1" s="1"/>
  <c r="L2023" i="1"/>
  <c r="M2023" i="1" s="1"/>
  <c r="L2024" i="1"/>
  <c r="M2024" i="1" s="1"/>
  <c r="L2036" i="1"/>
  <c r="M2036" i="1" s="1"/>
  <c r="L2037" i="1"/>
  <c r="M2037" i="1" s="1"/>
  <c r="L2047" i="1"/>
  <c r="M2047" i="1" s="1"/>
  <c r="L2039" i="1"/>
  <c r="M2039" i="1" s="1"/>
  <c r="L2051" i="1"/>
  <c r="M2051" i="1" s="1"/>
  <c r="L2053" i="1"/>
  <c r="M2053" i="1" s="1"/>
  <c r="L2054" i="1"/>
  <c r="M2054" i="1" s="1"/>
  <c r="L2055" i="1"/>
  <c r="M2055" i="1" s="1"/>
  <c r="L2056" i="1"/>
  <c r="M2056" i="1" s="1"/>
  <c r="L2057" i="1"/>
  <c r="M2057" i="1" s="1"/>
  <c r="L2058" i="1"/>
  <c r="M2058" i="1" s="1"/>
  <c r="L2059" i="1"/>
  <c r="M2059" i="1" s="1"/>
  <c r="L2066" i="1"/>
  <c r="M2066" i="1" s="1"/>
  <c r="L2060" i="1"/>
  <c r="M2060" i="1" s="1"/>
  <c r="L2061" i="1"/>
  <c r="M2061" i="1" s="1"/>
  <c r="L2062" i="1"/>
  <c r="M2062" i="1" s="1"/>
  <c r="L2067" i="1"/>
  <c r="M2067" i="1" s="1"/>
  <c r="L2064" i="1"/>
  <c r="M2064" i="1" s="1"/>
  <c r="L2063" i="1"/>
  <c r="M2063" i="1" s="1"/>
  <c r="L2065" i="1"/>
  <c r="M2065" i="1" s="1"/>
  <c r="I2068" i="1"/>
  <c r="L2068" i="1" s="1"/>
  <c r="M2068" i="1" s="1"/>
  <c r="I2069" i="1"/>
  <c r="L2069" i="1" s="1"/>
  <c r="M2069" i="1" s="1"/>
  <c r="I2070" i="1"/>
  <c r="L2070" i="1" s="1"/>
  <c r="M2070" i="1" s="1"/>
  <c r="I2071" i="1"/>
  <c r="L2071" i="1" s="1"/>
  <c r="M2071" i="1" s="1"/>
  <c r="I2072" i="1"/>
  <c r="L2072" i="1" s="1"/>
  <c r="M2072" i="1" s="1"/>
  <c r="I2073" i="1"/>
  <c r="I2074" i="1"/>
  <c r="L2074" i="1" s="1"/>
  <c r="M2074" i="1" s="1"/>
  <c r="I2075" i="1"/>
  <c r="L2075" i="1" s="1"/>
  <c r="M2075" i="1" s="1"/>
  <c r="I2076" i="1"/>
  <c r="J2077" i="1"/>
  <c r="J2084" i="1"/>
  <c r="I2077" i="1"/>
  <c r="I2078" i="1"/>
  <c r="L2078" i="1" s="1"/>
  <c r="M2078" i="1" s="1"/>
  <c r="J2092" i="1"/>
  <c r="J2089" i="1"/>
  <c r="J2082" i="1"/>
  <c r="I2079" i="1"/>
  <c r="L2079" i="1" s="1"/>
  <c r="M2079" i="1" s="1"/>
  <c r="I2080" i="1"/>
  <c r="L2080" i="1" s="1"/>
  <c r="M2080" i="1" s="1"/>
  <c r="I2081" i="1"/>
  <c r="L2081" i="1" s="1"/>
  <c r="M2081" i="1" s="1"/>
  <c r="I2082" i="1"/>
  <c r="J2103" i="1"/>
  <c r="I2083" i="1"/>
  <c r="L2083" i="1" s="1"/>
  <c r="M2083" i="1" s="1"/>
  <c r="I2084" i="1"/>
  <c r="I2085" i="1"/>
  <c r="L2085" i="1" s="1"/>
  <c r="M2085" i="1" s="1"/>
  <c r="I2086" i="1"/>
  <c r="L2086" i="1" s="1"/>
  <c r="M2086" i="1" s="1"/>
  <c r="I2087" i="1"/>
  <c r="I2088" i="1"/>
  <c r="I2091" i="1"/>
  <c r="L2091" i="1" s="1"/>
  <c r="M2091" i="1" s="1"/>
  <c r="I2089" i="1"/>
  <c r="I2090" i="1"/>
  <c r="L2090" i="1" s="1"/>
  <c r="M2090" i="1" s="1"/>
  <c r="I2092" i="1"/>
  <c r="I2093" i="1"/>
  <c r="L2093" i="1" s="1"/>
  <c r="M2093" i="1" s="1"/>
  <c r="I2095" i="1"/>
  <c r="L2095" i="1" s="1"/>
  <c r="M2095" i="1" s="1"/>
  <c r="I2094" i="1"/>
  <c r="L2094" i="1" s="1"/>
  <c r="M2094" i="1" s="1"/>
  <c r="I2096" i="1"/>
  <c r="L2096" i="1" s="1"/>
  <c r="M2096" i="1" s="1"/>
  <c r="I2097" i="1"/>
  <c r="M2097" i="1" s="1"/>
  <c r="I2099" i="1"/>
  <c r="L2099" i="1" s="1"/>
  <c r="M2099" i="1" s="1"/>
  <c r="I2098" i="1"/>
  <c r="L2098" i="1" s="1"/>
  <c r="M2098" i="1" s="1"/>
  <c r="I2101" i="1"/>
  <c r="L2101" i="1" s="1"/>
  <c r="M2101" i="1" s="1"/>
  <c r="I2100" i="1"/>
  <c r="L2100" i="1" s="1"/>
  <c r="M2100" i="1" s="1"/>
  <c r="I2102" i="1"/>
  <c r="L2102" i="1" s="1"/>
  <c r="M2102" i="1" s="1"/>
  <c r="I2103" i="1"/>
  <c r="J2105" i="1"/>
  <c r="K2108" i="1"/>
  <c r="K2109" i="1"/>
  <c r="J2109" i="1"/>
  <c r="J2108" i="1"/>
  <c r="J2110" i="1"/>
  <c r="K2111" i="1"/>
  <c r="J2111" i="1"/>
  <c r="I2104" i="1"/>
  <c r="L2104" i="1" s="1"/>
  <c r="M2104" i="1" s="1"/>
  <c r="I2105" i="1"/>
  <c r="I2106" i="1"/>
  <c r="L2106" i="1" s="1"/>
  <c r="M2106" i="1" s="1"/>
  <c r="I2107" i="1"/>
  <c r="L2107" i="1" s="1"/>
  <c r="M2107" i="1" s="1"/>
  <c r="I2108" i="1"/>
  <c r="I2109" i="1"/>
  <c r="I2110" i="1"/>
  <c r="I2111" i="1"/>
  <c r="J2113" i="1"/>
  <c r="J2115" i="1"/>
  <c r="J2116" i="1"/>
  <c r="I2112" i="1"/>
  <c r="L2112" i="1" s="1"/>
  <c r="M2112" i="1" s="1"/>
  <c r="I2113" i="1"/>
  <c r="I2114" i="1"/>
  <c r="L2114" i="1" s="1"/>
  <c r="M2114" i="1" s="1"/>
  <c r="I2115" i="1"/>
  <c r="I2116" i="1"/>
  <c r="K2117" i="1"/>
  <c r="I2117" i="1"/>
  <c r="I2118" i="1"/>
  <c r="K2119" i="1"/>
  <c r="I2119" i="1"/>
  <c r="K2120" i="1"/>
  <c r="J2123" i="1"/>
  <c r="J2120" i="1"/>
  <c r="I2120" i="1"/>
  <c r="J2121" i="1"/>
  <c r="I2121" i="1"/>
  <c r="I2122" i="1"/>
  <c r="I2123" i="1"/>
  <c r="J2124" i="1"/>
  <c r="I2124" i="1"/>
  <c r="I2125" i="1"/>
  <c r="L2125" i="1" s="1"/>
  <c r="M2125" i="1" s="1"/>
  <c r="I2127" i="1"/>
  <c r="L2127" i="1" s="1"/>
  <c r="M2127" i="1" s="1"/>
  <c r="I2126" i="1"/>
  <c r="L2126" i="1" s="1"/>
  <c r="M2126" i="1" s="1"/>
  <c r="I2128" i="1"/>
  <c r="L2128" i="1" s="1"/>
  <c r="M2128" i="1" s="1"/>
  <c r="K2130" i="1"/>
  <c r="J2130" i="1"/>
  <c r="I2129" i="1"/>
  <c r="L2129" i="1" s="1"/>
  <c r="M2129" i="1" s="1"/>
  <c r="I2130" i="1"/>
  <c r="I2131" i="1"/>
  <c r="L2131" i="1" s="1"/>
  <c r="M2131" i="1" s="1"/>
  <c r="I2132" i="1"/>
  <c r="L2132" i="1" s="1"/>
  <c r="M2132" i="1" s="1"/>
  <c r="I2133" i="1"/>
  <c r="J2134" i="1"/>
  <c r="I2134" i="1"/>
  <c r="I2135" i="1"/>
  <c r="I2136" i="1"/>
  <c r="K2138" i="1"/>
  <c r="I2138" i="1"/>
  <c r="J2137" i="1"/>
  <c r="I2137" i="1"/>
  <c r="K2140" i="1"/>
  <c r="J2140" i="1"/>
  <c r="J2144" i="1"/>
  <c r="J2142" i="1"/>
  <c r="K2141" i="1"/>
  <c r="J2141" i="1"/>
  <c r="K2143" i="1"/>
  <c r="J2143" i="1"/>
  <c r="K2139" i="1"/>
  <c r="I2139" i="1"/>
  <c r="I2140" i="1"/>
  <c r="I2141" i="1"/>
  <c r="I2142" i="1"/>
  <c r="I2143" i="1"/>
  <c r="I2144" i="1"/>
  <c r="L2144" i="1" s="1"/>
  <c r="M2144" i="1" s="1"/>
  <c r="I2146" i="1"/>
  <c r="L2146" i="1" s="1"/>
  <c r="M2146" i="1" s="1"/>
  <c r="I2145" i="1"/>
  <c r="L2145" i="1" s="1"/>
  <c r="M2145" i="1" s="1"/>
  <c r="I2148" i="1"/>
  <c r="L2148" i="1" s="1"/>
  <c r="M2148" i="1" s="1"/>
  <c r="J2147" i="1"/>
  <c r="I2147" i="1"/>
  <c r="J2149" i="1"/>
  <c r="I2149" i="1"/>
  <c r="I2150" i="1"/>
  <c r="L2150" i="1" s="1"/>
  <c r="M2150" i="1" s="1"/>
  <c r="I2151" i="1"/>
  <c r="J2152" i="1"/>
  <c r="I2152" i="1"/>
  <c r="I2153" i="1"/>
  <c r="I2154" i="1"/>
  <c r="J2155" i="1"/>
  <c r="I2155" i="1"/>
  <c r="J2156" i="1"/>
  <c r="I2156" i="1"/>
  <c r="J2157" i="1"/>
  <c r="I2157" i="1"/>
  <c r="J2158" i="1"/>
  <c r="I2158" i="1"/>
  <c r="J2159" i="1"/>
  <c r="I2159" i="1"/>
  <c r="I2160" i="1"/>
  <c r="J2161" i="1"/>
  <c r="I2161" i="1"/>
  <c r="K2162" i="1"/>
  <c r="I2162" i="1"/>
  <c r="K2163" i="1"/>
  <c r="I2163" i="1"/>
  <c r="K2166" i="1"/>
  <c r="J2166" i="1"/>
  <c r="J2165" i="1"/>
  <c r="K2164" i="1"/>
  <c r="I2164" i="1"/>
  <c r="I2165" i="1"/>
  <c r="I2166" i="1"/>
  <c r="K2167" i="1"/>
  <c r="I2167" i="1"/>
  <c r="J2170" i="1"/>
  <c r="J3044" i="1"/>
  <c r="K2168" i="1"/>
  <c r="I2168" i="1"/>
  <c r="K2169" i="1"/>
  <c r="I2169" i="1"/>
  <c r="I2170" i="1"/>
  <c r="K2171" i="1"/>
  <c r="I2171" i="1"/>
  <c r="K2172" i="1"/>
  <c r="I2172" i="1"/>
  <c r="K2173" i="1"/>
  <c r="I2173" i="1"/>
  <c r="J2176" i="1"/>
  <c r="K2174" i="1"/>
  <c r="I2174" i="1"/>
  <c r="K2175" i="1"/>
  <c r="I2175" i="1"/>
  <c r="K2176" i="1"/>
  <c r="I2176" i="1"/>
  <c r="K2177" i="1"/>
  <c r="I2177" i="1"/>
  <c r="K2178" i="1"/>
  <c r="I2178" i="1"/>
  <c r="K2179" i="1"/>
  <c r="J2181" i="1"/>
  <c r="J2179" i="1"/>
  <c r="I2179" i="1"/>
  <c r="J2180" i="1"/>
  <c r="I2180" i="1"/>
  <c r="I2181" i="1"/>
  <c r="J2182" i="1"/>
  <c r="I2182" i="1"/>
  <c r="I2183" i="1"/>
  <c r="L2183" i="1" s="1"/>
  <c r="M2183" i="1" s="1"/>
  <c r="I2184" i="1"/>
  <c r="L2184" i="1" s="1"/>
  <c r="M2184" i="1" s="1"/>
  <c r="J2186" i="1"/>
  <c r="I2185" i="1"/>
  <c r="L2185" i="1" s="1"/>
  <c r="M2185" i="1" s="1"/>
  <c r="I2186" i="1"/>
  <c r="J2190" i="1"/>
  <c r="I2187" i="1"/>
  <c r="L2187" i="1" s="1"/>
  <c r="M2187" i="1" s="1"/>
  <c r="I2188" i="1"/>
  <c r="L2188" i="1" s="1"/>
  <c r="M2188" i="1" s="1"/>
  <c r="I2189" i="1"/>
  <c r="L2189" i="1" s="1"/>
  <c r="M2189" i="1" s="1"/>
  <c r="I2190" i="1"/>
  <c r="I2191" i="1"/>
  <c r="L2191" i="1" s="1"/>
  <c r="M2191" i="1" s="1"/>
  <c r="I2192" i="1"/>
  <c r="L2192" i="1" s="1"/>
  <c r="M2192" i="1" s="1"/>
  <c r="J2194" i="1"/>
  <c r="I2193" i="1"/>
  <c r="L2193" i="1" s="1"/>
  <c r="M2193" i="1" s="1"/>
  <c r="I2194" i="1"/>
  <c r="I2195" i="1"/>
  <c r="L2195" i="1" s="1"/>
  <c r="M2195" i="1" s="1"/>
  <c r="I2196" i="1"/>
  <c r="L2196" i="1" s="1"/>
  <c r="M2196" i="1" s="1"/>
  <c r="I2197" i="1"/>
  <c r="L2197" i="1" s="1"/>
  <c r="M2197" i="1" s="1"/>
  <c r="I2198" i="1"/>
  <c r="L2198" i="1" s="1"/>
  <c r="M2198" i="1" s="1"/>
  <c r="J2199" i="1"/>
  <c r="K2204" i="1"/>
  <c r="J2204" i="1"/>
  <c r="J2201" i="1"/>
  <c r="I2199" i="1"/>
  <c r="I2200" i="1"/>
  <c r="L2200" i="1" s="1"/>
  <c r="M2200" i="1" s="1"/>
  <c r="I2201" i="1"/>
  <c r="I2202" i="1"/>
  <c r="L2202" i="1" s="1"/>
  <c r="M2202" i="1" s="1"/>
  <c r="I2203" i="1"/>
  <c r="L2203" i="1" s="1"/>
  <c r="M2203" i="1" s="1"/>
  <c r="I2204" i="1"/>
  <c r="L2205" i="1"/>
  <c r="M2205" i="1" s="1"/>
  <c r="J2207" i="1"/>
  <c r="I2206" i="1"/>
  <c r="L2206" i="1" s="1"/>
  <c r="M2206" i="1" s="1"/>
  <c r="I2207" i="1"/>
  <c r="I2208" i="1"/>
  <c r="J2209" i="1"/>
  <c r="J2212" i="1"/>
  <c r="I2209" i="1"/>
  <c r="K2210" i="1"/>
  <c r="I2210" i="1"/>
  <c r="K2211" i="1"/>
  <c r="I2211" i="1"/>
  <c r="I2212" i="1"/>
  <c r="K2213" i="1"/>
  <c r="I2213" i="1"/>
  <c r="K2214" i="1"/>
  <c r="I2214" i="1"/>
  <c r="K2215" i="1"/>
  <c r="I2215" i="1"/>
  <c r="K2216" i="1"/>
  <c r="I2216" i="1"/>
  <c r="K2217" i="1"/>
  <c r="I2217" i="1"/>
  <c r="J2219" i="1"/>
  <c r="K2218" i="1"/>
  <c r="I2218" i="1"/>
  <c r="I2219" i="1"/>
  <c r="K2220" i="1"/>
  <c r="I2220" i="1"/>
  <c r="K2221" i="1"/>
  <c r="I2221" i="1"/>
  <c r="K2223" i="1"/>
  <c r="J2223" i="1"/>
  <c r="J2225" i="1"/>
  <c r="K2222" i="1"/>
  <c r="I2222" i="1"/>
  <c r="I2223" i="1"/>
  <c r="K2224" i="1"/>
  <c r="I2224" i="1"/>
  <c r="K2225" i="1"/>
  <c r="I2225" i="1"/>
  <c r="J2228" i="1"/>
  <c r="K2226" i="1"/>
  <c r="I2226" i="1"/>
  <c r="K2227" i="1"/>
  <c r="I2227" i="1"/>
  <c r="I2228" i="1"/>
  <c r="K2229" i="1"/>
  <c r="I2229" i="1"/>
  <c r="K2230" i="1"/>
  <c r="I2230" i="1"/>
  <c r="K2231" i="1"/>
  <c r="I2231" i="1"/>
  <c r="J2232" i="1"/>
  <c r="I2232" i="1"/>
  <c r="K2233" i="1"/>
  <c r="J2233" i="1"/>
  <c r="I2233" i="1"/>
  <c r="I2235" i="1"/>
  <c r="L2235" i="1" s="1"/>
  <c r="M2235" i="1" s="1"/>
  <c r="K2234" i="1"/>
  <c r="J2234" i="1"/>
  <c r="I2234" i="1"/>
  <c r="J2236" i="1"/>
  <c r="I2236" i="1"/>
  <c r="J2237" i="1"/>
  <c r="I2237" i="1"/>
  <c r="I2239" i="1"/>
  <c r="J2238" i="1"/>
  <c r="I2238" i="1"/>
  <c r="I2240" i="1"/>
  <c r="K2243" i="1"/>
  <c r="J2242" i="1"/>
  <c r="I2242" i="1"/>
  <c r="J2241" i="1"/>
  <c r="I2241" i="1"/>
  <c r="J2243" i="1"/>
  <c r="I2243" i="1"/>
  <c r="I2249" i="1"/>
  <c r="K2247" i="1"/>
  <c r="J2245" i="1"/>
  <c r="J2247" i="1"/>
  <c r="J2248" i="1"/>
  <c r="J2253" i="1"/>
  <c r="J2244" i="1"/>
  <c r="I2244" i="1"/>
  <c r="J2246" i="1"/>
  <c r="I2246" i="1"/>
  <c r="I2245" i="1"/>
  <c r="I2247" i="1"/>
  <c r="K2252" i="1"/>
  <c r="J2249" i="1"/>
  <c r="J2252" i="1"/>
  <c r="I2248" i="1"/>
  <c r="I2251" i="1"/>
  <c r="I2250" i="1"/>
  <c r="I2252" i="1"/>
  <c r="K2254" i="1"/>
  <c r="I2254" i="1"/>
  <c r="I2253" i="1"/>
  <c r="L2253" i="1" s="1"/>
  <c r="M2253" i="1" s="1"/>
  <c r="J2256" i="1"/>
  <c r="K2255" i="1"/>
  <c r="I2255" i="1"/>
  <c r="K2256" i="1"/>
  <c r="I2256" i="1"/>
  <c r="K2257" i="1"/>
  <c r="I2257" i="1"/>
  <c r="K2258" i="1"/>
  <c r="I2258" i="1"/>
  <c r="K2259" i="1"/>
  <c r="I2259" i="1"/>
  <c r="K2260" i="1"/>
  <c r="I2260" i="1"/>
  <c r="K2261" i="1"/>
  <c r="I2261" i="1"/>
  <c r="K2262" i="1"/>
  <c r="I2262" i="1"/>
  <c r="K2263" i="1"/>
  <c r="I2263" i="1"/>
  <c r="K2264" i="1"/>
  <c r="I2264" i="1"/>
  <c r="K2265" i="1"/>
  <c r="I2265" i="1"/>
  <c r="K2266" i="1"/>
  <c r="I2266" i="1"/>
  <c r="K2267" i="1"/>
  <c r="I2267" i="1"/>
  <c r="K2268" i="1"/>
  <c r="I2268" i="1"/>
  <c r="J2270" i="1"/>
  <c r="K2269" i="1"/>
  <c r="I2269" i="1"/>
  <c r="K2270" i="1"/>
  <c r="I2270" i="1"/>
  <c r="K2271" i="1"/>
  <c r="I2271" i="1"/>
  <c r="K2272" i="1"/>
  <c r="I2272" i="1"/>
  <c r="K2273" i="1"/>
  <c r="I2273" i="1"/>
  <c r="K2275" i="1"/>
  <c r="J2275" i="1"/>
  <c r="I2275" i="1"/>
  <c r="I2276" i="1"/>
  <c r="L2276" i="1" s="1"/>
  <c r="M2276" i="1" s="1"/>
  <c r="K2274" i="1"/>
  <c r="I2274" i="1"/>
  <c r="K2279" i="1"/>
  <c r="J2279" i="1"/>
  <c r="I2279" i="1"/>
  <c r="K2277" i="1"/>
  <c r="J2277" i="1"/>
  <c r="I2277" i="1"/>
  <c r="I2278" i="1"/>
  <c r="J2282" i="1"/>
  <c r="J2280" i="1"/>
  <c r="I2280" i="1"/>
  <c r="K2281" i="1"/>
  <c r="J2281" i="1"/>
  <c r="I2281" i="1"/>
  <c r="I2282" i="1"/>
  <c r="K2283" i="1"/>
  <c r="J2284" i="1"/>
  <c r="J2283" i="1"/>
  <c r="J2290" i="1"/>
  <c r="I2284" i="1"/>
  <c r="K2285" i="1"/>
  <c r="I2285" i="1"/>
  <c r="K2286" i="1"/>
  <c r="I2286" i="1"/>
  <c r="I2283" i="1"/>
  <c r="K2287" i="1"/>
  <c r="I2287" i="1"/>
  <c r="J2291" i="1"/>
  <c r="J2292" i="1"/>
  <c r="J2296" i="1"/>
  <c r="J2295" i="1"/>
  <c r="K2288" i="1"/>
  <c r="I2288" i="1"/>
  <c r="K2289" i="1"/>
  <c r="I2289" i="1"/>
  <c r="I2290" i="1"/>
  <c r="I2291" i="1"/>
  <c r="I2292" i="1"/>
  <c r="K2293" i="1"/>
  <c r="I2293" i="1"/>
  <c r="K2294" i="1"/>
  <c r="I2294" i="1"/>
  <c r="I2295" i="1"/>
  <c r="I2296" i="1"/>
  <c r="K2297" i="1"/>
  <c r="I2297" i="1"/>
  <c r="K2298" i="1"/>
  <c r="I2298" i="1"/>
  <c r="J2299" i="1"/>
  <c r="K2303" i="1"/>
  <c r="J2303" i="1"/>
  <c r="J2304" i="1"/>
  <c r="J2306" i="1"/>
  <c r="J2307" i="1"/>
  <c r="J2309" i="1"/>
  <c r="I2299" i="1"/>
  <c r="K2301" i="1"/>
  <c r="I2301" i="1"/>
  <c r="K2300" i="1"/>
  <c r="I2300" i="1"/>
  <c r="K2302" i="1"/>
  <c r="I2302" i="1"/>
  <c r="I2303" i="1"/>
  <c r="I2304" i="1"/>
  <c r="K2305" i="1"/>
  <c r="I2305" i="1"/>
  <c r="I2306" i="1"/>
  <c r="I2307" i="1"/>
  <c r="K2308" i="1"/>
  <c r="I2308" i="1"/>
  <c r="I2309" i="1"/>
  <c r="K2310" i="1"/>
  <c r="I2310" i="1"/>
  <c r="K2311" i="1"/>
  <c r="I2311" i="1"/>
  <c r="K2312" i="1"/>
  <c r="J2312" i="1"/>
  <c r="I2312" i="1"/>
  <c r="J2313" i="1"/>
  <c r="I2313" i="1"/>
  <c r="K2314" i="1"/>
  <c r="I2314" i="1"/>
  <c r="K2315" i="1"/>
  <c r="I2315" i="1"/>
  <c r="K2316" i="1"/>
  <c r="J2316" i="1"/>
  <c r="I2316" i="1"/>
  <c r="K2318" i="1"/>
  <c r="J2318" i="1"/>
  <c r="I2318" i="1"/>
  <c r="J2317" i="1"/>
  <c r="I2317" i="1"/>
  <c r="K2319" i="1"/>
  <c r="J2319" i="1"/>
  <c r="I2319" i="1"/>
  <c r="K2420" i="1"/>
  <c r="K2416" i="1"/>
  <c r="K2408" i="1"/>
  <c r="K2397" i="1"/>
  <c r="K2384" i="1"/>
  <c r="K2377" i="1"/>
  <c r="K2369" i="1"/>
  <c r="K2354" i="1"/>
  <c r="K2349" i="1"/>
  <c r="K2342" i="1"/>
  <c r="K2331" i="1"/>
  <c r="K2329" i="1"/>
  <c r="K2320" i="1"/>
  <c r="K2526" i="1"/>
  <c r="J2330" i="1"/>
  <c r="J2320" i="1"/>
  <c r="J2324" i="1"/>
  <c r="J2329" i="1"/>
  <c r="J2331" i="1"/>
  <c r="J2335" i="1"/>
  <c r="J2341" i="1"/>
  <c r="J2342" i="1"/>
  <c r="J2343" i="1"/>
  <c r="J2344" i="1"/>
  <c r="J2349" i="1"/>
  <c r="J2352" i="1"/>
  <c r="J2354" i="1"/>
  <c r="J2358" i="1"/>
  <c r="J2359" i="1"/>
  <c r="J2360" i="1"/>
  <c r="J2362" i="1"/>
  <c r="J2363" i="1"/>
  <c r="J2367" i="1"/>
  <c r="J2369" i="1"/>
  <c r="J2377" i="1"/>
  <c r="J2378" i="1"/>
  <c r="J2381" i="1"/>
  <c r="J2382" i="1"/>
  <c r="J2384" i="1"/>
  <c r="J2386" i="1"/>
  <c r="J2387" i="1"/>
  <c r="J2391" i="1"/>
  <c r="J2392" i="1"/>
  <c r="J2394" i="1"/>
  <c r="J2395" i="1"/>
  <c r="J2397" i="1"/>
  <c r="J2400" i="1"/>
  <c r="J2405" i="1"/>
  <c r="J2408" i="1"/>
  <c r="I2336" i="1"/>
  <c r="L2336" i="1" s="1"/>
  <c r="M2336" i="1" s="1"/>
  <c r="I2320" i="1"/>
  <c r="I2323" i="1"/>
  <c r="L2323" i="1" s="1"/>
  <c r="M2323" i="1" s="1"/>
  <c r="I2322" i="1"/>
  <c r="L2322" i="1" s="1"/>
  <c r="M2322" i="1" s="1"/>
  <c r="I2321" i="1"/>
  <c r="L2321" i="1" s="1"/>
  <c r="M2321" i="1" s="1"/>
  <c r="I2326" i="1"/>
  <c r="L2326" i="1" s="1"/>
  <c r="M2326" i="1" s="1"/>
  <c r="I2325" i="1"/>
  <c r="L2325" i="1" s="1"/>
  <c r="M2325" i="1" s="1"/>
  <c r="I2324" i="1"/>
  <c r="I2328" i="1"/>
  <c r="L2328" i="1" s="1"/>
  <c r="M2328" i="1" s="1"/>
  <c r="I2329" i="1"/>
  <c r="I2327" i="1"/>
  <c r="L2327" i="1" s="1"/>
  <c r="M2327" i="1" s="1"/>
  <c r="I2330" i="1"/>
  <c r="I2331" i="1"/>
  <c r="I2333" i="1"/>
  <c r="L2333" i="1" s="1"/>
  <c r="M2333" i="1" s="1"/>
  <c r="I2332" i="1"/>
  <c r="L2332" i="1" s="1"/>
  <c r="M2332" i="1" s="1"/>
  <c r="I2334" i="1"/>
  <c r="L2334" i="1" s="1"/>
  <c r="M2334" i="1" s="1"/>
  <c r="I2337" i="1"/>
  <c r="L2337" i="1" s="1"/>
  <c r="M2337" i="1" s="1"/>
  <c r="I2338" i="1"/>
  <c r="L2338" i="1" s="1"/>
  <c r="M2338" i="1" s="1"/>
  <c r="I2335" i="1"/>
  <c r="L2339" i="1"/>
  <c r="M2339" i="1" s="1"/>
  <c r="I2342" i="1"/>
  <c r="I2341" i="1"/>
  <c r="I2340" i="1"/>
  <c r="I2343" i="1"/>
  <c r="I2345" i="1"/>
  <c r="L2345" i="1" s="1"/>
  <c r="M2345" i="1" s="1"/>
  <c r="I2344" i="1"/>
  <c r="I2346" i="1"/>
  <c r="L2346" i="1" s="1"/>
  <c r="M2346" i="1" s="1"/>
  <c r="I2350" i="1"/>
  <c r="L2350" i="1" s="1"/>
  <c r="M2350" i="1" s="1"/>
  <c r="I2347" i="1"/>
  <c r="L2347" i="1" s="1"/>
  <c r="M2347" i="1" s="1"/>
  <c r="I2348" i="1"/>
  <c r="L2348" i="1" s="1"/>
  <c r="M2348" i="1" s="1"/>
  <c r="I2349" i="1"/>
  <c r="I2351" i="1"/>
  <c r="L2351" i="1" s="1"/>
  <c r="M2351" i="1" s="1"/>
  <c r="I2353" i="1"/>
  <c r="L2353" i="1" s="1"/>
  <c r="M2353" i="1" s="1"/>
  <c r="I2352" i="1"/>
  <c r="I2354" i="1"/>
  <c r="I2356" i="1"/>
  <c r="L2356" i="1" s="1"/>
  <c r="M2356" i="1" s="1"/>
  <c r="I2358" i="1"/>
  <c r="I2357" i="1"/>
  <c r="L2357" i="1" s="1"/>
  <c r="M2357" i="1" s="1"/>
  <c r="I2355" i="1"/>
  <c r="L2355" i="1" s="1"/>
  <c r="M2355" i="1" s="1"/>
  <c r="I2361" i="1"/>
  <c r="L2361" i="1" s="1"/>
  <c r="M2361" i="1" s="1"/>
  <c r="I2362" i="1"/>
  <c r="I2359" i="1"/>
  <c r="I2360" i="1"/>
  <c r="I2364" i="1"/>
  <c r="L2364" i="1" s="1"/>
  <c r="M2364" i="1" s="1"/>
  <c r="I2365" i="1"/>
  <c r="L2365" i="1" s="1"/>
  <c r="M2365" i="1" s="1"/>
  <c r="I2366" i="1"/>
  <c r="L2366" i="1" s="1"/>
  <c r="M2366" i="1" s="1"/>
  <c r="I2367" i="1"/>
  <c r="I2368" i="1"/>
  <c r="L2368" i="1" s="1"/>
  <c r="M2368" i="1" s="1"/>
  <c r="I2369" i="1"/>
  <c r="I2370" i="1"/>
  <c r="L2370" i="1" s="1"/>
  <c r="M2370" i="1" s="1"/>
  <c r="I2371" i="1"/>
  <c r="L2371" i="1" s="1"/>
  <c r="M2371" i="1" s="1"/>
  <c r="I2372" i="1"/>
  <c r="L2372" i="1" s="1"/>
  <c r="M2372" i="1" s="1"/>
  <c r="I2373" i="1"/>
  <c r="L2373" i="1" s="1"/>
  <c r="M2373" i="1" s="1"/>
  <c r="I2374" i="1"/>
  <c r="L2374" i="1" s="1"/>
  <c r="M2374" i="1" s="1"/>
  <c r="I2375" i="1"/>
  <c r="L2375" i="1" s="1"/>
  <c r="M2375" i="1" s="1"/>
  <c r="I2376" i="1"/>
  <c r="L2376" i="1" s="1"/>
  <c r="M2376" i="1" s="1"/>
  <c r="I2363" i="1"/>
  <c r="I2377" i="1"/>
  <c r="I2380" i="1"/>
  <c r="L2380" i="1" s="1"/>
  <c r="M2380" i="1" s="1"/>
  <c r="L2379" i="1"/>
  <c r="M2379" i="1" s="1"/>
  <c r="I2378" i="1"/>
  <c r="J2409" i="1"/>
  <c r="J2412" i="1"/>
  <c r="I2382" i="1"/>
  <c r="I2381" i="1"/>
  <c r="I2383" i="1"/>
  <c r="L2383" i="1" s="1"/>
  <c r="M2383" i="1" s="1"/>
  <c r="I2384" i="1"/>
  <c r="I2385" i="1"/>
  <c r="L2385" i="1" s="1"/>
  <c r="M2385" i="1" s="1"/>
  <c r="I2386" i="1"/>
  <c r="I2388" i="1"/>
  <c r="L2388" i="1" s="1"/>
  <c r="M2388" i="1" s="1"/>
  <c r="I2387" i="1"/>
  <c r="I2389" i="1"/>
  <c r="L2389" i="1" s="1"/>
  <c r="M2389" i="1" s="1"/>
  <c r="I2390" i="1"/>
  <c r="L2390" i="1" s="1"/>
  <c r="M2390" i="1" s="1"/>
  <c r="I2391" i="1"/>
  <c r="I2393" i="1"/>
  <c r="L2393" i="1" s="1"/>
  <c r="M2393" i="1" s="1"/>
  <c r="I2392" i="1"/>
  <c r="I2394" i="1"/>
  <c r="I2396" i="1"/>
  <c r="L2396" i="1" s="1"/>
  <c r="M2396" i="1" s="1"/>
  <c r="I2395" i="1"/>
  <c r="I2398" i="1"/>
  <c r="L2398" i="1" s="1"/>
  <c r="M2398" i="1" s="1"/>
  <c r="I2397" i="1"/>
  <c r="I2399" i="1"/>
  <c r="L2399" i="1" s="1"/>
  <c r="M2399" i="1" s="1"/>
  <c r="I2400" i="1"/>
  <c r="I2402" i="1"/>
  <c r="L2402" i="1" s="1"/>
  <c r="M2402" i="1" s="1"/>
  <c r="I2401" i="1"/>
  <c r="L2401" i="1" s="1"/>
  <c r="M2401" i="1" s="1"/>
  <c r="I2403" i="1"/>
  <c r="L2403" i="1" s="1"/>
  <c r="M2403" i="1" s="1"/>
  <c r="I2405" i="1"/>
  <c r="I2404" i="1"/>
  <c r="L2404" i="1" s="1"/>
  <c r="M2404" i="1" s="1"/>
  <c r="I2407" i="1"/>
  <c r="L2407" i="1" s="1"/>
  <c r="M2407" i="1" s="1"/>
  <c r="I2408" i="1"/>
  <c r="I2406" i="1"/>
  <c r="L2406" i="1" s="1"/>
  <c r="M2406" i="1" s="1"/>
  <c r="I2410" i="1"/>
  <c r="L2410" i="1" s="1"/>
  <c r="M2410" i="1" s="1"/>
  <c r="I2409" i="1"/>
  <c r="I2411" i="1"/>
  <c r="L2411" i="1" s="1"/>
  <c r="M2411" i="1" s="1"/>
  <c r="I2412" i="1"/>
  <c r="L2084" i="1" l="1"/>
  <c r="M2084" i="1" s="1"/>
  <c r="L2190" i="1"/>
  <c r="M2190" i="1" s="1"/>
  <c r="L2113" i="1"/>
  <c r="M2113" i="1" s="1"/>
  <c r="L2207" i="1"/>
  <c r="M2207" i="1" s="1"/>
  <c r="L2186" i="1"/>
  <c r="M2186" i="1" s="1"/>
  <c r="L2077" i="1"/>
  <c r="M2077" i="1" s="1"/>
  <c r="L2212" i="1"/>
  <c r="M2212" i="1" s="1"/>
  <c r="L2194" i="1"/>
  <c r="M2194" i="1" s="1"/>
  <c r="L2092" i="1"/>
  <c r="M2092" i="1" s="1"/>
  <c r="L2073" i="1"/>
  <c r="M2073" i="1" s="1"/>
  <c r="L2076" i="1"/>
  <c r="M2076" i="1" s="1"/>
  <c r="L2089" i="1"/>
  <c r="M2089" i="1" s="1"/>
  <c r="L2117" i="1"/>
  <c r="M2117" i="1" s="1"/>
  <c r="L2082" i="1"/>
  <c r="M2082" i="1" s="1"/>
  <c r="L2087" i="1"/>
  <c r="M2087" i="1" s="1"/>
  <c r="L2088" i="1"/>
  <c r="M2088" i="1" s="1"/>
  <c r="L2116" i="1"/>
  <c r="M2116" i="1" s="1"/>
  <c r="L2111" i="1"/>
  <c r="M2111" i="1" s="1"/>
  <c r="L2109" i="1"/>
  <c r="M2109" i="1" s="1"/>
  <c r="L2105" i="1"/>
  <c r="M2105" i="1" s="1"/>
  <c r="L2103" i="1"/>
  <c r="M2103" i="1" s="1"/>
  <c r="L2110" i="1"/>
  <c r="M2110" i="1" s="1"/>
  <c r="L2108" i="1"/>
  <c r="M2108" i="1" s="1"/>
  <c r="L2137" i="1"/>
  <c r="M2137" i="1" s="1"/>
  <c r="L2138" i="1"/>
  <c r="M2138" i="1" s="1"/>
  <c r="L2115" i="1"/>
  <c r="M2115" i="1" s="1"/>
  <c r="L2118" i="1"/>
  <c r="M2118" i="1" s="1"/>
  <c r="L2119" i="1"/>
  <c r="M2119" i="1" s="1"/>
  <c r="L2120" i="1"/>
  <c r="M2120" i="1" s="1"/>
  <c r="L2121" i="1"/>
  <c r="M2121" i="1" s="1"/>
  <c r="L2122" i="1"/>
  <c r="M2122" i="1" s="1"/>
  <c r="L2123" i="1"/>
  <c r="M2123" i="1" s="1"/>
  <c r="L2147" i="1"/>
  <c r="M2147" i="1" s="1"/>
  <c r="L2124" i="1"/>
  <c r="M2124" i="1" s="1"/>
  <c r="L2130" i="1"/>
  <c r="M2130" i="1" s="1"/>
  <c r="L2133" i="1"/>
  <c r="M2133" i="1" s="1"/>
  <c r="L2135" i="1"/>
  <c r="M2135" i="1" s="1"/>
  <c r="L2134" i="1"/>
  <c r="M2134" i="1" s="1"/>
  <c r="L2136" i="1"/>
  <c r="M2136" i="1" s="1"/>
  <c r="L2142" i="1"/>
  <c r="M2142" i="1" s="1"/>
  <c r="L2140" i="1"/>
  <c r="M2140" i="1" s="1"/>
  <c r="L2139" i="1"/>
  <c r="M2139" i="1" s="1"/>
  <c r="L2143" i="1"/>
  <c r="M2143" i="1" s="1"/>
  <c r="L2141" i="1"/>
  <c r="M2141" i="1" s="1"/>
  <c r="L2149" i="1"/>
  <c r="M2149" i="1" s="1"/>
  <c r="L2151" i="1"/>
  <c r="M2151" i="1" s="1"/>
  <c r="L2152" i="1"/>
  <c r="M2152" i="1" s="1"/>
  <c r="L2153" i="1"/>
  <c r="M2153" i="1" s="1"/>
  <c r="L2154" i="1"/>
  <c r="M2154" i="1" s="1"/>
  <c r="L2155" i="1"/>
  <c r="M2155" i="1" s="1"/>
  <c r="L2156" i="1"/>
  <c r="M2156" i="1" s="1"/>
  <c r="L2157" i="1"/>
  <c r="M2157" i="1" s="1"/>
  <c r="L2173" i="1"/>
  <c r="M2173" i="1" s="1"/>
  <c r="L2172" i="1"/>
  <c r="M2172" i="1" s="1"/>
  <c r="L2165" i="1"/>
  <c r="M2165" i="1" s="1"/>
  <c r="L2162" i="1"/>
  <c r="M2162" i="1" s="1"/>
  <c r="L2161" i="1"/>
  <c r="M2161" i="1" s="1"/>
  <c r="L2158" i="1"/>
  <c r="M2158" i="1" s="1"/>
  <c r="L2159" i="1"/>
  <c r="M2159" i="1" s="1"/>
  <c r="L2160" i="1"/>
  <c r="M2160" i="1" s="1"/>
  <c r="L2169" i="1"/>
  <c r="M2169" i="1" s="1"/>
  <c r="L2168" i="1"/>
  <c r="M2168" i="1" s="1"/>
  <c r="L2167" i="1"/>
  <c r="M2167" i="1" s="1"/>
  <c r="L2163" i="1"/>
  <c r="M2163" i="1" s="1"/>
  <c r="L2166" i="1"/>
  <c r="M2166" i="1" s="1"/>
  <c r="L2171" i="1"/>
  <c r="M2171" i="1" s="1"/>
  <c r="L2177" i="1"/>
  <c r="M2177" i="1" s="1"/>
  <c r="L2176" i="1"/>
  <c r="M2176" i="1" s="1"/>
  <c r="L2164" i="1"/>
  <c r="M2164" i="1" s="1"/>
  <c r="L2170" i="1"/>
  <c r="M2170" i="1" s="1"/>
  <c r="L2201" i="1"/>
  <c r="M2201" i="1" s="1"/>
  <c r="L2182" i="1"/>
  <c r="M2182" i="1" s="1"/>
  <c r="L2174" i="1"/>
  <c r="M2174" i="1" s="1"/>
  <c r="L2175" i="1"/>
  <c r="M2175" i="1" s="1"/>
  <c r="L2178" i="1"/>
  <c r="M2178" i="1" s="1"/>
  <c r="L2179" i="1"/>
  <c r="M2179" i="1" s="1"/>
  <c r="L2180" i="1"/>
  <c r="M2180" i="1" s="1"/>
  <c r="L2181" i="1"/>
  <c r="M2181" i="1" s="1"/>
  <c r="L2199" i="1"/>
  <c r="M2199" i="1" s="1"/>
  <c r="L2204" i="1"/>
  <c r="M2204" i="1" s="1"/>
  <c r="L2221" i="1"/>
  <c r="M2221" i="1" s="1"/>
  <c r="L2217" i="1"/>
  <c r="M2217" i="1" s="1"/>
  <c r="L2216" i="1"/>
  <c r="M2216" i="1" s="1"/>
  <c r="L2215" i="1"/>
  <c r="M2215" i="1" s="1"/>
  <c r="L2214" i="1"/>
  <c r="M2214" i="1" s="1"/>
  <c r="L2213" i="1"/>
  <c r="M2213" i="1" s="1"/>
  <c r="L2208" i="1"/>
  <c r="M2208" i="1" s="1"/>
  <c r="L2227" i="1"/>
  <c r="M2227" i="1" s="1"/>
  <c r="L2226" i="1"/>
  <c r="M2226" i="1" s="1"/>
  <c r="L2222" i="1"/>
  <c r="M2222" i="1" s="1"/>
  <c r="L2218" i="1"/>
  <c r="M2218" i="1" s="1"/>
  <c r="L2209" i="1"/>
  <c r="M2209" i="1" s="1"/>
  <c r="L2210" i="1"/>
  <c r="M2210" i="1" s="1"/>
  <c r="L2211" i="1"/>
  <c r="M2211" i="1" s="1"/>
  <c r="L2219" i="1"/>
  <c r="M2219" i="1" s="1"/>
  <c r="L2220" i="1"/>
  <c r="M2220" i="1" s="1"/>
  <c r="L2223" i="1"/>
  <c r="M2223" i="1" s="1"/>
  <c r="L2224" i="1"/>
  <c r="M2224" i="1" s="1"/>
  <c r="L2225" i="1"/>
  <c r="M2225" i="1" s="1"/>
  <c r="L2228" i="1"/>
  <c r="M2228" i="1" s="1"/>
  <c r="L2234" i="1"/>
  <c r="M2234" i="1" s="1"/>
  <c r="L2231" i="1"/>
  <c r="M2231" i="1" s="1"/>
  <c r="L2229" i="1"/>
  <c r="M2229" i="1" s="1"/>
  <c r="L2230" i="1"/>
  <c r="M2230" i="1" s="1"/>
  <c r="L2232" i="1"/>
  <c r="M2232" i="1" s="1"/>
  <c r="L2233" i="1"/>
  <c r="M2233" i="1" s="1"/>
  <c r="L2236" i="1"/>
  <c r="M2236" i="1" s="1"/>
  <c r="L2237" i="1"/>
  <c r="M2237" i="1" s="1"/>
  <c r="L2238" i="1"/>
  <c r="M2238" i="1" s="1"/>
  <c r="L2239" i="1"/>
  <c r="M2239" i="1" s="1"/>
  <c r="L2240" i="1"/>
  <c r="M2240" i="1" s="1"/>
  <c r="L2243" i="1"/>
  <c r="M2243" i="1" s="1"/>
  <c r="L2242" i="1"/>
  <c r="M2242" i="1" s="1"/>
  <c r="L2241" i="1"/>
  <c r="M2241" i="1" s="1"/>
  <c r="L2244" i="1"/>
  <c r="M2244" i="1" s="1"/>
  <c r="L2245" i="1"/>
  <c r="M2245" i="1" s="1"/>
  <c r="L2246" i="1"/>
  <c r="M2246" i="1" s="1"/>
  <c r="L2247" i="1"/>
  <c r="M2247" i="1" s="1"/>
  <c r="L2248" i="1"/>
  <c r="M2248" i="1" s="1"/>
  <c r="L2249" i="1"/>
  <c r="M2249" i="1" s="1"/>
  <c r="L2250" i="1"/>
  <c r="M2250" i="1" s="1"/>
  <c r="L2251" i="1"/>
  <c r="M2251" i="1" s="1"/>
  <c r="L2252" i="1"/>
  <c r="M2252" i="1" s="1"/>
  <c r="L2254" i="1"/>
  <c r="M2254" i="1" s="1"/>
  <c r="L2267" i="1"/>
  <c r="M2267" i="1" s="1"/>
  <c r="L2266" i="1"/>
  <c r="M2266" i="1" s="1"/>
  <c r="L2265" i="1"/>
  <c r="M2265" i="1" s="1"/>
  <c r="L2264" i="1"/>
  <c r="M2264" i="1" s="1"/>
  <c r="L2263" i="1"/>
  <c r="M2263" i="1" s="1"/>
  <c r="L2262" i="1"/>
  <c r="M2262" i="1" s="1"/>
  <c r="L2261" i="1"/>
  <c r="M2261" i="1" s="1"/>
  <c r="L2260" i="1"/>
  <c r="M2260" i="1" s="1"/>
  <c r="L2259" i="1"/>
  <c r="M2259" i="1" s="1"/>
  <c r="L2258" i="1"/>
  <c r="M2258" i="1" s="1"/>
  <c r="L2255" i="1"/>
  <c r="M2255" i="1" s="1"/>
  <c r="L2256" i="1"/>
  <c r="M2256" i="1" s="1"/>
  <c r="L2257" i="1"/>
  <c r="M2257" i="1" s="1"/>
  <c r="L2269" i="1"/>
  <c r="M2269" i="1" s="1"/>
  <c r="L2268" i="1"/>
  <c r="M2268" i="1" s="1"/>
  <c r="L2271" i="1"/>
  <c r="M2271" i="1" s="1"/>
  <c r="L2270" i="1"/>
  <c r="M2270" i="1" s="1"/>
  <c r="L2272" i="1"/>
  <c r="M2272" i="1" s="1"/>
  <c r="L2273" i="1"/>
  <c r="M2273" i="1" s="1"/>
  <c r="L2275" i="1"/>
  <c r="M2275" i="1" s="1"/>
  <c r="L2274" i="1"/>
  <c r="M2274" i="1" s="1"/>
  <c r="L2277" i="1"/>
  <c r="M2277" i="1" s="1"/>
  <c r="L2279" i="1"/>
  <c r="M2279" i="1" s="1"/>
  <c r="L2362" i="1"/>
  <c r="M2362" i="1" s="1"/>
  <c r="L2331" i="1"/>
  <c r="M2331" i="1" s="1"/>
  <c r="L2278" i="1"/>
  <c r="M2278" i="1" s="1"/>
  <c r="L2287" i="1"/>
  <c r="M2287" i="1" s="1"/>
  <c r="L2296" i="1"/>
  <c r="M2296" i="1" s="1"/>
  <c r="L2288" i="1"/>
  <c r="M2288" i="1" s="1"/>
  <c r="L2298" i="1"/>
  <c r="M2298" i="1" s="1"/>
  <c r="L2280" i="1"/>
  <c r="M2280" i="1" s="1"/>
  <c r="L2281" i="1"/>
  <c r="M2281" i="1" s="1"/>
  <c r="L2282" i="1"/>
  <c r="M2282" i="1" s="1"/>
  <c r="L2284" i="1"/>
  <c r="M2284" i="1" s="1"/>
  <c r="L2283" i="1"/>
  <c r="M2283" i="1" s="1"/>
  <c r="L2285" i="1"/>
  <c r="M2285" i="1" s="1"/>
  <c r="L2286" i="1"/>
  <c r="M2286" i="1" s="1"/>
  <c r="L2330" i="1"/>
  <c r="M2330" i="1" s="1"/>
  <c r="L2306" i="1"/>
  <c r="M2306" i="1" s="1"/>
  <c r="L2294" i="1"/>
  <c r="M2294" i="1" s="1"/>
  <c r="L2408" i="1"/>
  <c r="M2408" i="1" s="1"/>
  <c r="L2289" i="1"/>
  <c r="M2289" i="1" s="1"/>
  <c r="L2290" i="1"/>
  <c r="M2290" i="1" s="1"/>
  <c r="L2292" i="1"/>
  <c r="M2292" i="1" s="1"/>
  <c r="L2291" i="1"/>
  <c r="M2291" i="1" s="1"/>
  <c r="L2293" i="1"/>
  <c r="M2293" i="1" s="1"/>
  <c r="L2295" i="1"/>
  <c r="M2295" i="1" s="1"/>
  <c r="L2341" i="1"/>
  <c r="M2341" i="1" s="1"/>
  <c r="L2299" i="1"/>
  <c r="M2299" i="1" s="1"/>
  <c r="L2301" i="1"/>
  <c r="M2301" i="1" s="1"/>
  <c r="L2297" i="1"/>
  <c r="M2297" i="1" s="1"/>
  <c r="L2300" i="1"/>
  <c r="M2300" i="1" s="1"/>
  <c r="L2302" i="1"/>
  <c r="M2302" i="1" s="1"/>
  <c r="L2303" i="1"/>
  <c r="M2303" i="1" s="1"/>
  <c r="L2304" i="1"/>
  <c r="M2304" i="1" s="1"/>
  <c r="L2307" i="1"/>
  <c r="M2307" i="1" s="1"/>
  <c r="L2305" i="1"/>
  <c r="M2305" i="1" s="1"/>
  <c r="L2309" i="1"/>
  <c r="M2309" i="1" s="1"/>
  <c r="L2308" i="1"/>
  <c r="M2308" i="1" s="1"/>
  <c r="L2313" i="1"/>
  <c r="M2313" i="1" s="1"/>
  <c r="L2359" i="1"/>
  <c r="M2359" i="1" s="1"/>
  <c r="L2324" i="1"/>
  <c r="M2324" i="1" s="1"/>
  <c r="L2394" i="1"/>
  <c r="M2394" i="1" s="1"/>
  <c r="L2386" i="1"/>
  <c r="M2386" i="1" s="1"/>
  <c r="L2377" i="1"/>
  <c r="M2377" i="1" s="1"/>
  <c r="L2392" i="1"/>
  <c r="M2392" i="1" s="1"/>
  <c r="L2311" i="1"/>
  <c r="M2311" i="1" s="1"/>
  <c r="L2310" i="1"/>
  <c r="M2310" i="1" s="1"/>
  <c r="L2312" i="1"/>
  <c r="M2312" i="1" s="1"/>
  <c r="L2314" i="1"/>
  <c r="M2314" i="1" s="1"/>
  <c r="L2316" i="1"/>
  <c r="M2316" i="1" s="1"/>
  <c r="L2369" i="1"/>
  <c r="M2369" i="1" s="1"/>
  <c r="L2352" i="1"/>
  <c r="M2352" i="1" s="1"/>
  <c r="L2319" i="1"/>
  <c r="M2319" i="1" s="1"/>
  <c r="L2412" i="1"/>
  <c r="M2412" i="1" s="1"/>
  <c r="L2397" i="1"/>
  <c r="M2397" i="1" s="1"/>
  <c r="L2384" i="1"/>
  <c r="M2384" i="1" s="1"/>
  <c r="L2329" i="1"/>
  <c r="M2329" i="1" s="1"/>
  <c r="L2320" i="1"/>
  <c r="M2320" i="1" s="1"/>
  <c r="L2317" i="1"/>
  <c r="M2317" i="1" s="1"/>
  <c r="L2315" i="1"/>
  <c r="M2315" i="1" s="1"/>
  <c r="L2391" i="1"/>
  <c r="M2391" i="1" s="1"/>
  <c r="L2367" i="1"/>
  <c r="M2367" i="1" s="1"/>
  <c r="L2318" i="1"/>
  <c r="M2318" i="1" s="1"/>
  <c r="L2349" i="1"/>
  <c r="M2349" i="1" s="1"/>
  <c r="L2335" i="1"/>
  <c r="M2335" i="1" s="1"/>
  <c r="L2340" i="1"/>
  <c r="M2340" i="1" s="1"/>
  <c r="L2342" i="1"/>
  <c r="M2342" i="1" s="1"/>
  <c r="L2343" i="1"/>
  <c r="M2343" i="1" s="1"/>
  <c r="L2344" i="1"/>
  <c r="M2344" i="1" s="1"/>
  <c r="L2354" i="1"/>
  <c r="M2354" i="1" s="1"/>
  <c r="L2358" i="1"/>
  <c r="M2358" i="1" s="1"/>
  <c r="L2360" i="1"/>
  <c r="M2360" i="1" s="1"/>
  <c r="L2363" i="1"/>
  <c r="M2363" i="1" s="1"/>
  <c r="L2378" i="1"/>
  <c r="M2378" i="1" s="1"/>
  <c r="L2382" i="1"/>
  <c r="M2382" i="1" s="1"/>
  <c r="L2381" i="1"/>
  <c r="M2381" i="1" s="1"/>
  <c r="L2387" i="1"/>
  <c r="M2387" i="1" s="1"/>
  <c r="L2395" i="1"/>
  <c r="M2395" i="1" s="1"/>
  <c r="L2400" i="1"/>
  <c r="M2400" i="1" s="1"/>
  <c r="L2405" i="1"/>
  <c r="M2405" i="1" s="1"/>
  <c r="L2409" i="1"/>
  <c r="M2409" i="1" s="1"/>
  <c r="I2413" i="1"/>
  <c r="L2413" i="1" s="1"/>
  <c r="M2413" i="1" s="1"/>
  <c r="I2414" i="1"/>
  <c r="J2416" i="1"/>
  <c r="I2416" i="1"/>
  <c r="I2415" i="1"/>
  <c r="L2415" i="1" s="1"/>
  <c r="M2415" i="1" s="1"/>
  <c r="J2418" i="1"/>
  <c r="J2420" i="1"/>
  <c r="I2421" i="1"/>
  <c r="L2421" i="1" s="1"/>
  <c r="M2421" i="1" s="1"/>
  <c r="I2420" i="1"/>
  <c r="I2419" i="1"/>
  <c r="L2419" i="1" s="1"/>
  <c r="M2419" i="1" s="1"/>
  <c r="I2418" i="1"/>
  <c r="I2417" i="1"/>
  <c r="L2417" i="1" s="1"/>
  <c r="M2417" i="1" s="1"/>
  <c r="J2423" i="1"/>
  <c r="I2423" i="1"/>
  <c r="I2422" i="1"/>
  <c r="L2422" i="1" s="1"/>
  <c r="M2422" i="1" s="1"/>
  <c r="J2434" i="1"/>
  <c r="I2434" i="1"/>
  <c r="J2433" i="1"/>
  <c r="I2433" i="1"/>
  <c r="I2432" i="1"/>
  <c r="I2431" i="1"/>
  <c r="L2431" i="1" s="1"/>
  <c r="M2431" i="1" s="1"/>
  <c r="I2430" i="1"/>
  <c r="L2430" i="1" s="1"/>
  <c r="M2430" i="1" s="1"/>
  <c r="I2429" i="1"/>
  <c r="L2429" i="1" s="1"/>
  <c r="M2429" i="1" s="1"/>
  <c r="I2428" i="1"/>
  <c r="I2427" i="1"/>
  <c r="I2426" i="1"/>
  <c r="L2426" i="1" s="1"/>
  <c r="M2426" i="1" s="1"/>
  <c r="I2425" i="1"/>
  <c r="I2424" i="1"/>
  <c r="I2439" i="1"/>
  <c r="K2438" i="1"/>
  <c r="I2438" i="1"/>
  <c r="I2437" i="1"/>
  <c r="J2436" i="1"/>
  <c r="I2436" i="1"/>
  <c r="K2435" i="1"/>
  <c r="I2435" i="1"/>
  <c r="K2440" i="1"/>
  <c r="J2440" i="1"/>
  <c r="I2440" i="1"/>
  <c r="J2441" i="1"/>
  <c r="J2442" i="1"/>
  <c r="J2443" i="1"/>
  <c r="I2443" i="1"/>
  <c r="I2442" i="1"/>
  <c r="I2441" i="1"/>
  <c r="K2445" i="1"/>
  <c r="I2445" i="1"/>
  <c r="K2444" i="1"/>
  <c r="I2444" i="1"/>
  <c r="J2452" i="1"/>
  <c r="I2452" i="1"/>
  <c r="K2451" i="1"/>
  <c r="I2451" i="1"/>
  <c r="J2450" i="1"/>
  <c r="I2450" i="1"/>
  <c r="K2449" i="1"/>
  <c r="I2449" i="1"/>
  <c r="K2448" i="1"/>
  <c r="I2448" i="1"/>
  <c r="I2447" i="1"/>
  <c r="K2446" i="1"/>
  <c r="I2446" i="1"/>
  <c r="K2453" i="1"/>
  <c r="J2453" i="1"/>
  <c r="I2453" i="1"/>
  <c r="J2458" i="1"/>
  <c r="I2458" i="1"/>
  <c r="I2457" i="1"/>
  <c r="I2456" i="1"/>
  <c r="J2455" i="1"/>
  <c r="I2455" i="1"/>
  <c r="I2454" i="1"/>
  <c r="K2461" i="1"/>
  <c r="J2460" i="1"/>
  <c r="J2461" i="1"/>
  <c r="I2461" i="1"/>
  <c r="I2460" i="1"/>
  <c r="I2459" i="1"/>
  <c r="L2459" i="1" s="1"/>
  <c r="M2459" i="1" s="1"/>
  <c r="I2463" i="1"/>
  <c r="L2463" i="1" s="1"/>
  <c r="M2463" i="1" s="1"/>
  <c r="K2465" i="1"/>
  <c r="K2466" i="1"/>
  <c r="J2466" i="1"/>
  <c r="I2466" i="1"/>
  <c r="J2465" i="1"/>
  <c r="I2465" i="1"/>
  <c r="J2464" i="1"/>
  <c r="I2464" i="1"/>
  <c r="I2462" i="1"/>
  <c r="L2462" i="1" s="1"/>
  <c r="M2462" i="1" s="1"/>
  <c r="I2468" i="1"/>
  <c r="L2468" i="1" s="1"/>
  <c r="M2468" i="1" s="1"/>
  <c r="I2467" i="1"/>
  <c r="I2469" i="1"/>
  <c r="L2469" i="1" s="1"/>
  <c r="M2469" i="1" s="1"/>
  <c r="I2470" i="1"/>
  <c r="L2470" i="1" s="1"/>
  <c r="M2470" i="1" s="1"/>
  <c r="J2473" i="1"/>
  <c r="I2473" i="1"/>
  <c r="I2472" i="1"/>
  <c r="L2472" i="1" s="1"/>
  <c r="M2472" i="1" s="1"/>
  <c r="I2471" i="1"/>
  <c r="L2433" i="1" l="1"/>
  <c r="M2433" i="1" s="1"/>
  <c r="L2414" i="1"/>
  <c r="M2414" i="1" s="1"/>
  <c r="L2416" i="1"/>
  <c r="M2416" i="1" s="1"/>
  <c r="L2418" i="1"/>
  <c r="M2418" i="1" s="1"/>
  <c r="L2420" i="1"/>
  <c r="M2420" i="1" s="1"/>
  <c r="L2460" i="1"/>
  <c r="M2460" i="1" s="1"/>
  <c r="L2445" i="1"/>
  <c r="M2445" i="1" s="1"/>
  <c r="L2423" i="1"/>
  <c r="M2423" i="1" s="1"/>
  <c r="L2424" i="1"/>
  <c r="M2424" i="1" s="1"/>
  <c r="L2425" i="1"/>
  <c r="M2425" i="1" s="1"/>
  <c r="L2427" i="1"/>
  <c r="M2427" i="1" s="1"/>
  <c r="L2428" i="1"/>
  <c r="M2428" i="1" s="1"/>
  <c r="L2432" i="1"/>
  <c r="M2432" i="1" s="1"/>
  <c r="L2434" i="1"/>
  <c r="M2434" i="1" s="1"/>
  <c r="L2435" i="1"/>
  <c r="M2435" i="1" s="1"/>
  <c r="L2436" i="1"/>
  <c r="M2436" i="1" s="1"/>
  <c r="L2437" i="1"/>
  <c r="M2437" i="1" s="1"/>
  <c r="L2438" i="1"/>
  <c r="M2438" i="1" s="1"/>
  <c r="L2439" i="1"/>
  <c r="M2439" i="1" s="1"/>
  <c r="L2440" i="1"/>
  <c r="M2440" i="1" s="1"/>
  <c r="L2444" i="1"/>
  <c r="M2444" i="1" s="1"/>
  <c r="L2441" i="1"/>
  <c r="M2441" i="1" s="1"/>
  <c r="L2442" i="1"/>
  <c r="M2442" i="1" s="1"/>
  <c r="L2443" i="1"/>
  <c r="M2443" i="1" s="1"/>
  <c r="L2446" i="1"/>
  <c r="M2446" i="1" s="1"/>
  <c r="L2447" i="1"/>
  <c r="M2447" i="1" s="1"/>
  <c r="L2448" i="1"/>
  <c r="M2448" i="1" s="1"/>
  <c r="L2449" i="1"/>
  <c r="M2449" i="1" s="1"/>
  <c r="L2450" i="1"/>
  <c r="M2450" i="1" s="1"/>
  <c r="L2451" i="1"/>
  <c r="M2451" i="1" s="1"/>
  <c r="L2452" i="1"/>
  <c r="M2452" i="1" s="1"/>
  <c r="L2453" i="1"/>
  <c r="M2453" i="1" s="1"/>
  <c r="L2454" i="1"/>
  <c r="M2454" i="1" s="1"/>
  <c r="L2455" i="1"/>
  <c r="M2455" i="1" s="1"/>
  <c r="L2456" i="1"/>
  <c r="M2456" i="1" s="1"/>
  <c r="L2457" i="1"/>
  <c r="M2457" i="1" s="1"/>
  <c r="L2458" i="1"/>
  <c r="M2458" i="1" s="1"/>
  <c r="L2465" i="1"/>
  <c r="M2465" i="1" s="1"/>
  <c r="L2461" i="1"/>
  <c r="M2461" i="1" s="1"/>
  <c r="L2466" i="1"/>
  <c r="M2466" i="1" s="1"/>
  <c r="L2464" i="1"/>
  <c r="M2464" i="1" s="1"/>
  <c r="L2467" i="1"/>
  <c r="M2467" i="1" s="1"/>
  <c r="L2471" i="1"/>
  <c r="M2471" i="1" s="1"/>
  <c r="L2473" i="1"/>
  <c r="M2473" i="1" s="1"/>
  <c r="J2474" i="1"/>
  <c r="J2475" i="1"/>
  <c r="J2476" i="1"/>
  <c r="K2479" i="1"/>
  <c r="J2479" i="1"/>
  <c r="I2480" i="1"/>
  <c r="L2480" i="1" s="1"/>
  <c r="M2480" i="1" s="1"/>
  <c r="I2479" i="1"/>
  <c r="I2478" i="1"/>
  <c r="L2478" i="1" s="1"/>
  <c r="M2478" i="1" s="1"/>
  <c r="I2477" i="1"/>
  <c r="L2477" i="1" s="1"/>
  <c r="M2477" i="1" s="1"/>
  <c r="I2476" i="1"/>
  <c r="I2475" i="1"/>
  <c r="I2474" i="1"/>
  <c r="K2485" i="1"/>
  <c r="K2484" i="1"/>
  <c r="J2483" i="1"/>
  <c r="J2482" i="1"/>
  <c r="J2484" i="1"/>
  <c r="J2485" i="1"/>
  <c r="J2489" i="1"/>
  <c r="J2490" i="1"/>
  <c r="K2491" i="1"/>
  <c r="J2491" i="1"/>
  <c r="I2491" i="1"/>
  <c r="I2490" i="1"/>
  <c r="I2489" i="1"/>
  <c r="I2488" i="1"/>
  <c r="L2488" i="1" s="1"/>
  <c r="M2488" i="1" s="1"/>
  <c r="I2487" i="1"/>
  <c r="L2487" i="1" s="1"/>
  <c r="M2487" i="1" s="1"/>
  <c r="I2486" i="1"/>
  <c r="L2486" i="1" s="1"/>
  <c r="M2486" i="1" s="1"/>
  <c r="I2485" i="1"/>
  <c r="I2484" i="1"/>
  <c r="I2483" i="1"/>
  <c r="I2482" i="1"/>
  <c r="I2481" i="1"/>
  <c r="L2481" i="1" s="1"/>
  <c r="M2481" i="1" s="1"/>
  <c r="J2495" i="1"/>
  <c r="J2496" i="1"/>
  <c r="J2499" i="1"/>
  <c r="J2501" i="1"/>
  <c r="I2502" i="1"/>
  <c r="L2502" i="1" s="1"/>
  <c r="M2502" i="1" s="1"/>
  <c r="I2501" i="1"/>
  <c r="I2500" i="1"/>
  <c r="L2500" i="1" s="1"/>
  <c r="M2500" i="1" s="1"/>
  <c r="I2499" i="1"/>
  <c r="I2498" i="1"/>
  <c r="L2498" i="1" s="1"/>
  <c r="M2498" i="1" s="1"/>
  <c r="I2497" i="1"/>
  <c r="L2497" i="1" s="1"/>
  <c r="M2497" i="1" s="1"/>
  <c r="I2496" i="1"/>
  <c r="I2495" i="1"/>
  <c r="I2494" i="1"/>
  <c r="L2494" i="1" s="1"/>
  <c r="M2494" i="1" s="1"/>
  <c r="I2493" i="1"/>
  <c r="L2493" i="1" s="1"/>
  <c r="M2493" i="1" s="1"/>
  <c r="I2492" i="1"/>
  <c r="L2492" i="1" s="1"/>
  <c r="M2492" i="1" s="1"/>
  <c r="J2504" i="1"/>
  <c r="J2507" i="1"/>
  <c r="I2507" i="1"/>
  <c r="J2506" i="1"/>
  <c r="I2506" i="1"/>
  <c r="I2505" i="1"/>
  <c r="I2504" i="1"/>
  <c r="I2503" i="1"/>
  <c r="J2508" i="1"/>
  <c r="K2509" i="1"/>
  <c r="I2509" i="1"/>
  <c r="I2508" i="1"/>
  <c r="J2514" i="1"/>
  <c r="I2514" i="1"/>
  <c r="I2513" i="1"/>
  <c r="K2512" i="1"/>
  <c r="I2512" i="1"/>
  <c r="I2511" i="1"/>
  <c r="K2510" i="1"/>
  <c r="I2510" i="1"/>
  <c r="J2516" i="1"/>
  <c r="K2519" i="1"/>
  <c r="I2519" i="1"/>
  <c r="I2518" i="1"/>
  <c r="K2517" i="1"/>
  <c r="I2517" i="1"/>
  <c r="I2516" i="1"/>
  <c r="K2515" i="1"/>
  <c r="I2515" i="1"/>
  <c r="K2522" i="1"/>
  <c r="I2522" i="1"/>
  <c r="K2521" i="1"/>
  <c r="I2521" i="1"/>
  <c r="K2520" i="1"/>
  <c r="I2520" i="1"/>
  <c r="I2523" i="1"/>
  <c r="J2525" i="1"/>
  <c r="I2525" i="1"/>
  <c r="K2524" i="1"/>
  <c r="I2524" i="1"/>
  <c r="K2523" i="1"/>
  <c r="J2526" i="1"/>
  <c r="I2526" i="1"/>
  <c r="I2527" i="1"/>
  <c r="J2528" i="1"/>
  <c r="I2528" i="1"/>
  <c r="J2529" i="1"/>
  <c r="I2529" i="1"/>
  <c r="K2530" i="1"/>
  <c r="J2530" i="1"/>
  <c r="I2530" i="1"/>
  <c r="I2531" i="1"/>
  <c r="L2531" i="1" s="1"/>
  <c r="M2531" i="1" s="1"/>
  <c r="I2532" i="1"/>
  <c r="L2532" i="1" s="1"/>
  <c r="M2532" i="1" s="1"/>
  <c r="I2533" i="1"/>
  <c r="L2533" i="1" s="1"/>
  <c r="M2533" i="1" s="1"/>
  <c r="I2534" i="1"/>
  <c r="L2534" i="1" s="1"/>
  <c r="M2534" i="1" s="1"/>
  <c r="I2535" i="1"/>
  <c r="L2535" i="1" s="1"/>
  <c r="M2535" i="1" s="1"/>
  <c r="I2536" i="1"/>
  <c r="J2537" i="1"/>
  <c r="I2537" i="1"/>
  <c r="K2538" i="1"/>
  <c r="J2538" i="1"/>
  <c r="L2474" i="1" l="1"/>
  <c r="M2474" i="1" s="1"/>
  <c r="L2508" i="1"/>
  <c r="M2508" i="1" s="1"/>
  <c r="L2506" i="1"/>
  <c r="M2506" i="1" s="1"/>
  <c r="L2491" i="1"/>
  <c r="M2491" i="1" s="1"/>
  <c r="L2521" i="1"/>
  <c r="M2521" i="1" s="1"/>
  <c r="L2483" i="1"/>
  <c r="M2483" i="1" s="1"/>
  <c r="L2528" i="1"/>
  <c r="M2528" i="1" s="1"/>
  <c r="L2501" i="1"/>
  <c r="M2501" i="1" s="1"/>
  <c r="L2482" i="1"/>
  <c r="M2482" i="1" s="1"/>
  <c r="L2530" i="1"/>
  <c r="M2530" i="1" s="1"/>
  <c r="L2489" i="1"/>
  <c r="M2489" i="1" s="1"/>
  <c r="L2475" i="1"/>
  <c r="M2475" i="1" s="1"/>
  <c r="L2476" i="1"/>
  <c r="M2476" i="1" s="1"/>
  <c r="L2479" i="1"/>
  <c r="M2479" i="1" s="1"/>
  <c r="L2485" i="1"/>
  <c r="M2485" i="1" s="1"/>
  <c r="L2484" i="1"/>
  <c r="M2484" i="1" s="1"/>
  <c r="L2490" i="1"/>
  <c r="M2490" i="1" s="1"/>
  <c r="L2495" i="1"/>
  <c r="M2495" i="1" s="1"/>
  <c r="L2496" i="1"/>
  <c r="M2496" i="1" s="1"/>
  <c r="L2499" i="1"/>
  <c r="M2499" i="1" s="1"/>
  <c r="L2504" i="1"/>
  <c r="M2504" i="1" s="1"/>
  <c r="L2507" i="1"/>
  <c r="M2507" i="1" s="1"/>
  <c r="L2503" i="1"/>
  <c r="M2503" i="1" s="1"/>
  <c r="L2505" i="1"/>
  <c r="M2505" i="1" s="1"/>
  <c r="L2515" i="1"/>
  <c r="M2515" i="1" s="1"/>
  <c r="L2509" i="1"/>
  <c r="M2509" i="1" s="1"/>
  <c r="L2511" i="1"/>
  <c r="M2511" i="1" s="1"/>
  <c r="L2513" i="1"/>
  <c r="M2513" i="1" s="1"/>
  <c r="L2514" i="1"/>
  <c r="M2514" i="1" s="1"/>
  <c r="L2519" i="1"/>
  <c r="M2519" i="1" s="1"/>
  <c r="L2510" i="1"/>
  <c r="M2510" i="1" s="1"/>
  <c r="L2512" i="1"/>
  <c r="M2512" i="1" s="1"/>
  <c r="L2516" i="1"/>
  <c r="M2516" i="1" s="1"/>
  <c r="L2517" i="1"/>
  <c r="M2517" i="1" s="1"/>
  <c r="L2518" i="1"/>
  <c r="M2518" i="1" s="1"/>
  <c r="L2520" i="1"/>
  <c r="M2520" i="1" s="1"/>
  <c r="L2522" i="1"/>
  <c r="M2522" i="1" s="1"/>
  <c r="L2523" i="1"/>
  <c r="M2523" i="1" s="1"/>
  <c r="L2524" i="1"/>
  <c r="M2524" i="1" s="1"/>
  <c r="L2525" i="1"/>
  <c r="M2525" i="1" s="1"/>
  <c r="L2526" i="1"/>
  <c r="M2526" i="1" s="1"/>
  <c r="L2527" i="1"/>
  <c r="M2527" i="1" s="1"/>
  <c r="L2529" i="1"/>
  <c r="M2529" i="1" s="1"/>
  <c r="L2536" i="1"/>
  <c r="M2536" i="1" s="1"/>
  <c r="L2537" i="1"/>
  <c r="M2537" i="1" s="1"/>
  <c r="I2538" i="1"/>
  <c r="L2538" i="1" s="1"/>
  <c r="M2538" i="1" s="1"/>
  <c r="I2539" i="1"/>
  <c r="L2539" i="1" s="1"/>
  <c r="M2539" i="1" s="1"/>
  <c r="I2540" i="1"/>
  <c r="L2540" i="1" s="1"/>
  <c r="M2540" i="1" s="1"/>
  <c r="I2541" i="1"/>
  <c r="L2541" i="1" s="1"/>
  <c r="M2541" i="1" s="1"/>
  <c r="I2542" i="1"/>
  <c r="I2543" i="1"/>
  <c r="L2543" i="1" s="1"/>
  <c r="M2543" i="1" s="1"/>
  <c r="J2544" i="1"/>
  <c r="I2544" i="1"/>
  <c r="I2545" i="1"/>
  <c r="L2545" i="1" s="1"/>
  <c r="M2545" i="1" s="1"/>
  <c r="I2546" i="1"/>
  <c r="L2546" i="1" s="1"/>
  <c r="M2546" i="1" s="1"/>
  <c r="I2547" i="1"/>
  <c r="L2547" i="1" s="1"/>
  <c r="M2547" i="1" s="1"/>
  <c r="J2548" i="1"/>
  <c r="I2548" i="1"/>
  <c r="K2549" i="1"/>
  <c r="I2549" i="1"/>
  <c r="K2550" i="1"/>
  <c r="J2550" i="1"/>
  <c r="I2550" i="1"/>
  <c r="I2551" i="1"/>
  <c r="L2551" i="1" s="1"/>
  <c r="M2551" i="1" s="1"/>
  <c r="I2552" i="1"/>
  <c r="L2552" i="1" s="1"/>
  <c r="M2552" i="1" s="1"/>
  <c r="I2553" i="1"/>
  <c r="L2553" i="1" s="1"/>
  <c r="M2553" i="1" s="1"/>
  <c r="K2554" i="1"/>
  <c r="J2554" i="1"/>
  <c r="I2554" i="1"/>
  <c r="I2555" i="1"/>
  <c r="L2555" i="1" s="1"/>
  <c r="M2555" i="1" s="1"/>
  <c r="I2556" i="1"/>
  <c r="L2556" i="1" s="1"/>
  <c r="M2556" i="1" s="1"/>
  <c r="I2557" i="1"/>
  <c r="L2557" i="1" s="1"/>
  <c r="M2557" i="1" s="1"/>
  <c r="I2558" i="1"/>
  <c r="L2558" i="1" s="1"/>
  <c r="M2558" i="1" s="1"/>
  <c r="I2559" i="1"/>
  <c r="I2560" i="1"/>
  <c r="L2560" i="1" s="1"/>
  <c r="M2560" i="1" s="1"/>
  <c r="I2561" i="1"/>
  <c r="L2561" i="1" s="1"/>
  <c r="M2561" i="1" s="1"/>
  <c r="I2562" i="1"/>
  <c r="I2563" i="1"/>
  <c r="L2563" i="1" s="1"/>
  <c r="M2563" i="1" s="1"/>
  <c r="I2564" i="1"/>
  <c r="J2565" i="1"/>
  <c r="I2565" i="1"/>
  <c r="I2566" i="1"/>
  <c r="L2566" i="1" s="1"/>
  <c r="M2566" i="1" s="1"/>
  <c r="I2567" i="1"/>
  <c r="L2567" i="1" s="1"/>
  <c r="M2567" i="1" s="1"/>
  <c r="I2568" i="1"/>
  <c r="L2568" i="1" s="1"/>
  <c r="M2568" i="1" s="1"/>
  <c r="J2572" i="1"/>
  <c r="J2571" i="1"/>
  <c r="J2570" i="1"/>
  <c r="I2569" i="1"/>
  <c r="L2569" i="1" s="1"/>
  <c r="M2569" i="1" s="1"/>
  <c r="I2570" i="1"/>
  <c r="I2571" i="1"/>
  <c r="I2572" i="1"/>
  <c r="J2573" i="1"/>
  <c r="I2573" i="1"/>
  <c r="I2574" i="1"/>
  <c r="L2574" i="1" s="1"/>
  <c r="M2574" i="1" s="1"/>
  <c r="I2575" i="1"/>
  <c r="L2575" i="1" s="1"/>
  <c r="M2575" i="1" s="1"/>
  <c r="I2576" i="1"/>
  <c r="L2576" i="1" s="1"/>
  <c r="M2576" i="1" s="1"/>
  <c r="K2577" i="1"/>
  <c r="J2577" i="1"/>
  <c r="I2577" i="1"/>
  <c r="I2578" i="1"/>
  <c r="L2578" i="1" s="1"/>
  <c r="M2578" i="1" s="1"/>
  <c r="I2579" i="1"/>
  <c r="I2580" i="1"/>
  <c r="L2580" i="1" s="1"/>
  <c r="M2580" i="1" s="1"/>
  <c r="I2581" i="1"/>
  <c r="L2581" i="1" s="1"/>
  <c r="M2581" i="1" s="1"/>
  <c r="J2584" i="1"/>
  <c r="I2582" i="1"/>
  <c r="I2583" i="1"/>
  <c r="L2583" i="1" s="1"/>
  <c r="M2583" i="1" s="1"/>
  <c r="I2584" i="1"/>
  <c r="I2585" i="1"/>
  <c r="I2586" i="1"/>
  <c r="L2586" i="1" s="1"/>
  <c r="M2586" i="1" s="1"/>
  <c r="J2588" i="1"/>
  <c r="J2589" i="1"/>
  <c r="I2587" i="1"/>
  <c r="L2587" i="1" s="1"/>
  <c r="M2587" i="1" s="1"/>
  <c r="I2588" i="1"/>
  <c r="I2589" i="1"/>
  <c r="I2590" i="1"/>
  <c r="L2590" i="1" s="1"/>
  <c r="M2590" i="1" s="1"/>
  <c r="J2591" i="1"/>
  <c r="I2591" i="1"/>
  <c r="I2592" i="1"/>
  <c r="L2592" i="1" s="1"/>
  <c r="M2592" i="1" s="1"/>
  <c r="I2593" i="1"/>
  <c r="L2593" i="1" s="1"/>
  <c r="M2593" i="1" s="1"/>
  <c r="I2594" i="1"/>
  <c r="I2595" i="1"/>
  <c r="L2595" i="1" s="1"/>
  <c r="M2595" i="1" s="1"/>
  <c r="I2596" i="1"/>
  <c r="L2596" i="1" s="1"/>
  <c r="M2596" i="1" s="1"/>
  <c r="I2597" i="1"/>
  <c r="L2597" i="1" s="1"/>
  <c r="M2597" i="1" s="1"/>
  <c r="I2598" i="1"/>
  <c r="L2598" i="1" s="1"/>
  <c r="M2598" i="1" s="1"/>
  <c r="I2599" i="1"/>
  <c r="L2599" i="1" s="1"/>
  <c r="M2599" i="1" s="1"/>
  <c r="I2600" i="1"/>
  <c r="J2601" i="1"/>
  <c r="I2601" i="1"/>
  <c r="I2602" i="1"/>
  <c r="L2602" i="1" s="1"/>
  <c r="M2602" i="1" s="1"/>
  <c r="I2603" i="1"/>
  <c r="L2603" i="1" s="1"/>
  <c r="M2603" i="1" s="1"/>
  <c r="J2604" i="1"/>
  <c r="I2604" i="1"/>
  <c r="I2605" i="1"/>
  <c r="I2606" i="1"/>
  <c r="L2606" i="1" s="1"/>
  <c r="M2606" i="1" s="1"/>
  <c r="K2607" i="1"/>
  <c r="I2607" i="1"/>
  <c r="J2609" i="1"/>
  <c r="J2612" i="1"/>
  <c r="I2612" i="1"/>
  <c r="I2608" i="1"/>
  <c r="I2609" i="1"/>
  <c r="I2610" i="1"/>
  <c r="L2610" i="1" s="1"/>
  <c r="M2610" i="1" s="1"/>
  <c r="K2611" i="1"/>
  <c r="J2611" i="1"/>
  <c r="I2611" i="1"/>
  <c r="I2613" i="1"/>
  <c r="L2613" i="1" s="1"/>
  <c r="M2613" i="1" s="1"/>
  <c r="I2614" i="1"/>
  <c r="J2615" i="1"/>
  <c r="I2615" i="1"/>
  <c r="I2616" i="1"/>
  <c r="L2616" i="1" s="1"/>
  <c r="M2616" i="1" s="1"/>
  <c r="I2617" i="1"/>
  <c r="L2617" i="1" s="1"/>
  <c r="M2617" i="1" s="1"/>
  <c r="I2618" i="1"/>
  <c r="L2618" i="1" s="1"/>
  <c r="M2618" i="1" s="1"/>
  <c r="I2619" i="1"/>
  <c r="J2620" i="1"/>
  <c r="J2622" i="1"/>
  <c r="I2620" i="1"/>
  <c r="K2621" i="1"/>
  <c r="I2621" i="1"/>
  <c r="I2622" i="1"/>
  <c r="I2623" i="1"/>
  <c r="I2624" i="1"/>
  <c r="I2625" i="1"/>
  <c r="L2625" i="1" s="1"/>
  <c r="M2625" i="1" s="1"/>
  <c r="J2627" i="1"/>
  <c r="J2628" i="1"/>
  <c r="I2627" i="1"/>
  <c r="I2628" i="1"/>
  <c r="J2629" i="1"/>
  <c r="I2629" i="1"/>
  <c r="J2631" i="1"/>
  <c r="J2632" i="1"/>
  <c r="K2630" i="1"/>
  <c r="I2630" i="1"/>
  <c r="I2631" i="1"/>
  <c r="I2632" i="1"/>
  <c r="L2609" i="1" l="1"/>
  <c r="M2609" i="1" s="1"/>
  <c r="L2544" i="1"/>
  <c r="M2544" i="1" s="1"/>
  <c r="L2542" i="1"/>
  <c r="M2542" i="1" s="1"/>
  <c r="L2571" i="1"/>
  <c r="M2571" i="1" s="1"/>
  <c r="L2548" i="1"/>
  <c r="M2548" i="1" s="1"/>
  <c r="L2549" i="1"/>
  <c r="M2549" i="1" s="1"/>
  <c r="L2550" i="1"/>
  <c r="M2550" i="1" s="1"/>
  <c r="L2554" i="1"/>
  <c r="M2554" i="1" s="1"/>
  <c r="L2559" i="1"/>
  <c r="M2559" i="1" s="1"/>
  <c r="L2562" i="1"/>
  <c r="M2562" i="1" s="1"/>
  <c r="L2628" i="1"/>
  <c r="M2628" i="1" s="1"/>
  <c r="L2565" i="1"/>
  <c r="M2565" i="1" s="1"/>
  <c r="L2564" i="1"/>
  <c r="M2564" i="1" s="1"/>
  <c r="L2572" i="1"/>
  <c r="M2572" i="1" s="1"/>
  <c r="L2570" i="1"/>
  <c r="M2570" i="1" s="1"/>
  <c r="L2611" i="1"/>
  <c r="M2611" i="1" s="1"/>
  <c r="L2630" i="1"/>
  <c r="M2630" i="1" s="1"/>
  <c r="L2621" i="1"/>
  <c r="M2621" i="1" s="1"/>
  <c r="L2612" i="1"/>
  <c r="M2612" i="1" s="1"/>
  <c r="L2573" i="1"/>
  <c r="M2573" i="1" s="1"/>
  <c r="L2577" i="1"/>
  <c r="M2577" i="1" s="1"/>
  <c r="L2579" i="1"/>
  <c r="M2579" i="1" s="1"/>
  <c r="L2584" i="1"/>
  <c r="M2584" i="1" s="1"/>
  <c r="L2582" i="1"/>
  <c r="M2582" i="1" s="1"/>
  <c r="L2585" i="1"/>
  <c r="M2585" i="1" s="1"/>
  <c r="L2588" i="1"/>
  <c r="M2588" i="1" s="1"/>
  <c r="L2589" i="1"/>
  <c r="M2589" i="1" s="1"/>
  <c r="L2591" i="1"/>
  <c r="M2591" i="1" s="1"/>
  <c r="L2594" i="1"/>
  <c r="M2594" i="1" s="1"/>
  <c r="L2600" i="1"/>
  <c r="M2600" i="1" s="1"/>
  <c r="L2601" i="1"/>
  <c r="M2601" i="1" s="1"/>
  <c r="L2604" i="1"/>
  <c r="M2604" i="1" s="1"/>
  <c r="L2605" i="1"/>
  <c r="M2605" i="1" s="1"/>
  <c r="L2607" i="1"/>
  <c r="M2607" i="1" s="1"/>
  <c r="L2608" i="1"/>
  <c r="M2608" i="1" s="1"/>
  <c r="L2614" i="1"/>
  <c r="M2614" i="1" s="1"/>
  <c r="L2615" i="1"/>
  <c r="M2615" i="1" s="1"/>
  <c r="L2619" i="1"/>
  <c r="M2619" i="1" s="1"/>
  <c r="L2620" i="1"/>
  <c r="M2620" i="1" s="1"/>
  <c r="L2622" i="1"/>
  <c r="M2622" i="1" s="1"/>
  <c r="L2623" i="1"/>
  <c r="M2623" i="1" s="1"/>
  <c r="L2624" i="1"/>
  <c r="M2624" i="1" s="1"/>
  <c r="L2626" i="1"/>
  <c r="M2626" i="1" s="1"/>
  <c r="L2627" i="1"/>
  <c r="M2627" i="1" s="1"/>
  <c r="L2629" i="1"/>
  <c r="M2629" i="1" s="1"/>
  <c r="L2631" i="1"/>
  <c r="M2631" i="1" s="1"/>
  <c r="L2632" i="1"/>
  <c r="M2632" i="1" s="1"/>
  <c r="K2633" i="1"/>
  <c r="I2633" i="1"/>
  <c r="I2634" i="1"/>
  <c r="L2634" i="1" s="1"/>
  <c r="M2634" i="1" s="1"/>
  <c r="K2635" i="1"/>
  <c r="I2635" i="1"/>
  <c r="I2636" i="1"/>
  <c r="K2637" i="1"/>
  <c r="I2637" i="1"/>
  <c r="K2638" i="1"/>
  <c r="I2638" i="1"/>
  <c r="K2639" i="1"/>
  <c r="I2639" i="1"/>
  <c r="K2640" i="1"/>
  <c r="J2640" i="1"/>
  <c r="I2640" i="1"/>
  <c r="I2641" i="1"/>
  <c r="L2641" i="1" s="1"/>
  <c r="M2641" i="1" s="1"/>
  <c r="J2643" i="1"/>
  <c r="K2642" i="1"/>
  <c r="I2642" i="1"/>
  <c r="I2643" i="1"/>
  <c r="K2644" i="1"/>
  <c r="I2644" i="1"/>
  <c r="J2647" i="1"/>
  <c r="K2645" i="1"/>
  <c r="I2645" i="1"/>
  <c r="I2646" i="1"/>
  <c r="L2646" i="1" s="1"/>
  <c r="M2646" i="1" s="1"/>
  <c r="I2647" i="1"/>
  <c r="J2649" i="1"/>
  <c r="I2648" i="1"/>
  <c r="L2648" i="1" s="1"/>
  <c r="M2648" i="1" s="1"/>
  <c r="I2649" i="1"/>
  <c r="I2650" i="1"/>
  <c r="L2650" i="1" s="1"/>
  <c r="M2650" i="1" s="1"/>
  <c r="I2651" i="1"/>
  <c r="L2651" i="1" s="1"/>
  <c r="M2651" i="1" s="1"/>
  <c r="I2652" i="1"/>
  <c r="K2652" i="1"/>
  <c r="I2653" i="1"/>
  <c r="L2653" i="1" s="1"/>
  <c r="M2653" i="1" s="1"/>
  <c r="K2657" i="1"/>
  <c r="J2657" i="1"/>
  <c r="K2654" i="1"/>
  <c r="I2654" i="1"/>
  <c r="I2655" i="1"/>
  <c r="L2655" i="1" s="1"/>
  <c r="M2655" i="1" s="1"/>
  <c r="K2656" i="1"/>
  <c r="I2656" i="1"/>
  <c r="I2657" i="1"/>
  <c r="I2658" i="1"/>
  <c r="L2658" i="1" s="1"/>
  <c r="M2658" i="1" s="1"/>
  <c r="I2659" i="1"/>
  <c r="L2659" i="1" s="1"/>
  <c r="M2659" i="1" s="1"/>
  <c r="I2660" i="1"/>
  <c r="L2660" i="1" s="1"/>
  <c r="M2660" i="1" s="1"/>
  <c r="I2661" i="1"/>
  <c r="L2661" i="1" s="1"/>
  <c r="M2661" i="1" s="1"/>
  <c r="J2662" i="1"/>
  <c r="K2662" i="1"/>
  <c r="I2662" i="1"/>
  <c r="I2663" i="1"/>
  <c r="L2663" i="1" s="1"/>
  <c r="M2663" i="1" s="1"/>
  <c r="I2664" i="1"/>
  <c r="L2664" i="1" s="1"/>
  <c r="M2664" i="1" s="1"/>
  <c r="I2665" i="1"/>
  <c r="L2665" i="1" s="1"/>
  <c r="M2665" i="1" s="1"/>
  <c r="K2666" i="1"/>
  <c r="I2666" i="1"/>
  <c r="K2667" i="1"/>
  <c r="I2667" i="1"/>
  <c r="I2668" i="1"/>
  <c r="L2668" i="1" s="1"/>
  <c r="M2668" i="1" s="1"/>
  <c r="I2669" i="1"/>
  <c r="L2669" i="1" s="1"/>
  <c r="M2669" i="1" s="1"/>
  <c r="I2670" i="1"/>
  <c r="L2670" i="1" s="1"/>
  <c r="M2670" i="1" s="1"/>
  <c r="I2671" i="1"/>
  <c r="L2671" i="1" s="1"/>
  <c r="M2671" i="1" s="1"/>
  <c r="I2672" i="1"/>
  <c r="L2672" i="1" s="1"/>
  <c r="M2672" i="1" s="1"/>
  <c r="I2673" i="1"/>
  <c r="L2673" i="1" s="1"/>
  <c r="M2673" i="1" s="1"/>
  <c r="I2674" i="1"/>
  <c r="J2675" i="1"/>
  <c r="I2675" i="1"/>
  <c r="I2676" i="1"/>
  <c r="L2676" i="1" s="1"/>
  <c r="M2676" i="1" s="1"/>
  <c r="I2677" i="1"/>
  <c r="L2677" i="1" s="1"/>
  <c r="M2677" i="1" s="1"/>
  <c r="I2678" i="1"/>
  <c r="L2678" i="1" s="1"/>
  <c r="M2678" i="1" s="1"/>
  <c r="I2679" i="1"/>
  <c r="L2679" i="1" s="1"/>
  <c r="M2679" i="1" s="1"/>
  <c r="I2680" i="1"/>
  <c r="L2680" i="1" s="1"/>
  <c r="M2680" i="1" s="1"/>
  <c r="I2681" i="1"/>
  <c r="L2681" i="1" s="1"/>
  <c r="M2681" i="1" s="1"/>
  <c r="K2684" i="1"/>
  <c r="I2682" i="1"/>
  <c r="J2683" i="1"/>
  <c r="I2683" i="1"/>
  <c r="J2684" i="1"/>
  <c r="I2684" i="1"/>
  <c r="L2639" i="1" l="1"/>
  <c r="M2639" i="1" s="1"/>
  <c r="L2637" i="1"/>
  <c r="M2637" i="1" s="1"/>
  <c r="L2645" i="1"/>
  <c r="M2645" i="1" s="1"/>
  <c r="L2635" i="1"/>
  <c r="M2635" i="1" s="1"/>
  <c r="L2638" i="1"/>
  <c r="M2638" i="1" s="1"/>
  <c r="L2656" i="1"/>
  <c r="M2656" i="1" s="1"/>
  <c r="L2649" i="1"/>
  <c r="M2649" i="1" s="1"/>
  <c r="L2642" i="1"/>
  <c r="M2642" i="1" s="1"/>
  <c r="L2633" i="1"/>
  <c r="M2633" i="1" s="1"/>
  <c r="L2636" i="1"/>
  <c r="M2636" i="1" s="1"/>
  <c r="L2640" i="1"/>
  <c r="M2640" i="1" s="1"/>
  <c r="L2666" i="1"/>
  <c r="M2666" i="1" s="1"/>
  <c r="L2644" i="1"/>
  <c r="M2644" i="1" s="1"/>
  <c r="L2643" i="1"/>
  <c r="M2643" i="1" s="1"/>
  <c r="L2647" i="1"/>
  <c r="M2647" i="1" s="1"/>
  <c r="L2652" i="1"/>
  <c r="M2652" i="1" s="1"/>
  <c r="L2657" i="1"/>
  <c r="M2657" i="1" s="1"/>
  <c r="L2654" i="1"/>
  <c r="M2654" i="1" s="1"/>
  <c r="L2662" i="1"/>
  <c r="M2662" i="1" s="1"/>
  <c r="L2667" i="1"/>
  <c r="M2667" i="1" s="1"/>
  <c r="L2674" i="1"/>
  <c r="M2674" i="1" s="1"/>
  <c r="L2675" i="1"/>
  <c r="M2675" i="1" s="1"/>
  <c r="L2682" i="1"/>
  <c r="M2682" i="1" s="1"/>
  <c r="L2683" i="1"/>
  <c r="M2683" i="1" s="1"/>
  <c r="L2684" i="1"/>
  <c r="M2684" i="1" s="1"/>
  <c r="I2685" i="1" l="1"/>
  <c r="L2685" i="1" s="1"/>
  <c r="M2685" i="1" s="1"/>
  <c r="I2686" i="1"/>
  <c r="L2686" i="1" s="1"/>
  <c r="M2686" i="1" s="1"/>
  <c r="I2688" i="1"/>
  <c r="L2688" i="1" s="1"/>
  <c r="M2688" i="1" s="1"/>
  <c r="I2687" i="1"/>
  <c r="L2687" i="1" s="1"/>
  <c r="M2687" i="1" s="1"/>
  <c r="I2689" i="1"/>
  <c r="L2689" i="1" s="1"/>
  <c r="M2689" i="1" s="1"/>
  <c r="I2690" i="1"/>
  <c r="L2690" i="1" s="1"/>
  <c r="M2690" i="1" s="1"/>
  <c r="I2691" i="1"/>
  <c r="L2691" i="1" s="1"/>
  <c r="M2691" i="1" s="1"/>
  <c r="I2692" i="1"/>
  <c r="L2692" i="1" s="1"/>
  <c r="M2692" i="1" s="1"/>
  <c r="I2693" i="1"/>
  <c r="L2693" i="1" s="1"/>
  <c r="M2693" i="1" s="1"/>
  <c r="K2694" i="1"/>
  <c r="J2694" i="1"/>
  <c r="I2694" i="1"/>
  <c r="L2695" i="1"/>
  <c r="M2695" i="1" s="1"/>
  <c r="I2696" i="1"/>
  <c r="L2696" i="1" s="1"/>
  <c r="M2696" i="1" s="1"/>
  <c r="I2697" i="1"/>
  <c r="L2697" i="1" s="1"/>
  <c r="M2697" i="1" s="1"/>
  <c r="I2698" i="1"/>
  <c r="L2698" i="1" s="1"/>
  <c r="M2698" i="1" s="1"/>
  <c r="I2699" i="1"/>
  <c r="L2699" i="1" s="1"/>
  <c r="M2699" i="1" s="1"/>
  <c r="L2700" i="1"/>
  <c r="M2700" i="1" s="1"/>
  <c r="L2701" i="1"/>
  <c r="M2701" i="1" s="1"/>
  <c r="I2702" i="1"/>
  <c r="L2702" i="1" s="1"/>
  <c r="M2702" i="1" s="1"/>
  <c r="I2703" i="1"/>
  <c r="L2703" i="1" s="1"/>
  <c r="M2703" i="1" s="1"/>
  <c r="I2704" i="1"/>
  <c r="L2704" i="1" s="1"/>
  <c r="M2704" i="1" s="1"/>
  <c r="I2705" i="1"/>
  <c r="L2705" i="1" s="1"/>
  <c r="M2705" i="1" s="1"/>
  <c r="I2706" i="1"/>
  <c r="L2706" i="1" s="1"/>
  <c r="M2706" i="1" s="1"/>
  <c r="I2707" i="1"/>
  <c r="L2707" i="1" s="1"/>
  <c r="M2707" i="1" s="1"/>
  <c r="I2708" i="1"/>
  <c r="L2708" i="1" s="1"/>
  <c r="M2708" i="1" s="1"/>
  <c r="J2709" i="1"/>
  <c r="I2709" i="1"/>
  <c r="I2710" i="1"/>
  <c r="L2710" i="1" s="1"/>
  <c r="M2710" i="1" s="1"/>
  <c r="I2711" i="1"/>
  <c r="L2711" i="1" s="1"/>
  <c r="M2711" i="1" s="1"/>
  <c r="I2712" i="1"/>
  <c r="L2712" i="1" s="1"/>
  <c r="M2712" i="1" s="1"/>
  <c r="I2713" i="1"/>
  <c r="L2713" i="1" s="1"/>
  <c r="M2713" i="1" s="1"/>
  <c r="I2714" i="1"/>
  <c r="L2714" i="1" s="1"/>
  <c r="M2714" i="1" s="1"/>
  <c r="I2715" i="1"/>
  <c r="L2715" i="1" s="1"/>
  <c r="M2715" i="1" s="1"/>
  <c r="I2716" i="1"/>
  <c r="L2716" i="1" s="1"/>
  <c r="M2716" i="1" s="1"/>
  <c r="I2717" i="1"/>
  <c r="L2717" i="1" s="1"/>
  <c r="M2717" i="1" s="1"/>
  <c r="I2718" i="1"/>
  <c r="L2718" i="1" s="1"/>
  <c r="M2718" i="1" s="1"/>
  <c r="I2719" i="1"/>
  <c r="L2719" i="1" s="1"/>
  <c r="M2719" i="1" s="1"/>
  <c r="I2720" i="1"/>
  <c r="L2720" i="1" s="1"/>
  <c r="M2720" i="1" s="1"/>
  <c r="I2721" i="1"/>
  <c r="L2721" i="1" s="1"/>
  <c r="M2721" i="1" s="1"/>
  <c r="I2722" i="1"/>
  <c r="L2722" i="1" s="1"/>
  <c r="M2722" i="1" s="1"/>
  <c r="I2723" i="1"/>
  <c r="L2723" i="1" s="1"/>
  <c r="M2723" i="1" s="1"/>
  <c r="I2724" i="1"/>
  <c r="L2724" i="1" s="1"/>
  <c r="M2724" i="1" s="1"/>
  <c r="I2725" i="1"/>
  <c r="L2725" i="1" s="1"/>
  <c r="M2725" i="1" s="1"/>
  <c r="I2726" i="1"/>
  <c r="L2726" i="1" s="1"/>
  <c r="M2726" i="1" s="1"/>
  <c r="I2727" i="1"/>
  <c r="L2727" i="1" s="1"/>
  <c r="M2727" i="1" s="1"/>
  <c r="I2728" i="1"/>
  <c r="L2728" i="1" s="1"/>
  <c r="M2728" i="1" s="1"/>
  <c r="I2729" i="1"/>
  <c r="L2729" i="1" s="1"/>
  <c r="M2729" i="1" s="1"/>
  <c r="I2730" i="1"/>
  <c r="L2730" i="1" s="1"/>
  <c r="M2730" i="1" s="1"/>
  <c r="I2731" i="1"/>
  <c r="L2731" i="1" s="1"/>
  <c r="M2731" i="1" s="1"/>
  <c r="I2732" i="1"/>
  <c r="L2732" i="1" s="1"/>
  <c r="M2732" i="1" s="1"/>
  <c r="I2733" i="1"/>
  <c r="L2733" i="1" s="1"/>
  <c r="M2733" i="1" s="1"/>
  <c r="I2734" i="1"/>
  <c r="L2734" i="1" s="1"/>
  <c r="M2734" i="1" s="1"/>
  <c r="I2735" i="1"/>
  <c r="L2735" i="1" s="1"/>
  <c r="M2735" i="1" s="1"/>
  <c r="I2736" i="1"/>
  <c r="L2736" i="1" s="1"/>
  <c r="M2736" i="1" s="1"/>
  <c r="I2737" i="1"/>
  <c r="L2737" i="1" s="1"/>
  <c r="M2737" i="1" s="1"/>
  <c r="I2738" i="1"/>
  <c r="L2738" i="1" s="1"/>
  <c r="M2738" i="1" s="1"/>
  <c r="I2739" i="1"/>
  <c r="L2739" i="1" s="1"/>
  <c r="M2739" i="1" s="1"/>
  <c r="I2740" i="1"/>
  <c r="L2740" i="1" s="1"/>
  <c r="M2740" i="1" s="1"/>
  <c r="I2741" i="1"/>
  <c r="L2741" i="1" s="1"/>
  <c r="M2741" i="1" s="1"/>
  <c r="I2742" i="1"/>
  <c r="L2742" i="1" s="1"/>
  <c r="M2742" i="1" s="1"/>
  <c r="I2743" i="1"/>
  <c r="L2743" i="1" s="1"/>
  <c r="M2743" i="1" s="1"/>
  <c r="I2744" i="1"/>
  <c r="L2744" i="1" s="1"/>
  <c r="M2744" i="1" s="1"/>
  <c r="I2745" i="1"/>
  <c r="L2745" i="1" s="1"/>
  <c r="M2745" i="1" s="1"/>
  <c r="I2746" i="1"/>
  <c r="L2746" i="1" s="1"/>
  <c r="M2746" i="1" s="1"/>
  <c r="I2747" i="1"/>
  <c r="L2747" i="1" s="1"/>
  <c r="M2747" i="1" s="1"/>
  <c r="I2748" i="1"/>
  <c r="L2748" i="1" s="1"/>
  <c r="M2748" i="1" s="1"/>
  <c r="I2749" i="1"/>
  <c r="L2749" i="1" s="1"/>
  <c r="M2749" i="1" s="1"/>
  <c r="I2750" i="1"/>
  <c r="L2750" i="1" s="1"/>
  <c r="M2750" i="1" s="1"/>
  <c r="I2751" i="1"/>
  <c r="L2751" i="1" s="1"/>
  <c r="M2751" i="1" s="1"/>
  <c r="I2752" i="1"/>
  <c r="L2752" i="1" s="1"/>
  <c r="M2752" i="1" s="1"/>
  <c r="I2753" i="1"/>
  <c r="L2753" i="1" s="1"/>
  <c r="M2753" i="1" s="1"/>
  <c r="I2754" i="1"/>
  <c r="L2754" i="1" s="1"/>
  <c r="M2754" i="1" s="1"/>
  <c r="I2755" i="1"/>
  <c r="L2755" i="1" s="1"/>
  <c r="M2755" i="1" s="1"/>
  <c r="I2756" i="1"/>
  <c r="L2756" i="1" s="1"/>
  <c r="M2756" i="1" s="1"/>
  <c r="I2757" i="1"/>
  <c r="L2757" i="1" s="1"/>
  <c r="M2757" i="1" s="1"/>
  <c r="I2758" i="1"/>
  <c r="L2758" i="1" s="1"/>
  <c r="M2758" i="1" s="1"/>
  <c r="I2759" i="1"/>
  <c r="L2759" i="1" s="1"/>
  <c r="M2759" i="1" s="1"/>
  <c r="I2760" i="1"/>
  <c r="L2760" i="1" s="1"/>
  <c r="M2760" i="1" s="1"/>
  <c r="I2761" i="1"/>
  <c r="L2761" i="1" s="1"/>
  <c r="M2761" i="1" s="1"/>
  <c r="I2762" i="1"/>
  <c r="L2762" i="1" s="1"/>
  <c r="M2762" i="1" s="1"/>
  <c r="I2763" i="1"/>
  <c r="L2763" i="1" s="1"/>
  <c r="M2763" i="1" s="1"/>
  <c r="I2764" i="1"/>
  <c r="L2764" i="1" s="1"/>
  <c r="M2764" i="1" s="1"/>
  <c r="I2765" i="1"/>
  <c r="L2765" i="1" s="1"/>
  <c r="M2765" i="1" s="1"/>
  <c r="I2766" i="1"/>
  <c r="L2766" i="1" s="1"/>
  <c r="M2766" i="1" s="1"/>
  <c r="J2768" i="1"/>
  <c r="I2767" i="1"/>
  <c r="L2767" i="1" s="1"/>
  <c r="M2767" i="1" s="1"/>
  <c r="I2768" i="1"/>
  <c r="J2776" i="1"/>
  <c r="J2778" i="1"/>
  <c r="J2783" i="1"/>
  <c r="J2784" i="1"/>
  <c r="J2785" i="1"/>
  <c r="J2786" i="1"/>
  <c r="J2788" i="1"/>
  <c r="J2790" i="1"/>
  <c r="J2791" i="1"/>
  <c r="J2795" i="1"/>
  <c r="J2798" i="1"/>
  <c r="J2799" i="1"/>
  <c r="J2809" i="1"/>
  <c r="J2816" i="1"/>
  <c r="J2819" i="1"/>
  <c r="I2769" i="1"/>
  <c r="L2769" i="1" s="1"/>
  <c r="M2769" i="1" s="1"/>
  <c r="I2770" i="1"/>
  <c r="L2770" i="1" s="1"/>
  <c r="M2770" i="1" s="1"/>
  <c r="I2771" i="1"/>
  <c r="L2771" i="1" s="1"/>
  <c r="M2771" i="1" s="1"/>
  <c r="I2772" i="1"/>
  <c r="L2772" i="1" s="1"/>
  <c r="M2772" i="1" s="1"/>
  <c r="I2773" i="1"/>
  <c r="L2773" i="1" s="1"/>
  <c r="M2773" i="1" s="1"/>
  <c r="I2774" i="1"/>
  <c r="L2774" i="1" s="1"/>
  <c r="M2774" i="1" s="1"/>
  <c r="I2775" i="1"/>
  <c r="L2775" i="1" s="1"/>
  <c r="M2775" i="1" s="1"/>
  <c r="I2776" i="1"/>
  <c r="I2777" i="1"/>
  <c r="L2777" i="1" s="1"/>
  <c r="M2777" i="1" s="1"/>
  <c r="I2778" i="1"/>
  <c r="I2779" i="1"/>
  <c r="L2779" i="1" s="1"/>
  <c r="M2779" i="1" s="1"/>
  <c r="I2780" i="1"/>
  <c r="L2780" i="1" s="1"/>
  <c r="M2780" i="1" s="1"/>
  <c r="I2781" i="1"/>
  <c r="L2781" i="1" s="1"/>
  <c r="M2781" i="1" s="1"/>
  <c r="I2782" i="1"/>
  <c r="L2782" i="1" s="1"/>
  <c r="M2782" i="1" s="1"/>
  <c r="I2783" i="1"/>
  <c r="I2784" i="1"/>
  <c r="I2785" i="1"/>
  <c r="I2786" i="1"/>
  <c r="I2787" i="1"/>
  <c r="I2788" i="1"/>
  <c r="L2788" i="1" s="1"/>
  <c r="M2788" i="1" s="1"/>
  <c r="I2789" i="1"/>
  <c r="L2789" i="1" s="1"/>
  <c r="M2789" i="1" s="1"/>
  <c r="I2790" i="1"/>
  <c r="I2791" i="1"/>
  <c r="I2792" i="1"/>
  <c r="L2792" i="1" s="1"/>
  <c r="M2792" i="1" s="1"/>
  <c r="I2793" i="1"/>
  <c r="L2793" i="1" s="1"/>
  <c r="M2793" i="1" s="1"/>
  <c r="I2794" i="1"/>
  <c r="L2794" i="1" s="1"/>
  <c r="M2794" i="1" s="1"/>
  <c r="I2795" i="1"/>
  <c r="L2795" i="1" s="1"/>
  <c r="M2795" i="1" s="1"/>
  <c r="I2796" i="1"/>
  <c r="L2796" i="1" s="1"/>
  <c r="M2796" i="1" s="1"/>
  <c r="I2797" i="1"/>
  <c r="L2797" i="1" s="1"/>
  <c r="M2797" i="1" s="1"/>
  <c r="I2798" i="1"/>
  <c r="I2799" i="1"/>
  <c r="I2800" i="1"/>
  <c r="L2800" i="1" s="1"/>
  <c r="M2800" i="1" s="1"/>
  <c r="I2801" i="1"/>
  <c r="L2801" i="1" s="1"/>
  <c r="M2801" i="1" s="1"/>
  <c r="I2802" i="1"/>
  <c r="L2802" i="1" s="1"/>
  <c r="M2802" i="1" s="1"/>
  <c r="I2803" i="1"/>
  <c r="L2803" i="1" s="1"/>
  <c r="M2803" i="1" s="1"/>
  <c r="I2804" i="1"/>
  <c r="L2804" i="1" s="1"/>
  <c r="M2804" i="1" s="1"/>
  <c r="I2805" i="1"/>
  <c r="L2805" i="1" s="1"/>
  <c r="M2805" i="1" s="1"/>
  <c r="I2806" i="1"/>
  <c r="L2806" i="1" s="1"/>
  <c r="M2806" i="1" s="1"/>
  <c r="I2807" i="1"/>
  <c r="L2807" i="1" s="1"/>
  <c r="M2807" i="1" s="1"/>
  <c r="I2808" i="1"/>
  <c r="L2808" i="1" s="1"/>
  <c r="M2808" i="1" s="1"/>
  <c r="I2809" i="1"/>
  <c r="I2810" i="1"/>
  <c r="L2810" i="1" s="1"/>
  <c r="M2810" i="1" s="1"/>
  <c r="I2811" i="1"/>
  <c r="L2811" i="1" s="1"/>
  <c r="M2811" i="1" s="1"/>
  <c r="I2812" i="1"/>
  <c r="L2812" i="1" s="1"/>
  <c r="M2812" i="1" s="1"/>
  <c r="I2813" i="1"/>
  <c r="L2813" i="1" s="1"/>
  <c r="M2813" i="1" s="1"/>
  <c r="I2814" i="1"/>
  <c r="L2814" i="1" s="1"/>
  <c r="M2814" i="1" s="1"/>
  <c r="I2815" i="1"/>
  <c r="L2815" i="1" s="1"/>
  <c r="M2815" i="1" s="1"/>
  <c r="I2816" i="1"/>
  <c r="I2817" i="1"/>
  <c r="L2817" i="1" s="1"/>
  <c r="M2817" i="1" s="1"/>
  <c r="I2818" i="1"/>
  <c r="L2818" i="1" s="1"/>
  <c r="M2818" i="1" s="1"/>
  <c r="I2819" i="1"/>
  <c r="I2820" i="1"/>
  <c r="L2820" i="1" s="1"/>
  <c r="M2820" i="1" s="1"/>
  <c r="I2821" i="1"/>
  <c r="L2821" i="1" s="1"/>
  <c r="M2821" i="1" s="1"/>
  <c r="I2822" i="1"/>
  <c r="L2822" i="1" s="1"/>
  <c r="M2822" i="1" s="1"/>
  <c r="I2823" i="1"/>
  <c r="L2823" i="1" s="1"/>
  <c r="M2823" i="1" s="1"/>
  <c r="I2824" i="1"/>
  <c r="L2824" i="1" s="1"/>
  <c r="M2824" i="1" s="1"/>
  <c r="I2825" i="1"/>
  <c r="L2825" i="1" s="1"/>
  <c r="M2825" i="1" s="1"/>
  <c r="I2826" i="1"/>
  <c r="L2826" i="1" s="1"/>
  <c r="M2826" i="1" s="1"/>
  <c r="I2827" i="1"/>
  <c r="L2827" i="1" s="1"/>
  <c r="M2827" i="1" s="1"/>
  <c r="I2828" i="1"/>
  <c r="L2828" i="1" s="1"/>
  <c r="M2828" i="1" s="1"/>
  <c r="J2838" i="1"/>
  <c r="I2829" i="1"/>
  <c r="L2829" i="1" s="1"/>
  <c r="M2829" i="1" s="1"/>
  <c r="I2830" i="1"/>
  <c r="L2830" i="1" s="1"/>
  <c r="M2830" i="1" s="1"/>
  <c r="I2831" i="1"/>
  <c r="L2831" i="1" s="1"/>
  <c r="M2831" i="1" s="1"/>
  <c r="I2832" i="1"/>
  <c r="L2832" i="1" s="1"/>
  <c r="M2832" i="1" s="1"/>
  <c r="I2833" i="1"/>
  <c r="L2833" i="1" s="1"/>
  <c r="M2833" i="1" s="1"/>
  <c r="I2834" i="1"/>
  <c r="L2834" i="1" s="1"/>
  <c r="M2834" i="1" s="1"/>
  <c r="I2835" i="1"/>
  <c r="L2835" i="1" s="1"/>
  <c r="M2835" i="1" s="1"/>
  <c r="I2836" i="1"/>
  <c r="L2836" i="1" s="1"/>
  <c r="M2836" i="1" s="1"/>
  <c r="I2837" i="1"/>
  <c r="L2837" i="1" s="1"/>
  <c r="M2837" i="1" s="1"/>
  <c r="I2838" i="1"/>
  <c r="J2844" i="1"/>
  <c r="J2846" i="1"/>
  <c r="I2839" i="1"/>
  <c r="L2839" i="1" s="1"/>
  <c r="M2839" i="1" s="1"/>
  <c r="I2840" i="1"/>
  <c r="L2840" i="1" s="1"/>
  <c r="M2840" i="1" s="1"/>
  <c r="I2841" i="1"/>
  <c r="L2841" i="1" s="1"/>
  <c r="M2841" i="1" s="1"/>
  <c r="I2842" i="1"/>
  <c r="L2842" i="1" s="1"/>
  <c r="M2842" i="1" s="1"/>
  <c r="I2843" i="1"/>
  <c r="L2843" i="1" s="1"/>
  <c r="M2843" i="1" s="1"/>
  <c r="I2844" i="1"/>
  <c r="I2845" i="1"/>
  <c r="L2845" i="1" s="1"/>
  <c r="M2845" i="1" s="1"/>
  <c r="I2846" i="1"/>
  <c r="L2846" i="1" s="1"/>
  <c r="M2846" i="1" s="1"/>
  <c r="I2847" i="1"/>
  <c r="L2847" i="1" s="1"/>
  <c r="M2847" i="1" s="1"/>
  <c r="I2848" i="1"/>
  <c r="L2848" i="1" s="1"/>
  <c r="M2848" i="1" s="1"/>
  <c r="J2857" i="1"/>
  <c r="J2852" i="1"/>
  <c r="J2851" i="1"/>
  <c r="I2849" i="1"/>
  <c r="L2849" i="1" s="1"/>
  <c r="M2849" i="1" s="1"/>
  <c r="I2850" i="1"/>
  <c r="L2850" i="1" s="1"/>
  <c r="M2850" i="1" s="1"/>
  <c r="I2851" i="1"/>
  <c r="I2852" i="1"/>
  <c r="I2853" i="1"/>
  <c r="L2853" i="1" s="1"/>
  <c r="M2853" i="1" s="1"/>
  <c r="I2854" i="1"/>
  <c r="L2854" i="1" s="1"/>
  <c r="M2854" i="1" s="1"/>
  <c r="I2855" i="1"/>
  <c r="L2855" i="1" s="1"/>
  <c r="M2855" i="1" s="1"/>
  <c r="I2856" i="1"/>
  <c r="L2856" i="1" s="1"/>
  <c r="M2856" i="1" s="1"/>
  <c r="I2857" i="1"/>
  <c r="I2858" i="1"/>
  <c r="L2858" i="1" s="1"/>
  <c r="M2858" i="1" s="1"/>
  <c r="J2860" i="1"/>
  <c r="J2863" i="1"/>
  <c r="I2884" i="1"/>
  <c r="L2884" i="1" s="1"/>
  <c r="M2884" i="1" s="1"/>
  <c r="I2877" i="1"/>
  <c r="L2877" i="1" s="1"/>
  <c r="M2877" i="1" s="1"/>
  <c r="I2876" i="1"/>
  <c r="L2876" i="1" s="1"/>
  <c r="M2876" i="1" s="1"/>
  <c r="I2875" i="1"/>
  <c r="L2875" i="1" s="1"/>
  <c r="M2875" i="1" s="1"/>
  <c r="I2874" i="1"/>
  <c r="L2874" i="1" s="1"/>
  <c r="M2874" i="1" s="1"/>
  <c r="I2873" i="1"/>
  <c r="L2873" i="1" s="1"/>
  <c r="M2873" i="1" s="1"/>
  <c r="I2859" i="1"/>
  <c r="L2859" i="1" s="1"/>
  <c r="M2859" i="1" s="1"/>
  <c r="I2860" i="1"/>
  <c r="I2861" i="1"/>
  <c r="L2861" i="1" s="1"/>
  <c r="M2861" i="1" s="1"/>
  <c r="I2862" i="1"/>
  <c r="L2862" i="1" s="1"/>
  <c r="M2862" i="1" s="1"/>
  <c r="I2863" i="1"/>
  <c r="I2867" i="1"/>
  <c r="L2867" i="1" s="1"/>
  <c r="M2867" i="1" s="1"/>
  <c r="I2868" i="1"/>
  <c r="L2868" i="1" s="1"/>
  <c r="M2868" i="1" s="1"/>
  <c r="I2864" i="1"/>
  <c r="L2864" i="1" s="1"/>
  <c r="M2864" i="1" s="1"/>
  <c r="I2865" i="1"/>
  <c r="L2865" i="1" s="1"/>
  <c r="M2865" i="1" s="1"/>
  <c r="I2866" i="1"/>
  <c r="L2866" i="1" s="1"/>
  <c r="M2866" i="1" s="1"/>
  <c r="I2869" i="1"/>
  <c r="L2869" i="1" s="1"/>
  <c r="M2869" i="1" s="1"/>
  <c r="I2870" i="1"/>
  <c r="L2870" i="1" s="1"/>
  <c r="M2870" i="1" s="1"/>
  <c r="I2871" i="1"/>
  <c r="L2871" i="1" s="1"/>
  <c r="M2871" i="1" s="1"/>
  <c r="I2872" i="1"/>
  <c r="L2872" i="1" s="1"/>
  <c r="M2872" i="1" s="1"/>
  <c r="I2878" i="1"/>
  <c r="J2878" i="1"/>
  <c r="J2879" i="1"/>
  <c r="I2879" i="1"/>
  <c r="I2880" i="1"/>
  <c r="L2880" i="1" s="1"/>
  <c r="M2880" i="1" s="1"/>
  <c r="I3044" i="1"/>
  <c r="L3044" i="1" s="1"/>
  <c r="M3044" i="1" s="1"/>
  <c r="J3043" i="1"/>
  <c r="I3043" i="1"/>
  <c r="I3042" i="1"/>
  <c r="L3042" i="1" s="1"/>
  <c r="M3042" i="1" s="1"/>
  <c r="J3041" i="1"/>
  <c r="I3041" i="1"/>
  <c r="I3040" i="1"/>
  <c r="L3040" i="1" s="1"/>
  <c r="M3040" i="1" s="1"/>
  <c r="J3039" i="1"/>
  <c r="I3039" i="1"/>
  <c r="J3038" i="1"/>
  <c r="I3038" i="1"/>
  <c r="J3037" i="1"/>
  <c r="I3037" i="1"/>
  <c r="J3036" i="1"/>
  <c r="I3036" i="1"/>
  <c r="J3035" i="1"/>
  <c r="I3035" i="1"/>
  <c r="J3034" i="1"/>
  <c r="I3034" i="1"/>
  <c r="I3033" i="1"/>
  <c r="L3033" i="1" s="1"/>
  <c r="M3033" i="1" s="1"/>
  <c r="J3032" i="1"/>
  <c r="I3032" i="1"/>
  <c r="K3031" i="1"/>
  <c r="J3031" i="1"/>
  <c r="I3031" i="1"/>
  <c r="K3030" i="1"/>
  <c r="I3030" i="1"/>
  <c r="K3029" i="1"/>
  <c r="I3029" i="1"/>
  <c r="K3028" i="1"/>
  <c r="I3028" i="1"/>
  <c r="K3027" i="1"/>
  <c r="I3027" i="1"/>
  <c r="J3026" i="1"/>
  <c r="I3026" i="1"/>
  <c r="J3025" i="1"/>
  <c r="I3025" i="1"/>
  <c r="J3024" i="1"/>
  <c r="I3024" i="1"/>
  <c r="J3023" i="1"/>
  <c r="I3023" i="1"/>
  <c r="J3022" i="1"/>
  <c r="I3022" i="1"/>
  <c r="K3021" i="1"/>
  <c r="J3021" i="1"/>
  <c r="I3021" i="1"/>
  <c r="J3020" i="1"/>
  <c r="I3020" i="1"/>
  <c r="K3019" i="1"/>
  <c r="J3019" i="1"/>
  <c r="I3019" i="1"/>
  <c r="K3018" i="1"/>
  <c r="I3018" i="1"/>
  <c r="K3017" i="1"/>
  <c r="I3017" i="1"/>
  <c r="K3016" i="1"/>
  <c r="I3016" i="1"/>
  <c r="J3015" i="1"/>
  <c r="I3015" i="1"/>
  <c r="J3014" i="1"/>
  <c r="I3014" i="1"/>
  <c r="K3013" i="1"/>
  <c r="J3013" i="1"/>
  <c r="I3013" i="1"/>
  <c r="J3012" i="1"/>
  <c r="I3012" i="1"/>
  <c r="K3011" i="1"/>
  <c r="I3011" i="1"/>
  <c r="J3010" i="1"/>
  <c r="I3010" i="1"/>
  <c r="J3009" i="1"/>
  <c r="I3009" i="1"/>
  <c r="J3008" i="1"/>
  <c r="I3008" i="1"/>
  <c r="J3007" i="1"/>
  <c r="I3007" i="1"/>
  <c r="I3006" i="1"/>
  <c r="J3005" i="1"/>
  <c r="I3005" i="1"/>
  <c r="J3004" i="1"/>
  <c r="I3004" i="1"/>
  <c r="K3003" i="1"/>
  <c r="J3003" i="1"/>
  <c r="I3003" i="1"/>
  <c r="K3002" i="1"/>
  <c r="I3002" i="1"/>
  <c r="J3001" i="1"/>
  <c r="I3001" i="1"/>
  <c r="K3000" i="1"/>
  <c r="J3000" i="1"/>
  <c r="I3000" i="1"/>
  <c r="J2999" i="1"/>
  <c r="I2999" i="1"/>
  <c r="J2998" i="1"/>
  <c r="I2998" i="1"/>
  <c r="K2997" i="1"/>
  <c r="J2997" i="1"/>
  <c r="I2997" i="1"/>
  <c r="J2996" i="1"/>
  <c r="I2996" i="1"/>
  <c r="I2995" i="1"/>
  <c r="L2995" i="1" s="1"/>
  <c r="M2995" i="1" s="1"/>
  <c r="I2994" i="1"/>
  <c r="L2994" i="1" s="1"/>
  <c r="M2994" i="1" s="1"/>
  <c r="I2993" i="1"/>
  <c r="L2993" i="1" s="1"/>
  <c r="M2993" i="1" s="1"/>
  <c r="I2992" i="1"/>
  <c r="L2992" i="1" s="1"/>
  <c r="M2992" i="1" s="1"/>
  <c r="I2991" i="1"/>
  <c r="L2991" i="1" s="1"/>
  <c r="M2991" i="1" s="1"/>
  <c r="I2990" i="1"/>
  <c r="L2990" i="1" s="1"/>
  <c r="M2990" i="1" s="1"/>
  <c r="J2989" i="1"/>
  <c r="I2989" i="1"/>
  <c r="I2988" i="1"/>
  <c r="L2988" i="1" s="1"/>
  <c r="M2988" i="1" s="1"/>
  <c r="I2987" i="1"/>
  <c r="L2987" i="1" s="1"/>
  <c r="M2987" i="1" s="1"/>
  <c r="I2986" i="1"/>
  <c r="L2986" i="1" s="1"/>
  <c r="M2986" i="1" s="1"/>
  <c r="I2985" i="1"/>
  <c r="L2985" i="1" s="1"/>
  <c r="M2985" i="1" s="1"/>
  <c r="I2984" i="1"/>
  <c r="L2984" i="1" s="1"/>
  <c r="M2984" i="1" s="1"/>
  <c r="K2983" i="1"/>
  <c r="J2983" i="1"/>
  <c r="I2983" i="1"/>
  <c r="I2982" i="1"/>
  <c r="L2982" i="1" s="1"/>
  <c r="M2982" i="1" s="1"/>
  <c r="I2981" i="1"/>
  <c r="L2981" i="1" s="1"/>
  <c r="M2981" i="1" s="1"/>
  <c r="I2980" i="1"/>
  <c r="L2980" i="1" s="1"/>
  <c r="M2980" i="1" s="1"/>
  <c r="I2979" i="1"/>
  <c r="L2979" i="1" s="1"/>
  <c r="M2979" i="1" s="1"/>
  <c r="I2978" i="1"/>
  <c r="L2978" i="1" s="1"/>
  <c r="M2978" i="1" s="1"/>
  <c r="I2977" i="1"/>
  <c r="L2977" i="1" s="1"/>
  <c r="M2977" i="1" s="1"/>
  <c r="I2976" i="1"/>
  <c r="L2976" i="1" s="1"/>
  <c r="M2976" i="1" s="1"/>
  <c r="I2975" i="1"/>
  <c r="L2975" i="1" s="1"/>
  <c r="M2975" i="1" s="1"/>
  <c r="I2974" i="1"/>
  <c r="L2974" i="1" s="1"/>
  <c r="M2974" i="1" s="1"/>
  <c r="I2973" i="1"/>
  <c r="L2973" i="1" s="1"/>
  <c r="M2973" i="1" s="1"/>
  <c r="I2972" i="1"/>
  <c r="L2972" i="1" s="1"/>
  <c r="M2972" i="1" s="1"/>
  <c r="K2971" i="1"/>
  <c r="J2971" i="1"/>
  <c r="I2971" i="1"/>
  <c r="I2970" i="1"/>
  <c r="L2970" i="1" s="1"/>
  <c r="M2970" i="1" s="1"/>
  <c r="I2969" i="1"/>
  <c r="L2969" i="1" s="1"/>
  <c r="M2969" i="1" s="1"/>
  <c r="I2968" i="1"/>
  <c r="L2968" i="1" s="1"/>
  <c r="M2968" i="1" s="1"/>
  <c r="K2967" i="1"/>
  <c r="J2967" i="1"/>
  <c r="I2967" i="1"/>
  <c r="I2966" i="1"/>
  <c r="L2966" i="1" s="1"/>
  <c r="M2966" i="1" s="1"/>
  <c r="I2965" i="1"/>
  <c r="L2965" i="1" s="1"/>
  <c r="M2965" i="1" s="1"/>
  <c r="K2964" i="1"/>
  <c r="J2964" i="1"/>
  <c r="I2964" i="1"/>
  <c r="I2963" i="1"/>
  <c r="L2963" i="1" s="1"/>
  <c r="M2963" i="1" s="1"/>
  <c r="I2962" i="1"/>
  <c r="L2962" i="1" s="1"/>
  <c r="M2962" i="1" s="1"/>
  <c r="I2961" i="1"/>
  <c r="L2961" i="1" s="1"/>
  <c r="M2961" i="1" s="1"/>
  <c r="J2960" i="1"/>
  <c r="I2960" i="1"/>
  <c r="I2959" i="1"/>
  <c r="L2959" i="1" s="1"/>
  <c r="M2959" i="1" s="1"/>
  <c r="K2958" i="1"/>
  <c r="J2958" i="1"/>
  <c r="I2958" i="1"/>
  <c r="I2957" i="1"/>
  <c r="L2957" i="1" s="1"/>
  <c r="M2957" i="1" s="1"/>
  <c r="I2956" i="1"/>
  <c r="L2956" i="1" s="1"/>
  <c r="M2956" i="1" s="1"/>
  <c r="J2955" i="1"/>
  <c r="I2955" i="1"/>
  <c r="K2954" i="1"/>
  <c r="J2954" i="1"/>
  <c r="I2954" i="1"/>
  <c r="J2953" i="1"/>
  <c r="I2953" i="1"/>
  <c r="J2952" i="1"/>
  <c r="I2952" i="1"/>
  <c r="J2951" i="1"/>
  <c r="I2951" i="1"/>
  <c r="I2950" i="1"/>
  <c r="L2950" i="1" s="1"/>
  <c r="M2950" i="1" s="1"/>
  <c r="J2949" i="1"/>
  <c r="I2949" i="1"/>
  <c r="J2948" i="1"/>
  <c r="I2948" i="1"/>
  <c r="I2947" i="1"/>
  <c r="L2947" i="1" s="1"/>
  <c r="M2947" i="1" s="1"/>
  <c r="I2946" i="1"/>
  <c r="L2946" i="1" s="1"/>
  <c r="M2946" i="1" s="1"/>
  <c r="J2945" i="1"/>
  <c r="I2945" i="1"/>
  <c r="J2944" i="1"/>
  <c r="I2944" i="1"/>
  <c r="K2943" i="1"/>
  <c r="J2943" i="1"/>
  <c r="I2943" i="1"/>
  <c r="I2942" i="1"/>
  <c r="L2942" i="1" s="1"/>
  <c r="M2942" i="1" s="1"/>
  <c r="K2941" i="1"/>
  <c r="J2941" i="1"/>
  <c r="I2941" i="1"/>
  <c r="I2940" i="1"/>
  <c r="L2940" i="1" s="1"/>
  <c r="M2940" i="1" s="1"/>
  <c r="J2939" i="1"/>
  <c r="I2939" i="1"/>
  <c r="I2938" i="1"/>
  <c r="L2938" i="1" s="1"/>
  <c r="M2938" i="1" s="1"/>
  <c r="J2937" i="1"/>
  <c r="I2937" i="1"/>
  <c r="I2936" i="1"/>
  <c r="L2936" i="1" s="1"/>
  <c r="M2936" i="1" s="1"/>
  <c r="I2935" i="1"/>
  <c r="L2935" i="1" s="1"/>
  <c r="M2935" i="1" s="1"/>
  <c r="J2934" i="1"/>
  <c r="I2934" i="1"/>
  <c r="I2933" i="1"/>
  <c r="L2933" i="1" s="1"/>
  <c r="M2933" i="1" s="1"/>
  <c r="J2932" i="1"/>
  <c r="I2932" i="1"/>
  <c r="J2931" i="1"/>
  <c r="I2931" i="1"/>
  <c r="I2930" i="1"/>
  <c r="L2930" i="1" s="1"/>
  <c r="M2930" i="1" s="1"/>
  <c r="I2929" i="1"/>
  <c r="L2929" i="1" s="1"/>
  <c r="M2929" i="1" s="1"/>
  <c r="J2928" i="1"/>
  <c r="I2928" i="1"/>
  <c r="I2927" i="1"/>
  <c r="L2927" i="1" s="1"/>
  <c r="M2927" i="1" s="1"/>
  <c r="I2926" i="1"/>
  <c r="L2926" i="1" s="1"/>
  <c r="M2926" i="1" s="1"/>
  <c r="I2925" i="1"/>
  <c r="L2925" i="1" s="1"/>
  <c r="M2925" i="1" s="1"/>
  <c r="I2924" i="1"/>
  <c r="L2924" i="1" s="1"/>
  <c r="M2924" i="1" s="1"/>
  <c r="I2923" i="1"/>
  <c r="L2923" i="1" s="1"/>
  <c r="M2923" i="1" s="1"/>
  <c r="I2922" i="1"/>
  <c r="L2922" i="1" s="1"/>
  <c r="M2922" i="1" s="1"/>
  <c r="J2921" i="1"/>
  <c r="I2921" i="1"/>
  <c r="J2920" i="1"/>
  <c r="I2920" i="1"/>
  <c r="I2919" i="1"/>
  <c r="L2919" i="1" s="1"/>
  <c r="M2919" i="1" s="1"/>
  <c r="J2918" i="1"/>
  <c r="I2918" i="1"/>
  <c r="J2917" i="1"/>
  <c r="I2917" i="1"/>
  <c r="J2916" i="1"/>
  <c r="I2916" i="1"/>
  <c r="J2915" i="1"/>
  <c r="I2915" i="1"/>
  <c r="I2914" i="1"/>
  <c r="L2914" i="1" s="1"/>
  <c r="M2914" i="1" s="1"/>
  <c r="J2913" i="1"/>
  <c r="I2913" i="1"/>
  <c r="J2912" i="1"/>
  <c r="I2912" i="1"/>
  <c r="J2911" i="1"/>
  <c r="I2911" i="1"/>
  <c r="I2910" i="1"/>
  <c r="L2910" i="1" s="1"/>
  <c r="M2910" i="1" s="1"/>
  <c r="J2909" i="1"/>
  <c r="I2909" i="1"/>
  <c r="I2908" i="1"/>
  <c r="L2908" i="1" s="1"/>
  <c r="M2908" i="1" s="1"/>
  <c r="I2907" i="1"/>
  <c r="L2907" i="1" s="1"/>
  <c r="M2907" i="1" s="1"/>
  <c r="I2906" i="1"/>
  <c r="L2906" i="1" s="1"/>
  <c r="M2906" i="1" s="1"/>
  <c r="J2905" i="1"/>
  <c r="I2905" i="1"/>
  <c r="J2904" i="1"/>
  <c r="I2904" i="1"/>
  <c r="J2903" i="1"/>
  <c r="I2903" i="1"/>
  <c r="J2902" i="1"/>
  <c r="I2902" i="1"/>
  <c r="I2901" i="1"/>
  <c r="L2901" i="1" s="1"/>
  <c r="M2901" i="1" s="1"/>
  <c r="J2900" i="1"/>
  <c r="I2900" i="1"/>
  <c r="I2899" i="1"/>
  <c r="L2899" i="1" s="1"/>
  <c r="M2899" i="1" s="1"/>
  <c r="I2898" i="1"/>
  <c r="L2898" i="1" s="1"/>
  <c r="M2898" i="1" s="1"/>
  <c r="I2897" i="1"/>
  <c r="L2897" i="1" s="1"/>
  <c r="M2897" i="1" s="1"/>
  <c r="J2896" i="1"/>
  <c r="I2896" i="1"/>
  <c r="J2895" i="1"/>
  <c r="I2895" i="1"/>
  <c r="I2894" i="1"/>
  <c r="L2894" i="1" s="1"/>
  <c r="M2894" i="1" s="1"/>
  <c r="J2893" i="1"/>
  <c r="I2893" i="1"/>
  <c r="I2892" i="1"/>
  <c r="L2892" i="1" s="1"/>
  <c r="M2892" i="1" s="1"/>
  <c r="J2891" i="1"/>
  <c r="I2891" i="1"/>
  <c r="J2890" i="1"/>
  <c r="I2890" i="1"/>
  <c r="I2889" i="1"/>
  <c r="L2889" i="1" s="1"/>
  <c r="M2889" i="1" s="1"/>
  <c r="I2888" i="1"/>
  <c r="L2888" i="1" s="1"/>
  <c r="M2888" i="1" s="1"/>
  <c r="I2887" i="1"/>
  <c r="L2887" i="1" s="1"/>
  <c r="M2887" i="1" s="1"/>
  <c r="I2886" i="1"/>
  <c r="L2886" i="1" s="1"/>
  <c r="M2886" i="1" s="1"/>
  <c r="J2885" i="1"/>
  <c r="I2885" i="1"/>
  <c r="J2883" i="1"/>
  <c r="I2883" i="1"/>
  <c r="J2882" i="1"/>
  <c r="I2882" i="1"/>
  <c r="I2881" i="1"/>
  <c r="L2881" i="1" s="1"/>
  <c r="M2881" i="1" s="1"/>
  <c r="L2694" i="1" l="1"/>
  <c r="M2694" i="1" s="1"/>
  <c r="L2768" i="1"/>
  <c r="M2768" i="1" s="1"/>
  <c r="L2709" i="1"/>
  <c r="M2709" i="1" s="1"/>
  <c r="L2838" i="1"/>
  <c r="M2838" i="1" s="1"/>
  <c r="L2819" i="1"/>
  <c r="M2819" i="1" s="1"/>
  <c r="L2816" i="1"/>
  <c r="M2816" i="1" s="1"/>
  <c r="L2776" i="1"/>
  <c r="M2776" i="1" s="1"/>
  <c r="L2798" i="1"/>
  <c r="M2798" i="1" s="1"/>
  <c r="L2809" i="1"/>
  <c r="M2809" i="1" s="1"/>
  <c r="L2778" i="1"/>
  <c r="M2778" i="1" s="1"/>
  <c r="L2783" i="1"/>
  <c r="M2783" i="1" s="1"/>
  <c r="L2784" i="1"/>
  <c r="M2784" i="1" s="1"/>
  <c r="L2785" i="1"/>
  <c r="M2785" i="1" s="1"/>
  <c r="L2786" i="1"/>
  <c r="M2786" i="1" s="1"/>
  <c r="L2787" i="1"/>
  <c r="M2787" i="1" s="1"/>
  <c r="L2790" i="1"/>
  <c r="M2790" i="1" s="1"/>
  <c r="L2791" i="1"/>
  <c r="M2791" i="1" s="1"/>
  <c r="L2799" i="1"/>
  <c r="M2799" i="1" s="1"/>
  <c r="L2860" i="1"/>
  <c r="M2860" i="1" s="1"/>
  <c r="L2863" i="1"/>
  <c r="M2863" i="1" s="1"/>
  <c r="L2997" i="1"/>
  <c r="M2997" i="1" s="1"/>
  <c r="L3001" i="1"/>
  <c r="M3001" i="1" s="1"/>
  <c r="L3003" i="1"/>
  <c r="M3003" i="1" s="1"/>
  <c r="L3006" i="1"/>
  <c r="M3006" i="1" s="1"/>
  <c r="L3011" i="1"/>
  <c r="M3011" i="1" s="1"/>
  <c r="L3012" i="1"/>
  <c r="M3012" i="1" s="1"/>
  <c r="L3014" i="1"/>
  <c r="M3014" i="1" s="1"/>
  <c r="L3015" i="1"/>
  <c r="M3015" i="1" s="1"/>
  <c r="L3019" i="1"/>
  <c r="M3019" i="1" s="1"/>
  <c r="L3020" i="1"/>
  <c r="M3020" i="1" s="1"/>
  <c r="L3022" i="1"/>
  <c r="M3022" i="1" s="1"/>
  <c r="L3023" i="1"/>
  <c r="M3023" i="1" s="1"/>
  <c r="L3024" i="1"/>
  <c r="M3024" i="1" s="1"/>
  <c r="L3025" i="1"/>
  <c r="M3025" i="1" s="1"/>
  <c r="L3026" i="1"/>
  <c r="M3026" i="1" s="1"/>
  <c r="L3031" i="1"/>
  <c r="M3031" i="1" s="1"/>
  <c r="L2878" i="1"/>
  <c r="M2878" i="1" s="1"/>
  <c r="L2844" i="1"/>
  <c r="M2844" i="1" s="1"/>
  <c r="L2857" i="1"/>
  <c r="M2857" i="1" s="1"/>
  <c r="L2852" i="1"/>
  <c r="M2852" i="1" s="1"/>
  <c r="L2851" i="1"/>
  <c r="M2851" i="1" s="1"/>
  <c r="L3034" i="1"/>
  <c r="M3034" i="1" s="1"/>
  <c r="L3035" i="1"/>
  <c r="M3035" i="1" s="1"/>
  <c r="L2934" i="1"/>
  <c r="M2934" i="1" s="1"/>
  <c r="L2900" i="1"/>
  <c r="M2900" i="1" s="1"/>
  <c r="L2902" i="1"/>
  <c r="M2902" i="1" s="1"/>
  <c r="L2903" i="1"/>
  <c r="M2903" i="1" s="1"/>
  <c r="L2904" i="1"/>
  <c r="M2904" i="1" s="1"/>
  <c r="L2905" i="1"/>
  <c r="M2905" i="1" s="1"/>
  <c r="L3036" i="1"/>
  <c r="M3036" i="1" s="1"/>
  <c r="L3037" i="1"/>
  <c r="M3037" i="1" s="1"/>
  <c r="L2883" i="1"/>
  <c r="M2883" i="1" s="1"/>
  <c r="L2885" i="1"/>
  <c r="M2885" i="1" s="1"/>
  <c r="L2971" i="1"/>
  <c r="M2971" i="1" s="1"/>
  <c r="L2879" i="1"/>
  <c r="M2879" i="1" s="1"/>
  <c r="L2890" i="1"/>
  <c r="M2890" i="1" s="1"/>
  <c r="L2891" i="1"/>
  <c r="M2891" i="1" s="1"/>
  <c r="L2893" i="1"/>
  <c r="M2893" i="1" s="1"/>
  <c r="L2895" i="1"/>
  <c r="M2895" i="1" s="1"/>
  <c r="L2896" i="1"/>
  <c r="M2896" i="1" s="1"/>
  <c r="L2909" i="1"/>
  <c r="M2909" i="1" s="1"/>
  <c r="L2911" i="1"/>
  <c r="M2911" i="1" s="1"/>
  <c r="L2912" i="1"/>
  <c r="M2912" i="1" s="1"/>
  <c r="L2913" i="1"/>
  <c r="M2913" i="1" s="1"/>
  <c r="L2928" i="1"/>
  <c r="M2928" i="1" s="1"/>
  <c r="L2944" i="1"/>
  <c r="M2944" i="1" s="1"/>
  <c r="L2945" i="1"/>
  <c r="M2945" i="1" s="1"/>
  <c r="L2948" i="1"/>
  <c r="M2948" i="1" s="1"/>
  <c r="L2964" i="1"/>
  <c r="M2964" i="1" s="1"/>
  <c r="L2967" i="1"/>
  <c r="M2967" i="1" s="1"/>
  <c r="L2983" i="1"/>
  <c r="M2983" i="1" s="1"/>
  <c r="L2989" i="1"/>
  <c r="M2989" i="1" s="1"/>
  <c r="L2882" i="1"/>
  <c r="M2882" i="1" s="1"/>
  <c r="L2915" i="1"/>
  <c r="M2915" i="1" s="1"/>
  <c r="L2916" i="1"/>
  <c r="M2916" i="1" s="1"/>
  <c r="L2917" i="1"/>
  <c r="M2917" i="1" s="1"/>
  <c r="L2918" i="1"/>
  <c r="M2918" i="1" s="1"/>
  <c r="L2920" i="1"/>
  <c r="M2920" i="1" s="1"/>
  <c r="L2921" i="1"/>
  <c r="M2921" i="1" s="1"/>
  <c r="L2931" i="1"/>
  <c r="M2931" i="1" s="1"/>
  <c r="L2932" i="1"/>
  <c r="M2932" i="1" s="1"/>
  <c r="L2937" i="1"/>
  <c r="M2937" i="1" s="1"/>
  <c r="L2939" i="1"/>
  <c r="M2939" i="1" s="1"/>
  <c r="L2941" i="1"/>
  <c r="M2941" i="1" s="1"/>
  <c r="L2943" i="1"/>
  <c r="M2943" i="1" s="1"/>
  <c r="L2949" i="1"/>
  <c r="M2949" i="1" s="1"/>
  <c r="L2951" i="1"/>
  <c r="M2951" i="1" s="1"/>
  <c r="L2952" i="1"/>
  <c r="M2952" i="1" s="1"/>
  <c r="L2953" i="1"/>
  <c r="M2953" i="1" s="1"/>
  <c r="L2954" i="1"/>
  <c r="M2954" i="1" s="1"/>
  <c r="L2955" i="1"/>
  <c r="M2955" i="1" s="1"/>
  <c r="L2958" i="1"/>
  <c r="M2958" i="1" s="1"/>
  <c r="L2960" i="1"/>
  <c r="M2960" i="1" s="1"/>
  <c r="L2996" i="1"/>
  <c r="M2996" i="1" s="1"/>
  <c r="L2998" i="1"/>
  <c r="M2998" i="1" s="1"/>
  <c r="L2999" i="1"/>
  <c r="M2999" i="1" s="1"/>
  <c r="L3000" i="1"/>
  <c r="M3000" i="1" s="1"/>
  <c r="L3002" i="1"/>
  <c r="M3002" i="1" s="1"/>
  <c r="L3004" i="1"/>
  <c r="M3004" i="1" s="1"/>
  <c r="L3005" i="1"/>
  <c r="M3005" i="1" s="1"/>
  <c r="L3007" i="1"/>
  <c r="M3007" i="1" s="1"/>
  <c r="L3008" i="1"/>
  <c r="M3008" i="1" s="1"/>
  <c r="L3009" i="1"/>
  <c r="M3009" i="1" s="1"/>
  <c r="L3010" i="1"/>
  <c r="M3010" i="1" s="1"/>
  <c r="L3013" i="1"/>
  <c r="M3013" i="1" s="1"/>
  <c r="L3016" i="1"/>
  <c r="M3016" i="1" s="1"/>
  <c r="L3017" i="1"/>
  <c r="M3017" i="1" s="1"/>
  <c r="L3018" i="1"/>
  <c r="M3018" i="1" s="1"/>
  <c r="L3021" i="1"/>
  <c r="M3021" i="1" s="1"/>
  <c r="L3027" i="1"/>
  <c r="M3027" i="1" s="1"/>
  <c r="L3028" i="1"/>
  <c r="M3028" i="1" s="1"/>
  <c r="L3029" i="1"/>
  <c r="M3029" i="1" s="1"/>
  <c r="L3030" i="1"/>
  <c r="M3030" i="1" s="1"/>
  <c r="L3032" i="1"/>
  <c r="M3032" i="1" s="1"/>
  <c r="L3038" i="1"/>
  <c r="M3038" i="1" s="1"/>
  <c r="L3039" i="1"/>
  <c r="M3039" i="1" s="1"/>
  <c r="L3041" i="1"/>
  <c r="M3041" i="1" s="1"/>
  <c r="L3043" i="1"/>
  <c r="M3043" i="1" s="1"/>
</calcChain>
</file>

<file path=xl/sharedStrings.xml><?xml version="1.0" encoding="utf-8"?>
<sst xmlns="http://schemas.openxmlformats.org/spreadsheetml/2006/main" count="6725" uniqueCount="81">
  <si>
    <t>DATE</t>
  </si>
  <si>
    <t>SCRIPT</t>
  </si>
  <si>
    <t>LOT</t>
  </si>
  <si>
    <t>RECO</t>
  </si>
  <si>
    <t>RATE</t>
  </si>
  <si>
    <t>BOOKED AT 1</t>
  </si>
  <si>
    <t>BOOKED AT 2</t>
  </si>
  <si>
    <t>P2</t>
  </si>
  <si>
    <t>TOTAL POINTS</t>
  </si>
  <si>
    <t>Profit &amp; Loss</t>
  </si>
  <si>
    <t>BUY</t>
  </si>
  <si>
    <t>SELL</t>
  </si>
  <si>
    <t>BOOKED AT 3</t>
  </si>
  <si>
    <t>P3</t>
  </si>
  <si>
    <t>SILVER</t>
  </si>
  <si>
    <t>LEAD</t>
  </si>
  <si>
    <t>CRUDE OIL</t>
  </si>
  <si>
    <t>ZINC</t>
  </si>
  <si>
    <t>COPPER</t>
  </si>
  <si>
    <t>GOLD</t>
  </si>
  <si>
    <t>NATURAL GAS</t>
  </si>
  <si>
    <t>NICKEL</t>
  </si>
  <si>
    <t>ALUMINIUM</t>
  </si>
  <si>
    <t>NICKLE</t>
  </si>
  <si>
    <t>WE WORK FOR YOU !!!</t>
  </si>
  <si>
    <t>P1</t>
  </si>
  <si>
    <t>MENTHA OIL</t>
  </si>
  <si>
    <t xml:space="preserve">ZINC 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</si>
  <si>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</si>
  <si>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COPPER </t>
  </si>
  <si>
    <t>GOLD </t>
  </si>
  <si>
    <t>NICKEL </t>
  </si>
  <si>
    <t>CRUDE </t>
  </si>
  <si>
    <t>CRUDE OIL</t>
  </si>
  <si>
    <t>CRUDEOIL</t>
  </si>
  <si>
    <t>LEAD </t>
  </si>
  <si>
    <t>CRUDE OIL </t>
  </si>
  <si>
    <t>ALUMINIUM </t>
  </si>
  <si>
    <t>CRUDEOIL </t>
  </si>
  <si>
    <t>ZINC </t>
  </si>
  <si>
    <t>SILVER </t>
  </si>
  <si>
    <t xml:space="preserve">GOLD </t>
  </si>
  <si>
    <t> CRUE OIL</t>
  </si>
  <si>
    <t> CRUDE OIL</t>
  </si>
  <si>
    <t>COOPER </t>
  </si>
  <si>
    <t>NATURAL GAS </t>
  </si>
  <si>
    <t> NATURAL GAS </t>
  </si>
  <si>
    <t> NATURAL GAS</t>
  </si>
  <si>
    <t xml:space="preserve">COPPER </t>
  </si>
  <si>
    <t> CRUDE OIL </t>
  </si>
  <si>
    <t xml:space="preserve"> NATURAL GAS</t>
  </si>
  <si>
    <t>CRUDE Oil</t>
  </si>
  <si>
    <t>NATURALGAS</t>
  </si>
  <si>
    <t>NATURALGAS </t>
  </si>
  <si>
    <t>NATURAL GA</t>
  </si>
  <si>
    <t>4966 </t>
  </si>
  <si>
    <t>CRUE OIL</t>
  </si>
  <si>
    <t>NATURAL </t>
  </si>
  <si>
    <t>ALUMINUM</t>
  </si>
  <si>
    <t>NATURRALGAS </t>
  </si>
  <si>
    <t>WE CALCULATE YOUR RISK AND REWARD AND GIVE YOU MAXIMUM RETURNS</t>
  </si>
  <si>
    <t>TRACK RECORD</t>
  </si>
  <si>
    <t>CRUDEOUL</t>
  </si>
  <si>
    <t>204..90</t>
  </si>
  <si>
    <t xml:space="preserve">CRUDEOIL </t>
  </si>
  <si>
    <t>NICKEL (AUG)</t>
  </si>
  <si>
    <t>LEAD (AUG)</t>
  </si>
  <si>
    <t>ZINC (AUG)</t>
  </si>
  <si>
    <t>ZINC(SEP)</t>
  </si>
  <si>
    <t>NICKEL(SEP)</t>
  </si>
  <si>
    <t>LAEDMINI</t>
  </si>
  <si>
    <t>ZINCMINI</t>
  </si>
  <si>
    <t>LEADMINI</t>
  </si>
  <si>
    <t>NICKL</t>
  </si>
  <si>
    <t xml:space="preserve">NICKEL </t>
  </si>
  <si>
    <t xml:space="preserve">NATURAL GAS </t>
  </si>
  <si>
    <t>NATUARL GAS</t>
  </si>
  <si>
    <t xml:space="preserve">SILVER </t>
  </si>
  <si>
    <t xml:space="preserve">SILVER  </t>
  </si>
  <si>
    <t>NAURAL GAS</t>
  </si>
  <si>
    <t>NAUTRAL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</si>
</sst>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\-0.00"/>
    <numFmt numFmtId="165" formatCode="d\-mmm\-yy;@"/>
    <numFmt numFmtId="166" formatCode="[$-409]d\-mmm\-yy;@"/>
    <numFmt numFmtId="167" formatCode="0;[Red]\-0"/>
  </numFmts>
  <fonts count="21" x14ac:knownFonts="1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0"/>
      <color rgb="FF333333"/>
      <name val="Arial"/>
      <family val="2"/>
    </font>
    <font>
      <sz val="10"/>
      <color rgb="FF006600"/>
      <name val="Arial"/>
      <family val="2"/>
    </font>
    <font>
      <sz val="10"/>
      <color rgb="FFFC565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E0E0E0"/>
      </right>
      <top style="medium">
        <color rgb="FFE0E0E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93">
    <xf numFmtId="0" fontId="0" fillId="0" borderId="0" xfId="0"/>
    <xf numFmtId="164" fontId="6" fillId="0" borderId="8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1" fontId="10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14" fontId="9" fillId="5" borderId="6" xfId="0" applyNumberFormat="1" applyFont="1" applyFill="1" applyBorder="1" applyAlignment="1">
      <alignment horizontal="center" vertical="center"/>
    </xf>
    <xf numFmtId="0" fontId="9" fillId="5" borderId="6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/>
    <xf numFmtId="2" fontId="9" fillId="0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167" fontId="15" fillId="0" borderId="8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>
      <alignment horizontal="center"/>
    </xf>
    <xf numFmtId="0" fontId="13" fillId="0" borderId="0" xfId="0" applyFont="1"/>
    <xf numFmtId="166" fontId="15" fillId="0" borderId="6" xfId="0" applyNumberFormat="1" applyFont="1" applyFill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 wrapText="1"/>
    </xf>
    <xf numFmtId="165" fontId="16" fillId="4" borderId="8" xfId="0" applyNumberFormat="1" applyFont="1" applyFill="1" applyBorder="1" applyAlignment="1">
      <alignment horizontal="center" vertical="center"/>
    </xf>
    <xf numFmtId="165" fontId="16" fillId="4" borderId="6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2" fontId="14" fillId="0" borderId="6" xfId="0" applyNumberFormat="1" applyFont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/>
    </xf>
    <xf numFmtId="165" fontId="17" fillId="4" borderId="6" xfId="0" applyNumberFormat="1" applyFont="1" applyFill="1" applyBorder="1" applyAlignment="1">
      <alignment horizontal="center" vertical="center"/>
    </xf>
    <xf numFmtId="165" fontId="17" fillId="4" borderId="8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/>
    </xf>
    <xf numFmtId="1" fontId="9" fillId="5" borderId="6" xfId="0" applyNumberFormat="1" applyFont="1" applyFill="1" applyBorder="1" applyAlignment="1">
      <alignment horizontal="center" vertical="center"/>
    </xf>
    <xf numFmtId="166" fontId="15" fillId="6" borderId="6" xfId="0" applyNumberFormat="1" applyFont="1" applyFill="1" applyBorder="1" applyAlignment="1">
      <alignment horizontal="center" vertical="center"/>
    </xf>
    <xf numFmtId="164" fontId="15" fillId="6" borderId="6" xfId="0" applyNumberFormat="1" applyFont="1" applyFill="1" applyBorder="1" applyAlignment="1">
      <alignment horizontal="center"/>
    </xf>
    <xf numFmtId="0" fontId="9" fillId="6" borderId="6" xfId="0" applyNumberFormat="1" applyFont="1" applyFill="1" applyBorder="1" applyAlignment="1">
      <alignment horizontal="center" vertical="center"/>
    </xf>
    <xf numFmtId="2" fontId="9" fillId="6" borderId="6" xfId="0" applyNumberFormat="1" applyFont="1" applyFill="1" applyBorder="1" applyAlignment="1">
      <alignment horizontal="center" vertical="center"/>
    </xf>
    <xf numFmtId="2" fontId="9" fillId="6" borderId="8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/>
    </xf>
    <xf numFmtId="166" fontId="19" fillId="6" borderId="6" xfId="0" applyNumberFormat="1" applyFont="1" applyFill="1" applyBorder="1" applyAlignment="1">
      <alignment horizontal="center" vertical="center"/>
    </xf>
    <xf numFmtId="0" fontId="19" fillId="6" borderId="6" xfId="0" applyNumberFormat="1" applyFont="1" applyFill="1" applyBorder="1" applyAlignment="1">
      <alignment horizontal="center" vertical="center"/>
    </xf>
    <xf numFmtId="2" fontId="19" fillId="6" borderId="6" xfId="0" applyNumberFormat="1" applyFont="1" applyFill="1" applyBorder="1" applyAlignment="1">
      <alignment horizontal="center" vertical="center"/>
    </xf>
    <xf numFmtId="164" fontId="19" fillId="6" borderId="6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188807</xdr:rowOff>
    </xdr:from>
    <xdr:to>
      <xdr:col>2</xdr:col>
      <xdr:colOff>257735</xdr:colOff>
      <xdr:row>8</xdr:row>
      <xdr:rowOff>190500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163719"/>
          <a:ext cx="2482663" cy="57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262779</xdr:colOff>
      <xdr:row>0</xdr:row>
      <xdr:rowOff>177601</xdr:rowOff>
    </xdr:from>
    <xdr:to>
      <xdr:col>1</xdr:col>
      <xdr:colOff>490500</xdr:colOff>
      <xdr:row>4</xdr:row>
      <xdr:rowOff>0</xdr:rowOff>
    </xdr:to>
    <xdr:pic>
      <xdr:nvPicPr>
        <xdr:cNvPr id="4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2779" y="177601"/>
          <a:ext cx="989721" cy="59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188807</xdr:rowOff>
    </xdr:from>
    <xdr:to>
      <xdr:col>2</xdr:col>
      <xdr:colOff>257735</xdr:colOff>
      <xdr:row>8</xdr:row>
      <xdr:rowOff>190500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141307"/>
          <a:ext cx="1315010" cy="57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262779</xdr:colOff>
      <xdr:row>0</xdr:row>
      <xdr:rowOff>177601</xdr:rowOff>
    </xdr:from>
    <xdr:to>
      <xdr:col>1</xdr:col>
      <xdr:colOff>490500</xdr:colOff>
      <xdr:row>4</xdr:row>
      <xdr:rowOff>0</xdr:rowOff>
    </xdr:to>
    <xdr:pic>
      <xdr:nvPicPr>
        <xdr:cNvPr id="3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2779" y="177601"/>
          <a:ext cx="837321" cy="58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3044"/>
  <sheetViews>
    <sheetView tabSelected="1" topLeftCell="A5" workbookViewId="0">
      <pane xSplit="1" ySplit="9" topLeftCell="B57" activePane="bottomRight" state="frozen"/>
      <selection activeCell="A5" sqref="A5"/>
      <selection pane="topRight" activeCell="B5" sqref="B5"/>
      <selection pane="bottomLeft" activeCell="A9" sqref="A9"/>
      <selection pane="bottomRight" activeCell="F61" sqref="F61"/>
    </sheetView>
  </sheetViews>
  <sheetFormatPr defaultRowHeight="15" x14ac:dyDescent="0.25"/>
  <cols>
    <col min="1" max="1" width="18.140625" style="23" customWidth="1"/>
    <col min="2" max="2" width="17.5703125" style="23" customWidth="1"/>
    <col min="3" max="3" width="15.140625" style="23" customWidth="1"/>
    <col min="4" max="5" width="14.42578125" style="23" customWidth="1"/>
    <col min="6" max="6" width="12.85546875" style="23" customWidth="1"/>
    <col min="7" max="7" width="14.28515625" style="23" customWidth="1"/>
    <col min="8" max="8" width="14.140625" customWidth="1"/>
    <col min="9" max="9" width="14.7109375" customWidth="1"/>
    <col min="10" max="10" width="13.140625" customWidth="1"/>
    <col min="11" max="11" width="11.140625" customWidth="1"/>
    <col min="12" max="12" width="14.140625" customWidth="1"/>
    <col min="13" max="13" width="12.140625" bestFit="1" customWidth="1"/>
  </cols>
  <sheetData>
    <row r="1" spans="1:13" ht="15" customHeight="1" x14ac:dyDescent="0.25">
      <c r="A1" s="67"/>
      <c r="B1" s="68"/>
      <c r="C1" s="69"/>
      <c r="D1" s="73" t="s">
        <v>28</v>
      </c>
      <c r="E1" s="74"/>
      <c r="F1" s="74"/>
      <c r="G1" s="74"/>
      <c r="H1" s="74"/>
      <c r="I1" s="74"/>
      <c r="J1" s="74"/>
      <c r="K1" s="74"/>
    </row>
    <row r="2" spans="1:13" ht="15" customHeight="1" x14ac:dyDescent="0.25">
      <c r="A2" s="70"/>
      <c r="B2" s="71"/>
      <c r="C2" s="72"/>
      <c r="D2" s="73"/>
      <c r="E2" s="74"/>
      <c r="F2" s="74"/>
      <c r="G2" s="74"/>
      <c r="H2" s="74"/>
      <c r="I2" s="74"/>
      <c r="J2" s="74"/>
      <c r="K2" s="74"/>
    </row>
    <row r="3" spans="1:13" ht="15" customHeight="1" x14ac:dyDescent="0.25">
      <c r="A3" s="70"/>
      <c r="B3" s="71"/>
      <c r="C3" s="72"/>
      <c r="D3" s="73"/>
      <c r="E3" s="74"/>
      <c r="F3" s="74"/>
      <c r="G3" s="74"/>
      <c r="H3" s="74"/>
      <c r="I3" s="74"/>
      <c r="J3" s="74"/>
      <c r="K3" s="74"/>
    </row>
    <row r="4" spans="1:13" ht="15.75" x14ac:dyDescent="0.25">
      <c r="A4" s="70"/>
      <c r="B4" s="71"/>
      <c r="C4" s="72"/>
      <c r="D4" s="75" t="s">
        <v>60</v>
      </c>
      <c r="E4" s="76"/>
      <c r="F4" s="76"/>
      <c r="G4" s="76"/>
      <c r="H4" s="76"/>
      <c r="I4" s="76"/>
      <c r="J4" s="76"/>
      <c r="K4" s="76"/>
    </row>
    <row r="5" spans="1:13" ht="15" customHeight="1" x14ac:dyDescent="0.25">
      <c r="A5" s="70"/>
      <c r="B5" s="71"/>
      <c r="C5" s="72"/>
      <c r="M5" s="14"/>
    </row>
    <row r="6" spans="1:13" x14ac:dyDescent="0.25">
      <c r="A6" s="77"/>
      <c r="B6" s="78"/>
      <c r="C6" s="79"/>
      <c r="D6" s="85" t="s">
        <v>28</v>
      </c>
      <c r="E6" s="85"/>
      <c r="F6" s="85"/>
      <c r="G6" s="85"/>
      <c r="H6" s="85"/>
      <c r="I6" s="85"/>
      <c r="J6" s="85"/>
      <c r="K6" s="85"/>
      <c r="L6" s="85"/>
      <c r="M6" s="86"/>
    </row>
    <row r="7" spans="1:13" x14ac:dyDescent="0.25">
      <c r="A7" s="80"/>
      <c r="B7" s="71"/>
      <c r="C7" s="81"/>
      <c r="D7" s="74"/>
      <c r="E7" s="74"/>
      <c r="F7" s="74"/>
      <c r="G7" s="74"/>
      <c r="H7" s="74"/>
      <c r="I7" s="74"/>
      <c r="J7" s="74"/>
      <c r="K7" s="74"/>
      <c r="L7" s="74"/>
      <c r="M7" s="87"/>
    </row>
    <row r="8" spans="1:13" x14ac:dyDescent="0.25">
      <c r="A8" s="80"/>
      <c r="B8" s="71"/>
      <c r="C8" s="81"/>
      <c r="D8" s="88"/>
      <c r="E8" s="88"/>
      <c r="F8" s="88"/>
      <c r="G8" s="88"/>
      <c r="H8" s="88"/>
      <c r="I8" s="88"/>
      <c r="J8" s="88"/>
      <c r="K8" s="88"/>
      <c r="L8" s="88"/>
      <c r="M8" s="89"/>
    </row>
    <row r="9" spans="1:13" ht="15.75" x14ac:dyDescent="0.25">
      <c r="A9" s="80"/>
      <c r="B9" s="71"/>
      <c r="C9" s="81"/>
      <c r="D9" s="90" t="s">
        <v>24</v>
      </c>
      <c r="E9" s="91"/>
      <c r="F9" s="91"/>
      <c r="G9" s="91"/>
      <c r="H9" s="91"/>
      <c r="I9" s="91"/>
      <c r="J9" s="91"/>
      <c r="K9" s="91"/>
      <c r="L9" s="91"/>
      <c r="M9" s="92"/>
    </row>
    <row r="10" spans="1:13" ht="16.5" thickBot="1" x14ac:dyDescent="0.3">
      <c r="A10" s="82"/>
      <c r="B10" s="83"/>
      <c r="C10" s="84"/>
      <c r="D10" s="90" t="s">
        <v>61</v>
      </c>
      <c r="E10" s="91"/>
      <c r="F10" s="91"/>
      <c r="G10" s="91"/>
      <c r="H10" s="91"/>
      <c r="I10" s="91"/>
      <c r="J10" s="91"/>
      <c r="K10" s="91"/>
      <c r="L10" s="91"/>
      <c r="M10" s="92"/>
    </row>
    <row r="11" spans="1:13" ht="15" customHeight="1" x14ac:dyDescent="0.25">
      <c r="A11" s="64" t="s">
        <v>0</v>
      </c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 t="s">
        <v>6</v>
      </c>
      <c r="H11" s="60" t="s">
        <v>12</v>
      </c>
      <c r="I11" s="63" t="s">
        <v>25</v>
      </c>
      <c r="J11" s="63" t="s">
        <v>7</v>
      </c>
      <c r="K11" s="60" t="s">
        <v>13</v>
      </c>
      <c r="L11" s="60" t="s">
        <v>8</v>
      </c>
      <c r="M11" s="60" t="s">
        <v>9</v>
      </c>
    </row>
    <row r="12" spans="1:13" ht="15" customHeight="1" x14ac:dyDescent="0.25">
      <c r="A12" s="65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5" customHeight="1" x14ac:dyDescent="0.25">
      <c r="A13" s="66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15.75" customHeight="1" x14ac:dyDescent="0.25">
      <c r="A14" s="10"/>
      <c r="B14" s="11"/>
      <c r="C14" s="11"/>
      <c r="D14" s="11"/>
      <c r="E14" s="11"/>
      <c r="F14" s="11"/>
      <c r="G14" s="34"/>
      <c r="H14" s="35"/>
      <c r="I14" s="12"/>
      <c r="J14" s="12"/>
      <c r="K14" s="12"/>
      <c r="L14" s="12"/>
      <c r="M14" s="12"/>
    </row>
    <row r="15" spans="1:13" ht="15.75" customHeight="1" x14ac:dyDescent="0.25">
      <c r="A15" s="24">
        <v>44224</v>
      </c>
      <c r="B15" s="29" t="s">
        <v>17</v>
      </c>
      <c r="C15" s="11">
        <v>5000</v>
      </c>
      <c r="D15" s="11" t="s">
        <v>10</v>
      </c>
      <c r="E15" s="11">
        <v>205.7</v>
      </c>
      <c r="F15" s="11">
        <v>206.2</v>
      </c>
      <c r="G15" s="34">
        <v>0</v>
      </c>
      <c r="H15" s="35">
        <v>0</v>
      </c>
      <c r="I15" s="8">
        <f t="shared" ref="I15" si="0">(IF(D15="SELL",E15-F15,IF(D15="BUY",F15-E15)))*C15</f>
        <v>2500</v>
      </c>
      <c r="J15" s="8">
        <v>0</v>
      </c>
      <c r="K15" s="2">
        <v>0</v>
      </c>
      <c r="L15" s="8">
        <f t="shared" ref="L15" si="1">(J15+I15+K15)/C15</f>
        <v>0.5</v>
      </c>
      <c r="M15" s="8">
        <f t="shared" ref="M15" si="2">L15*C15</f>
        <v>2500</v>
      </c>
    </row>
    <row r="16" spans="1:13" ht="15.75" customHeight="1" x14ac:dyDescent="0.25">
      <c r="A16" s="24">
        <v>44224</v>
      </c>
      <c r="B16" s="29" t="s">
        <v>19</v>
      </c>
      <c r="C16" s="11">
        <v>100</v>
      </c>
      <c r="D16" s="11" t="s">
        <v>11</v>
      </c>
      <c r="E16" s="11">
        <v>48680</v>
      </c>
      <c r="F16" s="11">
        <v>48750</v>
      </c>
      <c r="G16" s="34">
        <v>0</v>
      </c>
      <c r="H16" s="35">
        <v>0</v>
      </c>
      <c r="I16" s="8">
        <f t="shared" ref="I16" si="3">(IF(D16="SELL",E16-F16,IF(D16="BUY",F16-E16)))*C16</f>
        <v>-7000</v>
      </c>
      <c r="J16" s="8">
        <v>0</v>
      </c>
      <c r="K16" s="2">
        <v>0</v>
      </c>
      <c r="L16" s="8">
        <f t="shared" ref="L16" si="4">(J16+I16+K16)/C16</f>
        <v>-70</v>
      </c>
      <c r="M16" s="8">
        <f t="shared" ref="M16" si="5">L16*C16</f>
        <v>-7000</v>
      </c>
    </row>
    <row r="17" spans="1:13" ht="15.75" customHeight="1" x14ac:dyDescent="0.25">
      <c r="A17" s="24">
        <v>44224</v>
      </c>
      <c r="B17" s="29" t="s">
        <v>17</v>
      </c>
      <c r="C17" s="11">
        <v>5000</v>
      </c>
      <c r="D17" s="11" t="s">
        <v>11</v>
      </c>
      <c r="E17" s="11">
        <v>203.8</v>
      </c>
      <c r="F17" s="11">
        <v>204.8</v>
      </c>
      <c r="G17" s="34">
        <v>0</v>
      </c>
      <c r="H17" s="35">
        <v>0</v>
      </c>
      <c r="I17" s="8">
        <f t="shared" ref="I17" si="6">(IF(D17="SELL",E17-F17,IF(D17="BUY",F17-E17)))*C17</f>
        <v>-5000</v>
      </c>
      <c r="J17" s="8">
        <v>0</v>
      </c>
      <c r="K17" s="2">
        <v>0</v>
      </c>
      <c r="L17" s="8">
        <f t="shared" ref="L17" si="7">(J17+I17+K17)/C17</f>
        <v>-1</v>
      </c>
      <c r="M17" s="8">
        <f t="shared" ref="M17" si="8">L17*C17</f>
        <v>-5000</v>
      </c>
    </row>
    <row r="18" spans="1:13" ht="15.75" customHeight="1" x14ac:dyDescent="0.25">
      <c r="A18" s="24">
        <v>44224</v>
      </c>
      <c r="B18" s="29" t="s">
        <v>16</v>
      </c>
      <c r="C18" s="11">
        <v>100</v>
      </c>
      <c r="D18" s="11" t="s">
        <v>10</v>
      </c>
      <c r="E18" s="11">
        <v>3870</v>
      </c>
      <c r="F18" s="11">
        <v>3890</v>
      </c>
      <c r="G18" s="34">
        <v>0</v>
      </c>
      <c r="H18" s="35">
        <v>0</v>
      </c>
      <c r="I18" s="8">
        <f t="shared" ref="I18" si="9">(IF(D18="SELL",E18-F18,IF(D18="BUY",F18-E18)))*C18</f>
        <v>2000</v>
      </c>
      <c r="J18" s="8">
        <v>0</v>
      </c>
      <c r="K18" s="2">
        <v>0</v>
      </c>
      <c r="L18" s="8">
        <f t="shared" ref="L18" si="10">(J18+I18+K18)/C18</f>
        <v>20</v>
      </c>
      <c r="M18" s="8">
        <f t="shared" ref="M18" si="11">L18*C18</f>
        <v>2000</v>
      </c>
    </row>
    <row r="19" spans="1:13" ht="15.75" customHeight="1" x14ac:dyDescent="0.25">
      <c r="A19" s="24">
        <v>44224</v>
      </c>
      <c r="B19" s="29" t="s">
        <v>14</v>
      </c>
      <c r="C19" s="11">
        <v>30</v>
      </c>
      <c r="D19" s="11" t="s">
        <v>10</v>
      </c>
      <c r="E19" s="11">
        <v>66120</v>
      </c>
      <c r="F19" s="11">
        <v>66250</v>
      </c>
      <c r="G19" s="34">
        <v>66650</v>
      </c>
      <c r="H19" s="35">
        <v>0</v>
      </c>
      <c r="I19" s="8">
        <f t="shared" ref="I19" si="12">(IF(D19="SELL",E19-F19,IF(D19="BUY",F19-E19)))*C19</f>
        <v>3900</v>
      </c>
      <c r="J19" s="8">
        <f>C19*400</f>
        <v>12000</v>
      </c>
      <c r="K19" s="2">
        <v>0</v>
      </c>
      <c r="L19" s="8">
        <f t="shared" ref="L19" si="13">(J19+I19+K19)/C19</f>
        <v>530</v>
      </c>
      <c r="M19" s="8">
        <f t="shared" ref="M19" si="14">L19*C19</f>
        <v>15900</v>
      </c>
    </row>
    <row r="20" spans="1:13" ht="15.75" customHeight="1" x14ac:dyDescent="0.25">
      <c r="A20" s="24">
        <v>44224</v>
      </c>
      <c r="B20" s="29" t="s">
        <v>19</v>
      </c>
      <c r="C20" s="11">
        <v>100</v>
      </c>
      <c r="D20" s="11" t="s">
        <v>11</v>
      </c>
      <c r="E20" s="11">
        <v>48650</v>
      </c>
      <c r="F20" s="11">
        <v>48730</v>
      </c>
      <c r="G20" s="34">
        <v>0</v>
      </c>
      <c r="H20" s="35">
        <v>0</v>
      </c>
      <c r="I20" s="8">
        <f t="shared" ref="I20" si="15">(IF(D20="SELL",E20-F20,IF(D20="BUY",F20-E20)))*C20</f>
        <v>-8000</v>
      </c>
      <c r="J20" s="8">
        <v>0</v>
      </c>
      <c r="K20" s="2">
        <v>0</v>
      </c>
      <c r="L20" s="8">
        <f t="shared" ref="L20" si="16">(J20+I20+K20)/C20</f>
        <v>-80</v>
      </c>
      <c r="M20" s="8">
        <f t="shared" ref="M20" si="17">L20*C20</f>
        <v>-8000</v>
      </c>
    </row>
    <row r="21" spans="1:13" ht="15.75" customHeight="1" x14ac:dyDescent="0.25">
      <c r="A21" s="24">
        <v>44224</v>
      </c>
      <c r="B21" s="29" t="s">
        <v>18</v>
      </c>
      <c r="C21" s="11">
        <v>2500</v>
      </c>
      <c r="D21" s="11" t="s">
        <v>11</v>
      </c>
      <c r="E21" s="11">
        <v>593.6</v>
      </c>
      <c r="F21" s="11">
        <v>592.6</v>
      </c>
      <c r="G21" s="34">
        <v>590</v>
      </c>
      <c r="H21" s="35">
        <v>0</v>
      </c>
      <c r="I21" s="8">
        <f t="shared" ref="I21" si="18">(IF(D21="SELL",E21-F21,IF(D21="BUY",F21-E21)))*C21</f>
        <v>2500</v>
      </c>
      <c r="J21" s="8">
        <f>C21*2.6</f>
        <v>6500</v>
      </c>
      <c r="K21" s="2">
        <v>0</v>
      </c>
      <c r="L21" s="8">
        <f t="shared" ref="L21" si="19">(J21+I21+K21)/C21</f>
        <v>3.6</v>
      </c>
      <c r="M21" s="8">
        <f t="shared" ref="M21" si="20">L21*C21</f>
        <v>9000</v>
      </c>
    </row>
    <row r="22" spans="1:13" ht="15.75" customHeight="1" x14ac:dyDescent="0.25">
      <c r="A22" s="24">
        <v>44224</v>
      </c>
      <c r="B22" s="29" t="s">
        <v>52</v>
      </c>
      <c r="C22" s="11">
        <v>1250</v>
      </c>
      <c r="D22" s="11" t="s">
        <v>11</v>
      </c>
      <c r="E22" s="11">
        <v>196</v>
      </c>
      <c r="F22" s="11">
        <v>195</v>
      </c>
      <c r="G22" s="34">
        <v>192</v>
      </c>
      <c r="H22" s="35">
        <v>0</v>
      </c>
      <c r="I22" s="8">
        <f t="shared" ref="I22" si="21">(IF(D22="SELL",E22-F22,IF(D22="BUY",F22-E22)))*C22</f>
        <v>1250</v>
      </c>
      <c r="J22" s="8">
        <f>C22*3</f>
        <v>3750</v>
      </c>
      <c r="K22" s="2">
        <v>0</v>
      </c>
      <c r="L22" s="8">
        <f t="shared" ref="L22" si="22">(J22+I22+K22)/C22</f>
        <v>4</v>
      </c>
      <c r="M22" s="8">
        <f t="shared" ref="M22" si="23">L22*C22</f>
        <v>5000</v>
      </c>
    </row>
    <row r="23" spans="1:13" ht="15.75" customHeight="1" x14ac:dyDescent="0.25">
      <c r="A23" s="24">
        <v>44224</v>
      </c>
      <c r="B23" s="29" t="s">
        <v>14</v>
      </c>
      <c r="C23" s="11">
        <v>30</v>
      </c>
      <c r="D23" s="11" t="s">
        <v>11</v>
      </c>
      <c r="E23" s="11">
        <v>65680</v>
      </c>
      <c r="F23" s="11">
        <v>65580</v>
      </c>
      <c r="G23" s="34">
        <v>0</v>
      </c>
      <c r="H23" s="35">
        <v>0</v>
      </c>
      <c r="I23" s="8">
        <f t="shared" ref="I23" si="24">(IF(D23="SELL",E23-F23,IF(D23="BUY",F23-E23)))*C23</f>
        <v>3000</v>
      </c>
      <c r="J23" s="8">
        <v>0</v>
      </c>
      <c r="K23" s="2">
        <v>0</v>
      </c>
      <c r="L23" s="8">
        <f t="shared" ref="L23" si="25">(J23+I23+K23)/C23</f>
        <v>100</v>
      </c>
      <c r="M23" s="8">
        <f t="shared" ref="M23" si="26">L23*C23</f>
        <v>3000</v>
      </c>
    </row>
    <row r="24" spans="1:13" ht="15.75" customHeight="1" x14ac:dyDescent="0.25">
      <c r="A24" s="24">
        <v>44223</v>
      </c>
      <c r="B24" s="29" t="s">
        <v>21</v>
      </c>
      <c r="C24" s="11">
        <v>1500</v>
      </c>
      <c r="D24" s="11" t="s">
        <v>11</v>
      </c>
      <c r="E24" s="11">
        <v>1310</v>
      </c>
      <c r="F24" s="11">
        <v>1307</v>
      </c>
      <c r="G24" s="34">
        <v>1300</v>
      </c>
      <c r="H24" s="35">
        <v>0</v>
      </c>
      <c r="I24" s="8">
        <f t="shared" ref="I24" si="27">(IF(D24="SELL",E24-F24,IF(D24="BUY",F24-E24)))*C24</f>
        <v>4500</v>
      </c>
      <c r="J24" s="8">
        <f>C24*7</f>
        <v>10500</v>
      </c>
      <c r="K24" s="2">
        <v>0</v>
      </c>
      <c r="L24" s="8">
        <f t="shared" ref="L24" si="28">(J24+I24+K24)/C24</f>
        <v>10</v>
      </c>
      <c r="M24" s="8">
        <f t="shared" ref="M24" si="29">L24*C24</f>
        <v>15000</v>
      </c>
    </row>
    <row r="25" spans="1:13" ht="15.75" customHeight="1" x14ac:dyDescent="0.25">
      <c r="A25" s="24">
        <v>44223</v>
      </c>
      <c r="B25" s="29" t="s">
        <v>16</v>
      </c>
      <c r="C25" s="11">
        <v>100</v>
      </c>
      <c r="D25" s="11" t="s">
        <v>11</v>
      </c>
      <c r="E25" s="11">
        <v>3860</v>
      </c>
      <c r="F25" s="11">
        <v>3840</v>
      </c>
      <c r="G25" s="34">
        <v>3810</v>
      </c>
      <c r="H25" s="35">
        <v>0</v>
      </c>
      <c r="I25" s="8">
        <f t="shared" ref="I25" si="30">(IF(D25="SELL",E25-F25,IF(D25="BUY",F25-E25)))*C25</f>
        <v>2000</v>
      </c>
      <c r="J25" s="8">
        <f>C25*30</f>
        <v>3000</v>
      </c>
      <c r="K25" s="2">
        <v>0</v>
      </c>
      <c r="L25" s="8">
        <f t="shared" ref="L25" si="31">(J25+I25+K25)/C25</f>
        <v>50</v>
      </c>
      <c r="M25" s="8">
        <f t="shared" ref="M25" si="32">L25*C25</f>
        <v>5000</v>
      </c>
    </row>
    <row r="26" spans="1:13" ht="15.75" customHeight="1" x14ac:dyDescent="0.25">
      <c r="A26" s="24">
        <v>44223</v>
      </c>
      <c r="B26" s="29" t="s">
        <v>14</v>
      </c>
      <c r="C26" s="11">
        <v>30</v>
      </c>
      <c r="D26" s="11" t="s">
        <v>11</v>
      </c>
      <c r="E26" s="11">
        <v>66000</v>
      </c>
      <c r="F26" s="11">
        <v>65900</v>
      </c>
      <c r="G26" s="34">
        <v>65600</v>
      </c>
      <c r="H26" s="35">
        <v>0</v>
      </c>
      <c r="I26" s="8">
        <f t="shared" ref="I26" si="33">(IF(D26="SELL",E26-F26,IF(D26="BUY",F26-E26)))*C26</f>
        <v>3000</v>
      </c>
      <c r="J26" s="8">
        <f>C26*300</f>
        <v>9000</v>
      </c>
      <c r="K26" s="2">
        <v>0</v>
      </c>
      <c r="L26" s="8">
        <f t="shared" ref="L26" si="34">(J26+I26+K26)/C26</f>
        <v>400</v>
      </c>
      <c r="M26" s="8">
        <f t="shared" ref="M26" si="35">L26*C26</f>
        <v>12000</v>
      </c>
    </row>
    <row r="27" spans="1:13" ht="15.75" customHeight="1" x14ac:dyDescent="0.25">
      <c r="A27" s="24">
        <v>44223</v>
      </c>
      <c r="B27" s="29" t="s">
        <v>17</v>
      </c>
      <c r="C27" s="11">
        <v>5000</v>
      </c>
      <c r="D27" s="11" t="s">
        <v>11</v>
      </c>
      <c r="E27" s="11">
        <v>208.1</v>
      </c>
      <c r="F27" s="11">
        <v>207.6</v>
      </c>
      <c r="G27" s="34">
        <v>207</v>
      </c>
      <c r="H27" s="35">
        <v>0</v>
      </c>
      <c r="I27" s="8">
        <f t="shared" ref="I27" si="36">(IF(D27="SELL",E27-F27,IF(D27="BUY",F27-E27)))*C27</f>
        <v>2500</v>
      </c>
      <c r="J27" s="8">
        <f>C27*0.7</f>
        <v>3500</v>
      </c>
      <c r="K27" s="2">
        <v>0</v>
      </c>
      <c r="L27" s="8">
        <f t="shared" ref="L27" si="37">(J27+I27+K27)/C27</f>
        <v>1.2</v>
      </c>
      <c r="M27" s="8">
        <f t="shared" ref="M27" si="38">L27*C27</f>
        <v>6000</v>
      </c>
    </row>
    <row r="28" spans="1:13" ht="15.75" customHeight="1" x14ac:dyDescent="0.25">
      <c r="A28" s="24">
        <v>44223</v>
      </c>
      <c r="B28" s="29" t="s">
        <v>19</v>
      </c>
      <c r="C28" s="11">
        <v>100</v>
      </c>
      <c r="D28" s="11" t="s">
        <v>11</v>
      </c>
      <c r="E28" s="11">
        <v>48800</v>
      </c>
      <c r="F28" s="11">
        <v>48750</v>
      </c>
      <c r="G28" s="34">
        <v>48650</v>
      </c>
      <c r="H28" s="35">
        <v>0</v>
      </c>
      <c r="I28" s="8">
        <f t="shared" ref="I28" si="39">(IF(D28="SELL",E28-F28,IF(D28="BUY",F28-E28)))*C28</f>
        <v>5000</v>
      </c>
      <c r="J28" s="8">
        <f>C28*100</f>
        <v>10000</v>
      </c>
      <c r="K28" s="2">
        <v>0</v>
      </c>
      <c r="L28" s="8">
        <f t="shared" ref="L28" si="40">(J28+I28+K28)/C28</f>
        <v>150</v>
      </c>
      <c r="M28" s="8">
        <f t="shared" ref="M28" si="41">L28*C28</f>
        <v>15000</v>
      </c>
    </row>
    <row r="29" spans="1:13" ht="15.75" customHeight="1" x14ac:dyDescent="0.25">
      <c r="A29" s="24">
        <v>44223</v>
      </c>
      <c r="B29" s="29" t="s">
        <v>75</v>
      </c>
      <c r="C29" s="11">
        <v>1250</v>
      </c>
      <c r="D29" s="11" t="s">
        <v>10</v>
      </c>
      <c r="E29" s="11">
        <v>193.2</v>
      </c>
      <c r="F29" s="11">
        <v>194.5</v>
      </c>
      <c r="G29" s="34">
        <v>198</v>
      </c>
      <c r="H29" s="35">
        <v>0</v>
      </c>
      <c r="I29" s="8">
        <f t="shared" ref="I29" si="42">(IF(D29="SELL",E29-F29,IF(D29="BUY",F29-E29)))*C29</f>
        <v>1625.0000000000141</v>
      </c>
      <c r="J29" s="8">
        <f>C29*3.5</f>
        <v>4375</v>
      </c>
      <c r="K29" s="2">
        <v>0</v>
      </c>
      <c r="L29" s="8">
        <f t="shared" ref="L29" si="43">(J29+I29+K29)/C29</f>
        <v>4.8000000000000114</v>
      </c>
      <c r="M29" s="8">
        <f t="shared" ref="M29" si="44">L29*C29</f>
        <v>6000.0000000000146</v>
      </c>
    </row>
    <row r="30" spans="1:13" ht="15.75" customHeight="1" x14ac:dyDescent="0.25">
      <c r="A30" s="24">
        <v>44221</v>
      </c>
      <c r="B30" s="29" t="s">
        <v>16</v>
      </c>
      <c r="C30" s="11">
        <v>100</v>
      </c>
      <c r="D30" s="11" t="s">
        <v>11</v>
      </c>
      <c r="E30" s="11">
        <v>3825</v>
      </c>
      <c r="F30" s="11">
        <v>3805</v>
      </c>
      <c r="G30" s="34">
        <v>0</v>
      </c>
      <c r="H30" s="35">
        <v>0</v>
      </c>
      <c r="I30" s="8">
        <f t="shared" ref="I30" si="45">(IF(D30="SELL",E30-F30,IF(D30="BUY",F30-E30)))*C30</f>
        <v>2000</v>
      </c>
      <c r="J30" s="8">
        <v>0</v>
      </c>
      <c r="K30" s="2">
        <v>0</v>
      </c>
      <c r="L30" s="8">
        <f t="shared" ref="L30" si="46">(J30+I30+K30)/C30</f>
        <v>20</v>
      </c>
      <c r="M30" s="8">
        <f t="shared" ref="M30" si="47">L30*C30</f>
        <v>2000</v>
      </c>
    </row>
    <row r="31" spans="1:13" ht="15.75" customHeight="1" x14ac:dyDescent="0.25">
      <c r="A31" s="24">
        <v>44221</v>
      </c>
      <c r="B31" s="29" t="s">
        <v>17</v>
      </c>
      <c r="C31" s="11">
        <v>5000</v>
      </c>
      <c r="D31" s="11" t="s">
        <v>11</v>
      </c>
      <c r="E31" s="11">
        <v>215.1</v>
      </c>
      <c r="F31" s="11">
        <v>214.6</v>
      </c>
      <c r="G31" s="34">
        <v>213.5</v>
      </c>
      <c r="H31" s="35">
        <v>0</v>
      </c>
      <c r="I31" s="8">
        <f t="shared" ref="I31" si="48">(IF(D31="SELL",E31-F31,IF(D31="BUY",F31-E31)))*C31</f>
        <v>2500</v>
      </c>
      <c r="J31" s="8">
        <f>C31*1.1</f>
        <v>5500</v>
      </c>
      <c r="K31" s="2">
        <v>0</v>
      </c>
      <c r="L31" s="8">
        <f t="shared" ref="L31" si="49">(J31+I31+K31)/C31</f>
        <v>1.6</v>
      </c>
      <c r="M31" s="8">
        <f t="shared" ref="M31" si="50">L31*C31</f>
        <v>8000</v>
      </c>
    </row>
    <row r="32" spans="1:13" ht="15.75" customHeight="1" x14ac:dyDescent="0.25">
      <c r="A32" s="24">
        <v>44221</v>
      </c>
      <c r="B32" s="29" t="s">
        <v>19</v>
      </c>
      <c r="C32" s="11">
        <v>100</v>
      </c>
      <c r="D32" s="11" t="s">
        <v>11</v>
      </c>
      <c r="E32" s="11">
        <v>49200</v>
      </c>
      <c r="F32" s="11">
        <v>49280</v>
      </c>
      <c r="G32" s="34">
        <v>0</v>
      </c>
      <c r="H32" s="35">
        <v>0</v>
      </c>
      <c r="I32" s="8">
        <f t="shared" ref="I32" si="51">(IF(D32="SELL",E32-F32,IF(D32="BUY",F32-E32)))*C32</f>
        <v>-8000</v>
      </c>
      <c r="J32" s="8">
        <v>0</v>
      </c>
      <c r="K32" s="2">
        <v>0</v>
      </c>
      <c r="L32" s="8">
        <f t="shared" ref="L32" si="52">(J32+I32+K32)/C32</f>
        <v>-80</v>
      </c>
      <c r="M32" s="8">
        <f t="shared" ref="M32" si="53">L32*C32</f>
        <v>-8000</v>
      </c>
    </row>
    <row r="33" spans="1:13" ht="15.75" customHeight="1" x14ac:dyDescent="0.25">
      <c r="A33" s="24">
        <v>44221</v>
      </c>
      <c r="B33" s="29" t="s">
        <v>76</v>
      </c>
      <c r="C33" s="11">
        <v>1250</v>
      </c>
      <c r="D33" s="11" t="s">
        <v>11</v>
      </c>
      <c r="E33" s="11">
        <v>184</v>
      </c>
      <c r="F33" s="11">
        <v>183</v>
      </c>
      <c r="G33" s="34">
        <v>0</v>
      </c>
      <c r="H33" s="35">
        <v>0</v>
      </c>
      <c r="I33" s="8">
        <f t="shared" ref="I33" si="54">(IF(D33="SELL",E33-F33,IF(D33="BUY",F33-E33)))*C33</f>
        <v>1250</v>
      </c>
      <c r="J33" s="8">
        <v>0</v>
      </c>
      <c r="K33" s="2">
        <v>0</v>
      </c>
      <c r="L33" s="8">
        <f t="shared" ref="L33" si="55">(J33+I33+K33)/C33</f>
        <v>1</v>
      </c>
      <c r="M33" s="8">
        <f t="shared" ref="M33" si="56">L33*C33</f>
        <v>1250</v>
      </c>
    </row>
    <row r="34" spans="1:13" ht="15.75" customHeight="1" x14ac:dyDescent="0.25">
      <c r="A34" s="24">
        <v>44221</v>
      </c>
      <c r="B34" s="29" t="s">
        <v>14</v>
      </c>
      <c r="C34" s="11">
        <v>30</v>
      </c>
      <c r="D34" s="11" t="s">
        <v>10</v>
      </c>
      <c r="E34" s="11">
        <v>66880</v>
      </c>
      <c r="F34" s="11">
        <v>67000</v>
      </c>
      <c r="G34" s="34">
        <v>0</v>
      </c>
      <c r="H34" s="35">
        <v>0</v>
      </c>
      <c r="I34" s="8">
        <f t="shared" ref="I34" si="57">(IF(D34="SELL",E34-F34,IF(D34="BUY",F34-E34)))*C34</f>
        <v>3600</v>
      </c>
      <c r="J34" s="8">
        <v>0</v>
      </c>
      <c r="K34" s="2">
        <v>0</v>
      </c>
      <c r="L34" s="8">
        <f t="shared" ref="L34" si="58">(J34+I34+K34)/C34</f>
        <v>120</v>
      </c>
      <c r="M34" s="8">
        <f t="shared" ref="M34" si="59">L34*C34</f>
        <v>3600</v>
      </c>
    </row>
    <row r="35" spans="1:13" ht="15.75" customHeight="1" x14ac:dyDescent="0.25">
      <c r="A35" s="24">
        <v>44218</v>
      </c>
      <c r="B35" s="29" t="s">
        <v>14</v>
      </c>
      <c r="C35" s="11">
        <v>30</v>
      </c>
      <c r="D35" s="11" t="s">
        <v>11</v>
      </c>
      <c r="E35" s="11">
        <v>65700</v>
      </c>
      <c r="F35" s="11">
        <v>65600</v>
      </c>
      <c r="G35" s="34">
        <v>0</v>
      </c>
      <c r="H35" s="35">
        <v>0</v>
      </c>
      <c r="I35" s="8">
        <f t="shared" ref="I35" si="60">(IF(D35="SELL",E35-F35,IF(D35="BUY",F35-E35)))*C35</f>
        <v>3000</v>
      </c>
      <c r="J35" s="8">
        <v>0</v>
      </c>
      <c r="K35" s="2">
        <v>0</v>
      </c>
      <c r="L35" s="8">
        <f t="shared" ref="L35" si="61">(J35+I35+K35)/C35</f>
        <v>100</v>
      </c>
      <c r="M35" s="8">
        <f t="shared" ref="M35" si="62">L35*C35</f>
        <v>3000</v>
      </c>
    </row>
    <row r="36" spans="1:13" ht="15.75" customHeight="1" x14ac:dyDescent="0.25">
      <c r="A36" s="24">
        <v>44218</v>
      </c>
      <c r="B36" s="29" t="s">
        <v>16</v>
      </c>
      <c r="C36" s="11">
        <v>100</v>
      </c>
      <c r="D36" s="11" t="s">
        <v>11</v>
      </c>
      <c r="E36" s="11">
        <v>3785</v>
      </c>
      <c r="F36" s="11">
        <v>3825</v>
      </c>
      <c r="G36" s="34">
        <v>0</v>
      </c>
      <c r="H36" s="35">
        <v>0</v>
      </c>
      <c r="I36" s="8">
        <f t="shared" ref="I36" si="63">(IF(D36="SELL",E36-F36,IF(D36="BUY",F36-E36)))*C36</f>
        <v>-4000</v>
      </c>
      <c r="J36" s="8">
        <v>0</v>
      </c>
      <c r="K36" s="2">
        <v>0</v>
      </c>
      <c r="L36" s="8">
        <f t="shared" ref="L36" si="64">(J36+I36+K36)/C36</f>
        <v>-40</v>
      </c>
      <c r="M36" s="8">
        <f t="shared" ref="M36" si="65">L36*C36</f>
        <v>-4000</v>
      </c>
    </row>
    <row r="37" spans="1:13" ht="15.75" customHeight="1" x14ac:dyDescent="0.25">
      <c r="A37" s="24">
        <v>44218</v>
      </c>
      <c r="B37" s="29" t="s">
        <v>14</v>
      </c>
      <c r="C37" s="11">
        <v>30</v>
      </c>
      <c r="D37" s="11" t="s">
        <v>11</v>
      </c>
      <c r="E37" s="11">
        <v>66030</v>
      </c>
      <c r="F37" s="11">
        <v>65900</v>
      </c>
      <c r="G37" s="34">
        <v>65700</v>
      </c>
      <c r="H37" s="35">
        <v>0</v>
      </c>
      <c r="I37" s="8">
        <f t="shared" ref="I37" si="66">(IF(D37="SELL",E37-F37,IF(D37="BUY",F37-E37)))*C37</f>
        <v>3900</v>
      </c>
      <c r="J37" s="8">
        <f>C37*200</f>
        <v>6000</v>
      </c>
      <c r="K37" s="2">
        <v>0</v>
      </c>
      <c r="L37" s="8">
        <f t="shared" ref="L37" si="67">(J37+I37+K37)/C37</f>
        <v>330</v>
      </c>
      <c r="M37" s="8">
        <f t="shared" ref="M37" si="68">L37*C37</f>
        <v>9900</v>
      </c>
    </row>
    <row r="38" spans="1:13" ht="15.75" customHeight="1" x14ac:dyDescent="0.25">
      <c r="A38" s="24">
        <v>44218</v>
      </c>
      <c r="B38" s="29" t="s">
        <v>21</v>
      </c>
      <c r="C38" s="11">
        <v>1500</v>
      </c>
      <c r="D38" s="11" t="s">
        <v>11</v>
      </c>
      <c r="E38" s="11">
        <v>1310</v>
      </c>
      <c r="F38" s="11">
        <v>1307</v>
      </c>
      <c r="G38" s="34">
        <v>0</v>
      </c>
      <c r="H38" s="35">
        <v>0</v>
      </c>
      <c r="I38" s="8">
        <f t="shared" ref="I38" si="69">(IF(D38="SELL",E38-F38,IF(D38="BUY",F38-E38)))*C38</f>
        <v>4500</v>
      </c>
      <c r="J38" s="8">
        <v>0</v>
      </c>
      <c r="K38" s="2">
        <v>0</v>
      </c>
      <c r="L38" s="8">
        <f t="shared" ref="L38" si="70">(J38+I38+K38)/C38</f>
        <v>3</v>
      </c>
      <c r="M38" s="8">
        <f t="shared" ref="M38" si="71">L38*C38</f>
        <v>4500</v>
      </c>
    </row>
    <row r="39" spans="1:13" ht="15.75" customHeight="1" x14ac:dyDescent="0.25">
      <c r="A39" s="24">
        <v>44218</v>
      </c>
      <c r="B39" s="29" t="s">
        <v>19</v>
      </c>
      <c r="C39" s="11">
        <v>100</v>
      </c>
      <c r="D39" s="11" t="s">
        <v>11</v>
      </c>
      <c r="E39" s="11">
        <v>49210</v>
      </c>
      <c r="F39" s="11">
        <v>49150</v>
      </c>
      <c r="G39" s="34">
        <v>49000</v>
      </c>
      <c r="H39" s="35">
        <v>0</v>
      </c>
      <c r="I39" s="8">
        <f t="shared" ref="I39" si="72">(IF(D39="SELL",E39-F39,IF(D39="BUY",F39-E39)))*C39</f>
        <v>6000</v>
      </c>
      <c r="J39" s="8">
        <f>C39*150</f>
        <v>15000</v>
      </c>
      <c r="K39" s="2">
        <v>0</v>
      </c>
      <c r="L39" s="8">
        <f t="shared" ref="L39" si="73">(J39+I39+K39)/C39</f>
        <v>210</v>
      </c>
      <c r="M39" s="8">
        <f t="shared" ref="M39" si="74">L39*C39</f>
        <v>21000</v>
      </c>
    </row>
    <row r="40" spans="1:13" ht="15.75" customHeight="1" x14ac:dyDescent="0.25">
      <c r="A40" s="24">
        <v>44218</v>
      </c>
      <c r="B40" s="29" t="s">
        <v>18</v>
      </c>
      <c r="C40" s="11">
        <v>2500</v>
      </c>
      <c r="D40" s="11" t="s">
        <v>11</v>
      </c>
      <c r="E40" s="11">
        <v>608.20000000000005</v>
      </c>
      <c r="F40" s="11">
        <v>607</v>
      </c>
      <c r="G40" s="34">
        <v>0</v>
      </c>
      <c r="H40" s="35">
        <v>0</v>
      </c>
      <c r="I40" s="8">
        <f t="shared" ref="I40" si="75">(IF(D40="SELL",E40-F40,IF(D40="BUY",F40-E40)))*C40</f>
        <v>3000.0000000001137</v>
      </c>
      <c r="J40" s="8">
        <v>0</v>
      </c>
      <c r="K40" s="2">
        <v>0</v>
      </c>
      <c r="L40" s="8">
        <f t="shared" ref="L40" si="76">(J40+I40+K40)/C40</f>
        <v>1.2000000000000455</v>
      </c>
      <c r="M40" s="8">
        <f t="shared" ref="M40" si="77">L40*C40</f>
        <v>3000.0000000001137</v>
      </c>
    </row>
    <row r="41" spans="1:13" ht="15.75" customHeight="1" x14ac:dyDescent="0.25">
      <c r="A41" s="24">
        <v>44218</v>
      </c>
      <c r="B41" s="29" t="s">
        <v>80</v>
      </c>
      <c r="C41" s="11">
        <v>1250</v>
      </c>
      <c r="D41" s="11" t="s">
        <v>11</v>
      </c>
      <c r="E41" s="11">
        <v>180.2</v>
      </c>
      <c r="F41" s="11">
        <v>179</v>
      </c>
      <c r="G41" s="34">
        <v>0</v>
      </c>
      <c r="H41" s="35">
        <v>0</v>
      </c>
      <c r="I41" s="8">
        <f t="shared" ref="I41" si="78">(IF(D41="SELL",E41-F41,IF(D41="BUY",F41-E41)))*C41</f>
        <v>1499.9999999999859</v>
      </c>
      <c r="J41" s="8">
        <v>0</v>
      </c>
      <c r="K41" s="2">
        <v>0</v>
      </c>
      <c r="L41" s="8">
        <f t="shared" ref="L41" si="79">(J41+I41+K41)/C41</f>
        <v>1.1999999999999886</v>
      </c>
      <c r="M41" s="8">
        <f t="shared" ref="M41" si="80">L41*C41</f>
        <v>1499.9999999999859</v>
      </c>
    </row>
    <row r="42" spans="1:13" ht="15.75" customHeight="1" x14ac:dyDescent="0.25">
      <c r="A42" s="24">
        <v>44217</v>
      </c>
      <c r="B42" s="29" t="s">
        <v>19</v>
      </c>
      <c r="C42" s="11">
        <v>100</v>
      </c>
      <c r="D42" s="11" t="s">
        <v>10</v>
      </c>
      <c r="E42" s="11">
        <v>49580</v>
      </c>
      <c r="F42" s="11">
        <v>49490</v>
      </c>
      <c r="G42" s="34">
        <v>0</v>
      </c>
      <c r="H42" s="35">
        <v>0</v>
      </c>
      <c r="I42" s="8">
        <f t="shared" ref="I42" si="81">(IF(D42="SELL",E42-F42,IF(D42="BUY",F42-E42)))*C42</f>
        <v>-9000</v>
      </c>
      <c r="J42" s="8">
        <v>0</v>
      </c>
      <c r="K42" s="2">
        <v>0</v>
      </c>
      <c r="L42" s="8">
        <f t="shared" ref="L42" si="82">(J42+I42+K42)/C42</f>
        <v>-90</v>
      </c>
      <c r="M42" s="8">
        <f t="shared" ref="M42" si="83">L42*C42</f>
        <v>-9000</v>
      </c>
    </row>
    <row r="43" spans="1:13" ht="15.75" customHeight="1" x14ac:dyDescent="0.25">
      <c r="A43" s="24">
        <v>44217</v>
      </c>
      <c r="B43" s="29" t="s">
        <v>16</v>
      </c>
      <c r="C43" s="11">
        <v>100</v>
      </c>
      <c r="D43" s="11" t="s">
        <v>10</v>
      </c>
      <c r="E43" s="11">
        <v>3885</v>
      </c>
      <c r="F43" s="11">
        <v>3905</v>
      </c>
      <c r="G43" s="34">
        <v>0</v>
      </c>
      <c r="H43" s="35">
        <v>0</v>
      </c>
      <c r="I43" s="8">
        <f t="shared" ref="I43" si="84">(IF(D43="SELL",E43-F43,IF(D43="BUY",F43-E43)))*C43</f>
        <v>2000</v>
      </c>
      <c r="J43" s="8">
        <v>0</v>
      </c>
      <c r="K43" s="2">
        <v>0</v>
      </c>
      <c r="L43" s="8">
        <f t="shared" ref="L43" si="85">(J43+I43+K43)/C43</f>
        <v>20</v>
      </c>
      <c r="M43" s="8">
        <f t="shared" ref="M43" si="86">L43*C43</f>
        <v>2000</v>
      </c>
    </row>
    <row r="44" spans="1:13" ht="15.75" customHeight="1" x14ac:dyDescent="0.25">
      <c r="A44" s="24">
        <v>44217</v>
      </c>
      <c r="B44" s="29" t="s">
        <v>76</v>
      </c>
      <c r="C44" s="11">
        <v>1250</v>
      </c>
      <c r="D44" s="11" t="s">
        <v>11</v>
      </c>
      <c r="E44" s="11">
        <v>180.5</v>
      </c>
      <c r="F44" s="11">
        <v>183</v>
      </c>
      <c r="G44" s="34">
        <v>0</v>
      </c>
      <c r="H44" s="35">
        <v>0</v>
      </c>
      <c r="I44" s="8">
        <f t="shared" ref="I44" si="87">(IF(D44="SELL",E44-F44,IF(D44="BUY",F44-E44)))*C44</f>
        <v>-3125</v>
      </c>
      <c r="J44" s="8">
        <v>0</v>
      </c>
      <c r="K44" s="2">
        <v>0</v>
      </c>
      <c r="L44" s="8">
        <f t="shared" ref="L44" si="88">(J44+I44+K44)/C44</f>
        <v>-2.5</v>
      </c>
      <c r="M44" s="8">
        <f t="shared" ref="M44" si="89">L44*C44</f>
        <v>-3125</v>
      </c>
    </row>
    <row r="45" spans="1:13" ht="15.75" customHeight="1" x14ac:dyDescent="0.25">
      <c r="A45" s="24">
        <v>44217</v>
      </c>
      <c r="B45" s="29" t="s">
        <v>17</v>
      </c>
      <c r="C45" s="11">
        <v>5000</v>
      </c>
      <c r="D45" s="11" t="s">
        <v>10</v>
      </c>
      <c r="E45" s="11">
        <v>219.7</v>
      </c>
      <c r="F45" s="11">
        <v>218.7</v>
      </c>
      <c r="G45" s="34">
        <v>0</v>
      </c>
      <c r="H45" s="35">
        <v>0</v>
      </c>
      <c r="I45" s="8">
        <f t="shared" ref="I45" si="90">(IF(D45="SELL",E45-F45,IF(D45="BUY",F45-E45)))*C45</f>
        <v>-5000</v>
      </c>
      <c r="J45" s="8">
        <v>0</v>
      </c>
      <c r="K45" s="2">
        <v>0</v>
      </c>
      <c r="L45" s="8">
        <f t="shared" ref="L45" si="91">(J45+I45+K45)/C45</f>
        <v>-1</v>
      </c>
      <c r="M45" s="8">
        <f t="shared" ref="M45" si="92">L45*C45</f>
        <v>-5000</v>
      </c>
    </row>
    <row r="46" spans="1:13" ht="15.75" customHeight="1" x14ac:dyDescent="0.25">
      <c r="A46" s="24">
        <v>44217</v>
      </c>
      <c r="B46" s="29" t="s">
        <v>19</v>
      </c>
      <c r="C46" s="11">
        <v>100</v>
      </c>
      <c r="D46" s="11" t="s">
        <v>10</v>
      </c>
      <c r="E46" s="11">
        <v>49760</v>
      </c>
      <c r="F46" s="11">
        <v>49630</v>
      </c>
      <c r="G46" s="34">
        <v>0</v>
      </c>
      <c r="H46" s="35">
        <v>0</v>
      </c>
      <c r="I46" s="8">
        <f t="shared" ref="I46" si="93">(IF(D46="SELL",E46-F46,IF(D46="BUY",F46-E46)))*C46</f>
        <v>-13000</v>
      </c>
      <c r="J46" s="8">
        <v>0</v>
      </c>
      <c r="K46" s="2">
        <v>0</v>
      </c>
      <c r="L46" s="8">
        <f t="shared" ref="L46" si="94">(J46+I46+K46)/C46</f>
        <v>-130</v>
      </c>
      <c r="M46" s="8">
        <f t="shared" ref="M46" si="95">L46*C46</f>
        <v>-13000</v>
      </c>
    </row>
    <row r="47" spans="1:13" ht="15.75" customHeight="1" x14ac:dyDescent="0.25">
      <c r="A47" s="24">
        <v>44217</v>
      </c>
      <c r="B47" s="29" t="s">
        <v>14</v>
      </c>
      <c r="C47" s="11">
        <v>30</v>
      </c>
      <c r="D47" s="11" t="s">
        <v>10</v>
      </c>
      <c r="E47" s="11">
        <v>67550</v>
      </c>
      <c r="F47" s="11">
        <v>67650</v>
      </c>
      <c r="G47" s="34">
        <v>67800</v>
      </c>
      <c r="H47" s="35">
        <v>0</v>
      </c>
      <c r="I47" s="8">
        <f t="shared" ref="I47" si="96">(IF(D47="SELL",E47-F47,IF(D47="BUY",F47-E47)))*C47</f>
        <v>3000</v>
      </c>
      <c r="J47" s="8">
        <f>C47*150</f>
        <v>4500</v>
      </c>
      <c r="K47" s="2">
        <v>0</v>
      </c>
      <c r="L47" s="8">
        <f t="shared" ref="L47" si="97">(J47+I47+K47)/C47</f>
        <v>250</v>
      </c>
      <c r="M47" s="8">
        <f t="shared" ref="M47" si="98">L47*C47</f>
        <v>7500</v>
      </c>
    </row>
    <row r="48" spans="1:13" ht="15.75" customHeight="1" x14ac:dyDescent="0.25">
      <c r="A48" s="24">
        <v>44216</v>
      </c>
      <c r="B48" s="29" t="s">
        <v>17</v>
      </c>
      <c r="C48" s="11">
        <v>5000</v>
      </c>
      <c r="D48" s="11" t="s">
        <v>11</v>
      </c>
      <c r="E48" s="11">
        <v>217.4</v>
      </c>
      <c r="F48" s="11">
        <v>216.9</v>
      </c>
      <c r="G48" s="34">
        <v>0</v>
      </c>
      <c r="H48" s="35">
        <v>0</v>
      </c>
      <c r="I48" s="8">
        <f t="shared" ref="I48" si="99">(IF(D48="SELL",E48-F48,IF(D48="BUY",F48-E48)))*C48</f>
        <v>2500</v>
      </c>
      <c r="J48" s="8">
        <v>0</v>
      </c>
      <c r="K48" s="2">
        <v>0</v>
      </c>
      <c r="L48" s="8">
        <f t="shared" ref="L48" si="100">(J48+I48+K48)/C48</f>
        <v>0.5</v>
      </c>
      <c r="M48" s="8">
        <f t="shared" ref="M48" si="101">L48*C48</f>
        <v>2500</v>
      </c>
    </row>
    <row r="49" spans="1:13" ht="15.75" customHeight="1" x14ac:dyDescent="0.25">
      <c r="A49" s="24">
        <v>44216</v>
      </c>
      <c r="B49" s="29" t="s">
        <v>18</v>
      </c>
      <c r="C49" s="11">
        <v>2500</v>
      </c>
      <c r="D49" s="11" t="s">
        <v>11</v>
      </c>
      <c r="E49" s="11">
        <v>610.5</v>
      </c>
      <c r="F49" s="11">
        <v>609.5</v>
      </c>
      <c r="G49" s="34">
        <v>0</v>
      </c>
      <c r="H49" s="35">
        <v>0</v>
      </c>
      <c r="I49" s="8">
        <f t="shared" ref="I49" si="102">(IF(D49="SELL",E49-F49,IF(D49="BUY",F49-E49)))*C49</f>
        <v>2500</v>
      </c>
      <c r="J49" s="8">
        <v>0</v>
      </c>
      <c r="K49" s="2">
        <v>0</v>
      </c>
      <c r="L49" s="8">
        <f t="shared" ref="L49" si="103">(J49+I49+K49)/C49</f>
        <v>1</v>
      </c>
      <c r="M49" s="8">
        <f t="shared" ref="M49" si="104">L49*C49</f>
        <v>2500</v>
      </c>
    </row>
    <row r="50" spans="1:13" ht="15.75" customHeight="1" x14ac:dyDescent="0.25">
      <c r="A50" s="24">
        <v>44216</v>
      </c>
      <c r="B50" s="29" t="s">
        <v>19</v>
      </c>
      <c r="C50" s="11">
        <v>100</v>
      </c>
      <c r="D50" s="11" t="s">
        <v>11</v>
      </c>
      <c r="E50" s="11">
        <v>49090</v>
      </c>
      <c r="F50" s="11">
        <v>49040</v>
      </c>
      <c r="G50" s="34">
        <v>49850</v>
      </c>
      <c r="H50" s="35">
        <v>0</v>
      </c>
      <c r="I50" s="8">
        <f t="shared" ref="I50" si="105">(IF(D50="SELL",E50-F50,IF(D50="BUY",F50-E50)))*C50</f>
        <v>5000</v>
      </c>
      <c r="J50" s="8">
        <f>C50*190</f>
        <v>19000</v>
      </c>
      <c r="K50" s="2">
        <v>0</v>
      </c>
      <c r="L50" s="8">
        <f t="shared" ref="L50" si="106">(J50+I50+K50)/C50</f>
        <v>240</v>
      </c>
      <c r="M50" s="8">
        <f t="shared" ref="M50" si="107">L50*C50</f>
        <v>24000</v>
      </c>
    </row>
    <row r="51" spans="1:13" ht="15.75" customHeight="1" x14ac:dyDescent="0.25">
      <c r="A51" s="24">
        <v>44216</v>
      </c>
      <c r="B51" s="29" t="s">
        <v>14</v>
      </c>
      <c r="C51" s="11">
        <v>30</v>
      </c>
      <c r="D51" s="11" t="s">
        <v>11</v>
      </c>
      <c r="E51" s="11">
        <v>66000</v>
      </c>
      <c r="F51" s="11">
        <v>65900</v>
      </c>
      <c r="G51" s="34">
        <v>65700</v>
      </c>
      <c r="H51" s="35">
        <v>0</v>
      </c>
      <c r="I51" s="8">
        <f t="shared" ref="I51" si="108">(IF(D51="SELL",E51-F51,IF(D51="BUY",F51-E51)))*C51</f>
        <v>3000</v>
      </c>
      <c r="J51" s="8">
        <f>C51*200</f>
        <v>6000</v>
      </c>
      <c r="K51" s="2">
        <v>0</v>
      </c>
      <c r="L51" s="8">
        <f t="shared" ref="L51" si="109">(J51+I51+K51)/C51</f>
        <v>300</v>
      </c>
      <c r="M51" s="8">
        <f t="shared" ref="M51" si="110">L51*C51</f>
        <v>9000</v>
      </c>
    </row>
    <row r="52" spans="1:13" ht="15.75" customHeight="1" x14ac:dyDescent="0.25">
      <c r="A52" s="24">
        <v>44216</v>
      </c>
      <c r="B52" s="29" t="s">
        <v>16</v>
      </c>
      <c r="C52" s="11">
        <v>100</v>
      </c>
      <c r="D52" s="11" t="s">
        <v>10</v>
      </c>
      <c r="E52" s="11">
        <v>3935</v>
      </c>
      <c r="F52" s="11">
        <v>3895</v>
      </c>
      <c r="G52" s="34">
        <v>0</v>
      </c>
      <c r="H52" s="35">
        <v>0</v>
      </c>
      <c r="I52" s="8">
        <f t="shared" ref="I52" si="111">(IF(D52="SELL",E52-F52,IF(D52="BUY",F52-E52)))*C52</f>
        <v>-4000</v>
      </c>
      <c r="J52" s="8">
        <v>0</v>
      </c>
      <c r="K52" s="2">
        <v>0</v>
      </c>
      <c r="L52" s="8">
        <f t="shared" ref="L52" si="112">(J52+I52+K52)/C52</f>
        <v>-40</v>
      </c>
      <c r="M52" s="8">
        <f t="shared" ref="M52" si="113">L52*C52</f>
        <v>-4000</v>
      </c>
    </row>
    <row r="53" spans="1:13" ht="15.75" customHeight="1" x14ac:dyDescent="0.25">
      <c r="A53" s="24">
        <v>44216</v>
      </c>
      <c r="B53" s="29" t="s">
        <v>79</v>
      </c>
      <c r="C53" s="11">
        <v>1250</v>
      </c>
      <c r="D53" s="11" t="s">
        <v>11</v>
      </c>
      <c r="E53" s="11">
        <v>182</v>
      </c>
      <c r="F53" s="11">
        <v>181</v>
      </c>
      <c r="G53" s="34">
        <v>0</v>
      </c>
      <c r="H53" s="35">
        <v>0</v>
      </c>
      <c r="I53" s="8">
        <f t="shared" ref="I53" si="114">(IF(D53="SELL",E53-F53,IF(D53="BUY",F53-E53)))*C53</f>
        <v>1250</v>
      </c>
      <c r="J53" s="8">
        <v>0</v>
      </c>
      <c r="K53" s="2">
        <v>0</v>
      </c>
      <c r="L53" s="8">
        <f t="shared" ref="L53" si="115">(J53+I53+K53)/C53</f>
        <v>1</v>
      </c>
      <c r="M53" s="8">
        <f t="shared" ref="M53" si="116">L53*C53</f>
        <v>1250</v>
      </c>
    </row>
    <row r="54" spans="1:13" ht="15.75" customHeight="1" x14ac:dyDescent="0.25">
      <c r="A54" s="24">
        <v>44216</v>
      </c>
      <c r="B54" s="29" t="s">
        <v>19</v>
      </c>
      <c r="C54" s="11">
        <v>100</v>
      </c>
      <c r="D54" s="11" t="s">
        <v>10</v>
      </c>
      <c r="E54" s="11">
        <v>49200</v>
      </c>
      <c r="F54" s="11">
        <v>49250</v>
      </c>
      <c r="G54" s="34">
        <v>0</v>
      </c>
      <c r="H54" s="35">
        <v>0</v>
      </c>
      <c r="I54" s="8">
        <f t="shared" ref="I54" si="117">(IF(D54="SELL",E54-F54,IF(D54="BUY",F54-E54)))*C54</f>
        <v>5000</v>
      </c>
      <c r="J54" s="8">
        <v>0</v>
      </c>
      <c r="K54" s="2">
        <v>0</v>
      </c>
      <c r="L54" s="8">
        <f t="shared" ref="L54" si="118">(J54+I54+K54)/C54</f>
        <v>50</v>
      </c>
      <c r="M54" s="8">
        <f t="shared" ref="M54" si="119">L54*C54</f>
        <v>5000</v>
      </c>
    </row>
    <row r="55" spans="1:13" ht="15.75" customHeight="1" x14ac:dyDescent="0.25">
      <c r="A55" s="24">
        <v>44216</v>
      </c>
      <c r="B55" s="29" t="s">
        <v>14</v>
      </c>
      <c r="C55" s="11">
        <v>30</v>
      </c>
      <c r="D55" s="11" t="s">
        <v>10</v>
      </c>
      <c r="E55" s="11">
        <v>66450</v>
      </c>
      <c r="F55" s="11">
        <v>66600</v>
      </c>
      <c r="G55" s="34">
        <v>0</v>
      </c>
      <c r="H55" s="35">
        <v>0</v>
      </c>
      <c r="I55" s="8">
        <f t="shared" ref="I55" si="120">(IF(D55="SELL",E55-F55,IF(D55="BUY",F55-E55)))*C55</f>
        <v>4500</v>
      </c>
      <c r="J55" s="8">
        <v>0</v>
      </c>
      <c r="K55" s="2">
        <v>0</v>
      </c>
      <c r="L55" s="8">
        <f t="shared" ref="L55" si="121">(J55+I55+K55)/C55</f>
        <v>150</v>
      </c>
      <c r="M55" s="8">
        <f t="shared" ref="M55" si="122">L55*C55</f>
        <v>4500</v>
      </c>
    </row>
    <row r="56" spans="1:13" ht="15.75" customHeight="1" x14ac:dyDescent="0.25">
      <c r="A56" s="24">
        <v>44215</v>
      </c>
      <c r="B56" s="29" t="s">
        <v>18</v>
      </c>
      <c r="C56" s="11">
        <v>2500</v>
      </c>
      <c r="D56" s="11" t="s">
        <v>10</v>
      </c>
      <c r="E56" s="11">
        <v>611</v>
      </c>
      <c r="F56" s="11">
        <v>612</v>
      </c>
      <c r="G56" s="34">
        <v>0</v>
      </c>
      <c r="H56" s="35">
        <v>0</v>
      </c>
      <c r="I56" s="8">
        <f t="shared" ref="I56" si="123">(IF(D56="SELL",E56-F56,IF(D56="BUY",F56-E56)))*C56</f>
        <v>2500</v>
      </c>
      <c r="J56" s="8">
        <v>0</v>
      </c>
      <c r="K56" s="2">
        <v>0</v>
      </c>
      <c r="L56" s="8">
        <f t="shared" ref="L56" si="124">(J56+I56+K56)/C56</f>
        <v>1</v>
      </c>
      <c r="M56" s="8">
        <f t="shared" ref="M56" si="125">L56*C56</f>
        <v>2500</v>
      </c>
    </row>
    <row r="57" spans="1:13" ht="15.75" customHeight="1" x14ac:dyDescent="0.25">
      <c r="A57" s="24">
        <v>44215</v>
      </c>
      <c r="B57" s="29" t="s">
        <v>14</v>
      </c>
      <c r="C57" s="11">
        <v>30</v>
      </c>
      <c r="D57" s="11" t="s">
        <v>10</v>
      </c>
      <c r="E57" s="11">
        <v>66150</v>
      </c>
      <c r="F57" s="11">
        <v>65900</v>
      </c>
      <c r="G57" s="34">
        <v>0</v>
      </c>
      <c r="H57" s="35">
        <v>0</v>
      </c>
      <c r="I57" s="8">
        <f t="shared" ref="I57" si="126">(IF(D57="SELL",E57-F57,IF(D57="BUY",F57-E57)))*C57</f>
        <v>-7500</v>
      </c>
      <c r="J57" s="8">
        <v>0</v>
      </c>
      <c r="K57" s="2">
        <v>0</v>
      </c>
      <c r="L57" s="8">
        <f t="shared" ref="L57" si="127">(J57+I57+K57)/C57</f>
        <v>-250</v>
      </c>
      <c r="M57" s="8">
        <f t="shared" ref="M57" si="128">L57*C57</f>
        <v>-7500</v>
      </c>
    </row>
    <row r="58" spans="1:13" ht="15.75" customHeight="1" x14ac:dyDescent="0.25">
      <c r="A58" s="24">
        <v>44215</v>
      </c>
      <c r="B58" s="29" t="s">
        <v>16</v>
      </c>
      <c r="C58" s="11">
        <v>100</v>
      </c>
      <c r="D58" s="11" t="s">
        <v>10</v>
      </c>
      <c r="E58" s="11">
        <v>3840</v>
      </c>
      <c r="F58" s="11">
        <v>3865</v>
      </c>
      <c r="G58" s="34">
        <v>3880</v>
      </c>
      <c r="H58" s="35">
        <v>0</v>
      </c>
      <c r="I58" s="8">
        <f t="shared" ref="I58" si="129">(IF(D58="SELL",E58-F58,IF(D58="BUY",F58-E58)))*C58</f>
        <v>2500</v>
      </c>
      <c r="J58" s="8">
        <f>C58*15</f>
        <v>1500</v>
      </c>
      <c r="K58" s="2">
        <v>0</v>
      </c>
      <c r="L58" s="8">
        <f t="shared" ref="L58" si="130">(J58+I58+K58)/C58</f>
        <v>40</v>
      </c>
      <c r="M58" s="8">
        <f t="shared" ref="M58" si="131">L58*C58</f>
        <v>4000</v>
      </c>
    </row>
    <row r="59" spans="1:13" ht="15.75" customHeight="1" x14ac:dyDescent="0.25">
      <c r="A59" s="24">
        <v>44215</v>
      </c>
      <c r="B59" s="29" t="s">
        <v>76</v>
      </c>
      <c r="C59" s="11">
        <v>1250</v>
      </c>
      <c r="D59" s="11" t="s">
        <v>10</v>
      </c>
      <c r="E59" s="11">
        <v>195</v>
      </c>
      <c r="F59" s="11">
        <v>192.5</v>
      </c>
      <c r="G59" s="34">
        <v>0</v>
      </c>
      <c r="H59" s="35">
        <v>0</v>
      </c>
      <c r="I59" s="8">
        <f t="shared" ref="I59" si="132">(IF(D59="SELL",E59-F59,IF(D59="BUY",F59-E59)))*C59</f>
        <v>-3125</v>
      </c>
      <c r="J59" s="8">
        <v>0</v>
      </c>
      <c r="K59" s="2">
        <v>0</v>
      </c>
      <c r="L59" s="8">
        <f t="shared" ref="L59" si="133">(J59+I59+K59)/C59</f>
        <v>-2.5</v>
      </c>
      <c r="M59" s="8">
        <f t="shared" ref="M59" si="134">L59*C59</f>
        <v>-3125</v>
      </c>
    </row>
    <row r="60" spans="1:13" ht="15.75" customHeight="1" x14ac:dyDescent="0.25">
      <c r="A60" s="24">
        <v>44215</v>
      </c>
      <c r="B60" s="29" t="s">
        <v>19</v>
      </c>
      <c r="C60" s="11">
        <v>100</v>
      </c>
      <c r="D60" s="11" t="s">
        <v>10</v>
      </c>
      <c r="E60" s="11">
        <v>49000</v>
      </c>
      <c r="F60" s="11">
        <v>49050</v>
      </c>
      <c r="G60" s="34">
        <v>0</v>
      </c>
      <c r="H60" s="35">
        <v>0</v>
      </c>
      <c r="I60" s="8">
        <f t="shared" ref="I60" si="135">(IF(D60="SELL",E60-F60,IF(D60="BUY",F60-E60)))*C60</f>
        <v>5000</v>
      </c>
      <c r="J60" s="8">
        <v>0</v>
      </c>
      <c r="K60" s="2">
        <v>0</v>
      </c>
      <c r="L60" s="8">
        <f t="shared" ref="L60" si="136">(J60+I60+K60)/C60</f>
        <v>50</v>
      </c>
      <c r="M60" s="8">
        <f t="shared" ref="M60" si="137">L60*C60</f>
        <v>5000</v>
      </c>
    </row>
    <row r="61" spans="1:13" ht="15.75" customHeight="1" x14ac:dyDescent="0.25">
      <c r="A61" s="24">
        <v>44215</v>
      </c>
      <c r="B61" s="29" t="s">
        <v>27</v>
      </c>
      <c r="C61" s="11">
        <v>5000</v>
      </c>
      <c r="D61" s="11" t="s">
        <v>10</v>
      </c>
      <c r="E61" s="11">
        <v>215.5</v>
      </c>
      <c r="F61" s="11">
        <v>216</v>
      </c>
      <c r="G61" s="34">
        <v>0</v>
      </c>
      <c r="H61" s="35">
        <v>0</v>
      </c>
      <c r="I61" s="8">
        <f t="shared" ref="I61" si="138">(IF(D61="SELL",E61-F61,IF(D61="BUY",F61-E61)))*C61</f>
        <v>2500</v>
      </c>
      <c r="J61" s="8">
        <v>0</v>
      </c>
      <c r="K61" s="2">
        <v>0</v>
      </c>
      <c r="L61" s="8">
        <f t="shared" ref="L61" si="139">(J61+I61+K61)/C61</f>
        <v>0.5</v>
      </c>
      <c r="M61" s="8">
        <f t="shared" ref="M61" si="140">L61*C61</f>
        <v>2500</v>
      </c>
    </row>
    <row r="62" spans="1:13" ht="15.75" customHeight="1" x14ac:dyDescent="0.25">
      <c r="A62" s="24">
        <v>44215</v>
      </c>
      <c r="B62" s="29" t="s">
        <v>14</v>
      </c>
      <c r="C62" s="11">
        <v>30</v>
      </c>
      <c r="D62" s="11" t="s">
        <v>10</v>
      </c>
      <c r="E62" s="11">
        <v>65920</v>
      </c>
      <c r="F62" s="11">
        <v>65670</v>
      </c>
      <c r="G62" s="34">
        <v>0</v>
      </c>
      <c r="H62" s="35">
        <v>0</v>
      </c>
      <c r="I62" s="8">
        <f t="shared" ref="I62" si="141">(IF(D62="SELL",E62-F62,IF(D62="BUY",F62-E62)))*C62</f>
        <v>-7500</v>
      </c>
      <c r="J62" s="8">
        <v>0</v>
      </c>
      <c r="K62" s="2">
        <v>0</v>
      </c>
      <c r="L62" s="8">
        <f t="shared" ref="L62" si="142">(J62+I62+K62)/C62</f>
        <v>-250</v>
      </c>
      <c r="M62" s="8">
        <f t="shared" ref="M62" si="143">L62*C62</f>
        <v>-7500</v>
      </c>
    </row>
    <row r="63" spans="1:13" ht="15.75" customHeight="1" x14ac:dyDescent="0.25">
      <c r="A63" s="24">
        <v>44214</v>
      </c>
      <c r="B63" s="29" t="s">
        <v>76</v>
      </c>
      <c r="C63" s="11">
        <v>1250</v>
      </c>
      <c r="D63" s="11" t="s">
        <v>11</v>
      </c>
      <c r="E63" s="11">
        <v>190.5</v>
      </c>
      <c r="F63" s="11">
        <v>189.5</v>
      </c>
      <c r="G63" s="34">
        <v>0</v>
      </c>
      <c r="H63" s="35">
        <v>0</v>
      </c>
      <c r="I63" s="8">
        <f t="shared" ref="I63" si="144">(IF(D63="SELL",E63-F63,IF(D63="BUY",F63-E63)))*C63</f>
        <v>1250</v>
      </c>
      <c r="J63" s="8">
        <v>0</v>
      </c>
      <c r="K63" s="2">
        <v>0</v>
      </c>
      <c r="L63" s="8">
        <f t="shared" ref="L63" si="145">(J63+I63+K63)/C63</f>
        <v>1</v>
      </c>
      <c r="M63" s="8">
        <f t="shared" ref="M63" si="146">L63*C63</f>
        <v>1250</v>
      </c>
    </row>
    <row r="64" spans="1:13" ht="15.75" customHeight="1" x14ac:dyDescent="0.25">
      <c r="A64" s="24">
        <v>44214</v>
      </c>
      <c r="B64" s="29" t="s">
        <v>14</v>
      </c>
      <c r="C64" s="11">
        <v>30</v>
      </c>
      <c r="D64" s="11" t="s">
        <v>11</v>
      </c>
      <c r="E64" s="11">
        <v>65000</v>
      </c>
      <c r="F64" s="11">
        <v>64900</v>
      </c>
      <c r="G64" s="34">
        <v>0</v>
      </c>
      <c r="H64" s="35">
        <v>0</v>
      </c>
      <c r="I64" s="8">
        <f t="shared" ref="I64" si="147">(IF(D64="SELL",E64-F64,IF(D64="BUY",F64-E64)))*C64</f>
        <v>3000</v>
      </c>
      <c r="J64" s="8">
        <v>0</v>
      </c>
      <c r="K64" s="2">
        <v>0</v>
      </c>
      <c r="L64" s="8">
        <f t="shared" ref="L64" si="148">(J64+I64+K64)/C64</f>
        <v>100</v>
      </c>
      <c r="M64" s="8">
        <f t="shared" ref="M64" si="149">L64*C64</f>
        <v>3000</v>
      </c>
    </row>
    <row r="65" spans="1:13" ht="15.75" customHeight="1" x14ac:dyDescent="0.25">
      <c r="A65" s="24">
        <v>44214</v>
      </c>
      <c r="B65" s="29" t="s">
        <v>17</v>
      </c>
      <c r="C65" s="11">
        <v>5000</v>
      </c>
      <c r="D65" s="11" t="s">
        <v>11</v>
      </c>
      <c r="E65" s="11">
        <v>213.5</v>
      </c>
      <c r="F65" s="11">
        <v>213.6</v>
      </c>
      <c r="G65" s="34">
        <v>0</v>
      </c>
      <c r="H65" s="35">
        <v>0</v>
      </c>
      <c r="I65" s="8">
        <f t="shared" ref="I65" si="150">(IF(D65="SELL",E65-F65,IF(D65="BUY",F65-E65)))*C65</f>
        <v>-499.99999999997158</v>
      </c>
      <c r="J65" s="8">
        <v>0</v>
      </c>
      <c r="K65" s="2">
        <v>0</v>
      </c>
      <c r="L65" s="8">
        <f t="shared" ref="L65" si="151">(J65+I65+K65)/C65</f>
        <v>-9.9999999999994316E-2</v>
      </c>
      <c r="M65" s="8">
        <f t="shared" ref="M65" si="152">L65*C65</f>
        <v>-499.99999999997158</v>
      </c>
    </row>
    <row r="66" spans="1:13" ht="15.75" customHeight="1" x14ac:dyDescent="0.25">
      <c r="A66" s="24">
        <v>44211</v>
      </c>
      <c r="B66" s="29" t="s">
        <v>17</v>
      </c>
      <c r="C66" s="11">
        <v>5000</v>
      </c>
      <c r="D66" s="11" t="s">
        <v>11</v>
      </c>
      <c r="E66" s="11">
        <v>214.9</v>
      </c>
      <c r="F66" s="11">
        <v>216</v>
      </c>
      <c r="G66" s="34">
        <v>0</v>
      </c>
      <c r="H66" s="35">
        <v>0</v>
      </c>
      <c r="I66" s="8">
        <f t="shared" ref="I66" si="153">(IF(D66="SELL",E66-F66,IF(D66="BUY",F66-E66)))*C66</f>
        <v>-5499.9999999999718</v>
      </c>
      <c r="J66" s="8">
        <v>0</v>
      </c>
      <c r="K66" s="2">
        <v>0</v>
      </c>
      <c r="L66" s="8">
        <f t="shared" ref="L66" si="154">(J66+I66+K66)/C66</f>
        <v>-1.0999999999999943</v>
      </c>
      <c r="M66" s="8">
        <f t="shared" ref="M66" si="155">L66*C66</f>
        <v>-5499.9999999999718</v>
      </c>
    </row>
    <row r="67" spans="1:13" ht="15.75" customHeight="1" x14ac:dyDescent="0.25">
      <c r="A67" s="24">
        <v>44211</v>
      </c>
      <c r="B67" s="29" t="s">
        <v>75</v>
      </c>
      <c r="C67" s="11">
        <v>1250</v>
      </c>
      <c r="D67" s="11" t="s">
        <v>10</v>
      </c>
      <c r="E67" s="11">
        <v>202</v>
      </c>
      <c r="F67" s="11">
        <v>203</v>
      </c>
      <c r="G67" s="34">
        <v>0</v>
      </c>
      <c r="H67" s="35">
        <v>0</v>
      </c>
      <c r="I67" s="8">
        <f t="shared" ref="I67" si="156">(IF(D67="SELL",E67-F67,IF(D67="BUY",F67-E67)))*C67</f>
        <v>1250</v>
      </c>
      <c r="J67" s="8">
        <v>0</v>
      </c>
      <c r="K67" s="2">
        <v>0</v>
      </c>
      <c r="L67" s="8">
        <f t="shared" ref="L67" si="157">(J67+I67+K67)/C67</f>
        <v>1</v>
      </c>
      <c r="M67" s="8">
        <f t="shared" ref="M67" si="158">L67*C67</f>
        <v>1250</v>
      </c>
    </row>
    <row r="68" spans="1:13" ht="15.75" customHeight="1" x14ac:dyDescent="0.25">
      <c r="A68" s="24">
        <v>44211</v>
      </c>
      <c r="B68" s="29" t="s">
        <v>18</v>
      </c>
      <c r="C68" s="11">
        <v>2500</v>
      </c>
      <c r="D68" s="11" t="s">
        <v>11</v>
      </c>
      <c r="E68" s="11">
        <v>608.5</v>
      </c>
      <c r="F68" s="11">
        <v>607.5</v>
      </c>
      <c r="G68" s="34">
        <v>604</v>
      </c>
      <c r="H68" s="35">
        <v>0</v>
      </c>
      <c r="I68" s="8">
        <f t="shared" ref="I68" si="159">(IF(D68="SELL",E68-F68,IF(D68="BUY",F68-E68)))*C68</f>
        <v>2500</v>
      </c>
      <c r="J68" s="8">
        <f>C68*3.5</f>
        <v>8750</v>
      </c>
      <c r="K68" s="2">
        <v>0</v>
      </c>
      <c r="L68" s="8">
        <f t="shared" ref="L68" si="160">(J68+I68+K68)/C68</f>
        <v>4.5</v>
      </c>
      <c r="M68" s="8">
        <f t="shared" ref="M68" si="161">L68*C68</f>
        <v>11250</v>
      </c>
    </row>
    <row r="69" spans="1:13" ht="15.75" customHeight="1" x14ac:dyDescent="0.25">
      <c r="A69" s="24">
        <v>44211</v>
      </c>
      <c r="B69" s="29" t="s">
        <v>16</v>
      </c>
      <c r="C69" s="11">
        <v>100</v>
      </c>
      <c r="D69" s="11" t="s">
        <v>11</v>
      </c>
      <c r="E69" s="11">
        <v>3865</v>
      </c>
      <c r="F69" s="11">
        <v>3845</v>
      </c>
      <c r="G69" s="34">
        <v>3810</v>
      </c>
      <c r="H69" s="35">
        <v>0</v>
      </c>
      <c r="I69" s="8">
        <f t="shared" ref="I69" si="162">(IF(D69="SELL",E69-F69,IF(D69="BUY",F69-E69)))*C69</f>
        <v>2000</v>
      </c>
      <c r="J69" s="8">
        <f>C69*35</f>
        <v>3500</v>
      </c>
      <c r="K69" s="2">
        <v>0</v>
      </c>
      <c r="L69" s="8">
        <f t="shared" ref="L69" si="163">(J69+I69+K69)/C69</f>
        <v>55</v>
      </c>
      <c r="M69" s="8">
        <f t="shared" ref="M69" si="164">L69*C69</f>
        <v>5500</v>
      </c>
    </row>
    <row r="70" spans="1:13" ht="15.75" customHeight="1" x14ac:dyDescent="0.25">
      <c r="A70" s="24">
        <v>44211</v>
      </c>
      <c r="B70" s="29" t="s">
        <v>19</v>
      </c>
      <c r="C70" s="11">
        <v>100</v>
      </c>
      <c r="D70" s="11" t="s">
        <v>10</v>
      </c>
      <c r="E70" s="11">
        <v>49220</v>
      </c>
      <c r="F70" s="11">
        <v>49270</v>
      </c>
      <c r="G70" s="34">
        <v>0</v>
      </c>
      <c r="H70" s="35">
        <v>0</v>
      </c>
      <c r="I70" s="8">
        <f t="shared" ref="I70" si="165">(IF(D70="SELL",E70-F70,IF(D70="BUY",F70-E70)))*C70</f>
        <v>5000</v>
      </c>
      <c r="J70" s="8">
        <v>0</v>
      </c>
      <c r="K70" s="2">
        <v>0</v>
      </c>
      <c r="L70" s="8">
        <f t="shared" ref="L70" si="166">(J70+I70+K70)/C70</f>
        <v>50</v>
      </c>
      <c r="M70" s="8">
        <f t="shared" ref="M70" si="167">L70*C70</f>
        <v>5000</v>
      </c>
    </row>
    <row r="71" spans="1:13" ht="15.75" customHeight="1" x14ac:dyDescent="0.25">
      <c r="A71" s="24">
        <v>44211</v>
      </c>
      <c r="B71" s="29" t="s">
        <v>14</v>
      </c>
      <c r="C71" s="11">
        <v>30</v>
      </c>
      <c r="D71" s="11" t="s">
        <v>11</v>
      </c>
      <c r="E71" s="11">
        <v>65420</v>
      </c>
      <c r="F71" s="11">
        <v>65300</v>
      </c>
      <c r="G71" s="34">
        <v>0</v>
      </c>
      <c r="H71" s="35">
        <v>0</v>
      </c>
      <c r="I71" s="8">
        <f t="shared" ref="I71" si="168">(IF(D71="SELL",E71-F71,IF(D71="BUY",F71-E71)))*C71</f>
        <v>3600</v>
      </c>
      <c r="J71" s="8">
        <v>0</v>
      </c>
      <c r="K71" s="2">
        <v>0</v>
      </c>
      <c r="L71" s="8">
        <f t="shared" ref="L71" si="169">(J71+I71+K71)/C71</f>
        <v>120</v>
      </c>
      <c r="M71" s="8">
        <f t="shared" ref="M71" si="170">L71*C71</f>
        <v>3600</v>
      </c>
    </row>
    <row r="72" spans="1:13" ht="15.75" customHeight="1" x14ac:dyDescent="0.25">
      <c r="A72" s="24">
        <v>44210</v>
      </c>
      <c r="B72" s="29" t="s">
        <v>16</v>
      </c>
      <c r="C72" s="11">
        <v>100</v>
      </c>
      <c r="D72" s="11" t="s">
        <v>11</v>
      </c>
      <c r="E72" s="11">
        <v>3850</v>
      </c>
      <c r="F72" s="11">
        <v>3830</v>
      </c>
      <c r="G72" s="34">
        <v>0</v>
      </c>
      <c r="H72" s="35">
        <v>0</v>
      </c>
      <c r="I72" s="8">
        <f t="shared" ref="I72" si="171">(IF(D72="SELL",E72-F72,IF(D72="BUY",F72-E72)))*C72</f>
        <v>2000</v>
      </c>
      <c r="J72" s="8">
        <v>0</v>
      </c>
      <c r="K72" s="2">
        <v>0</v>
      </c>
      <c r="L72" s="8">
        <f t="shared" ref="L72" si="172">(J72+I72+K72)/C72</f>
        <v>20</v>
      </c>
      <c r="M72" s="8">
        <f t="shared" ref="M72" si="173">L72*C72</f>
        <v>2000</v>
      </c>
    </row>
    <row r="73" spans="1:13" ht="15.75" customHeight="1" x14ac:dyDescent="0.25">
      <c r="A73" s="24">
        <v>44210</v>
      </c>
      <c r="B73" s="29" t="s">
        <v>75</v>
      </c>
      <c r="C73" s="11">
        <v>1250</v>
      </c>
      <c r="D73" s="11" t="s">
        <v>11</v>
      </c>
      <c r="E73" s="11">
        <v>200.2</v>
      </c>
      <c r="F73" s="11">
        <v>202.5</v>
      </c>
      <c r="G73" s="34">
        <v>0</v>
      </c>
      <c r="H73" s="35">
        <v>0</v>
      </c>
      <c r="I73" s="8">
        <f t="shared" ref="I73" si="174">(IF(D73="SELL",E73-F73,IF(D73="BUY",F73-E73)))*C73</f>
        <v>-2875.0000000000141</v>
      </c>
      <c r="J73" s="8">
        <v>0</v>
      </c>
      <c r="K73" s="2">
        <v>0</v>
      </c>
      <c r="L73" s="8">
        <f t="shared" ref="L73" si="175">(J73+I73+K73)/C73</f>
        <v>-2.3000000000000114</v>
      </c>
      <c r="M73" s="8">
        <f t="shared" ref="M73" si="176">L73*C73</f>
        <v>-2875.0000000000141</v>
      </c>
    </row>
    <row r="74" spans="1:13" ht="15.75" customHeight="1" x14ac:dyDescent="0.25">
      <c r="A74" s="24">
        <v>44210</v>
      </c>
      <c r="B74" s="29" t="s">
        <v>17</v>
      </c>
      <c r="C74" s="11">
        <v>5000</v>
      </c>
      <c r="D74" s="11" t="s">
        <v>10</v>
      </c>
      <c r="E74" s="11">
        <v>216.2</v>
      </c>
      <c r="F74" s="11">
        <v>216.7</v>
      </c>
      <c r="G74" s="34">
        <v>218</v>
      </c>
      <c r="H74" s="35">
        <v>0</v>
      </c>
      <c r="I74" s="8">
        <f t="shared" ref="I74" si="177">(IF(D74="SELL",E74-F74,IF(D74="BUY",F74-E74)))*C74</f>
        <v>2500</v>
      </c>
      <c r="J74" s="8">
        <f>C74*1.3</f>
        <v>6500</v>
      </c>
      <c r="K74" s="2">
        <v>0</v>
      </c>
      <c r="L74" s="8">
        <f t="shared" ref="L74" si="178">(J74+I74+K74)/C74</f>
        <v>1.8</v>
      </c>
      <c r="M74" s="8">
        <f t="shared" ref="M74" si="179">L74*C74</f>
        <v>9000</v>
      </c>
    </row>
    <row r="75" spans="1:13" ht="15.75" customHeight="1" x14ac:dyDescent="0.25">
      <c r="A75" s="24">
        <v>44210</v>
      </c>
      <c r="B75" s="29" t="s">
        <v>19</v>
      </c>
      <c r="C75" s="11">
        <v>100</v>
      </c>
      <c r="D75" s="11" t="s">
        <v>11</v>
      </c>
      <c r="E75" s="11">
        <v>48770</v>
      </c>
      <c r="F75" s="11">
        <v>48850</v>
      </c>
      <c r="G75" s="34">
        <v>0</v>
      </c>
      <c r="H75" s="35">
        <v>0</v>
      </c>
      <c r="I75" s="8">
        <f t="shared" ref="I75" si="180">(IF(D75="SELL",E75-F75,IF(D75="BUY",F75-E75)))*C75</f>
        <v>-8000</v>
      </c>
      <c r="J75" s="8">
        <v>0</v>
      </c>
      <c r="K75" s="2">
        <v>0</v>
      </c>
      <c r="L75" s="8">
        <f t="shared" ref="L75" si="181">(J75+I75+K75)/C75</f>
        <v>-80</v>
      </c>
      <c r="M75" s="8">
        <f t="shared" ref="M75" si="182">L75*C75</f>
        <v>-8000</v>
      </c>
    </row>
    <row r="76" spans="1:13" ht="15.75" customHeight="1" x14ac:dyDescent="0.25">
      <c r="A76" s="24">
        <v>44210</v>
      </c>
      <c r="B76" s="29" t="s">
        <v>14</v>
      </c>
      <c r="C76" s="11">
        <v>30</v>
      </c>
      <c r="D76" s="11" t="s">
        <v>10</v>
      </c>
      <c r="E76" s="11">
        <v>65550</v>
      </c>
      <c r="F76" s="11">
        <v>65290</v>
      </c>
      <c r="G76" s="34">
        <v>0</v>
      </c>
      <c r="H76" s="35">
        <v>0</v>
      </c>
      <c r="I76" s="8">
        <f t="shared" ref="I76" si="183">(IF(D76="SELL",E76-F76,IF(D76="BUY",F76-E76)))*C76</f>
        <v>-7800</v>
      </c>
      <c r="J76" s="8">
        <v>0</v>
      </c>
      <c r="K76" s="2">
        <v>0</v>
      </c>
      <c r="L76" s="8">
        <f t="shared" ref="L76" si="184">(J76+I76+K76)/C76</f>
        <v>-260</v>
      </c>
      <c r="M76" s="8">
        <f t="shared" ref="M76" si="185">L76*C76</f>
        <v>-7800</v>
      </c>
    </row>
    <row r="77" spans="1:13" ht="15.75" customHeight="1" x14ac:dyDescent="0.25">
      <c r="A77" s="24">
        <v>44210</v>
      </c>
      <c r="B77" s="29" t="s">
        <v>19</v>
      </c>
      <c r="C77" s="11">
        <v>100</v>
      </c>
      <c r="D77" s="11" t="s">
        <v>10</v>
      </c>
      <c r="E77" s="11">
        <v>48990</v>
      </c>
      <c r="F77" s="11">
        <v>49045</v>
      </c>
      <c r="G77" s="34">
        <v>0</v>
      </c>
      <c r="H77" s="35">
        <v>0</v>
      </c>
      <c r="I77" s="8">
        <f t="shared" ref="I77" si="186">(IF(D77="SELL",E77-F77,IF(D77="BUY",F77-E77)))*C77</f>
        <v>5500</v>
      </c>
      <c r="J77" s="8">
        <v>0</v>
      </c>
      <c r="K77" s="2">
        <v>0</v>
      </c>
      <c r="L77" s="8">
        <f t="shared" ref="L77" si="187">(J77+I77+K77)/C77</f>
        <v>55</v>
      </c>
      <c r="M77" s="8">
        <f t="shared" ref="M77" si="188">L77*C77</f>
        <v>5500</v>
      </c>
    </row>
    <row r="78" spans="1:13" ht="15.75" customHeight="1" x14ac:dyDescent="0.25">
      <c r="A78" s="24">
        <v>44209</v>
      </c>
      <c r="B78" s="29" t="s">
        <v>14</v>
      </c>
      <c r="C78" s="11">
        <v>30</v>
      </c>
      <c r="D78" s="11" t="s">
        <v>11</v>
      </c>
      <c r="E78" s="11">
        <v>65540</v>
      </c>
      <c r="F78" s="11">
        <v>65440</v>
      </c>
      <c r="G78" s="34">
        <v>0</v>
      </c>
      <c r="H78" s="35">
        <v>0</v>
      </c>
      <c r="I78" s="8">
        <f t="shared" ref="I78" si="189">(IF(D78="SELL",E78-F78,IF(D78="BUY",F78-E78)))*C78</f>
        <v>3000</v>
      </c>
      <c r="J78" s="8">
        <v>0</v>
      </c>
      <c r="K78" s="2">
        <v>0</v>
      </c>
      <c r="L78" s="8">
        <f t="shared" ref="L78" si="190">(J78+I78+K78)/C78</f>
        <v>100</v>
      </c>
      <c r="M78" s="8">
        <f t="shared" ref="M78" si="191">L78*C78</f>
        <v>3000</v>
      </c>
    </row>
    <row r="79" spans="1:13" ht="15.75" customHeight="1" x14ac:dyDescent="0.25">
      <c r="A79" s="24">
        <v>44209</v>
      </c>
      <c r="B79" s="29" t="s">
        <v>19</v>
      </c>
      <c r="C79" s="11">
        <v>100</v>
      </c>
      <c r="D79" s="11" t="s">
        <v>11</v>
      </c>
      <c r="E79" s="11">
        <v>49210</v>
      </c>
      <c r="F79" s="11">
        <v>49300</v>
      </c>
      <c r="G79" s="34">
        <v>0</v>
      </c>
      <c r="H79" s="35">
        <v>0</v>
      </c>
      <c r="I79" s="8">
        <f t="shared" ref="I79" si="192">(IF(D79="SELL",E79-F79,IF(D79="BUY",F79-E79)))*C79</f>
        <v>-9000</v>
      </c>
      <c r="J79" s="8">
        <v>0</v>
      </c>
      <c r="K79" s="2">
        <v>0</v>
      </c>
      <c r="L79" s="8">
        <f t="shared" ref="L79" si="193">(J79+I79+K79)/C79</f>
        <v>-90</v>
      </c>
      <c r="M79" s="8">
        <f t="shared" ref="M79" si="194">L79*C79</f>
        <v>-9000</v>
      </c>
    </row>
    <row r="80" spans="1:13" ht="15.75" customHeight="1" x14ac:dyDescent="0.25">
      <c r="A80" s="24">
        <v>44209</v>
      </c>
      <c r="B80" s="29" t="s">
        <v>17</v>
      </c>
      <c r="C80" s="11">
        <v>5000</v>
      </c>
      <c r="D80" s="11" t="s">
        <v>11</v>
      </c>
      <c r="E80" s="11">
        <v>218.7</v>
      </c>
      <c r="F80" s="11">
        <v>218.2</v>
      </c>
      <c r="G80" s="34">
        <v>0</v>
      </c>
      <c r="H80" s="35">
        <v>0</v>
      </c>
      <c r="I80" s="8">
        <f t="shared" ref="I80" si="195">(IF(D80="SELL",E80-F80,IF(D80="BUY",F80-E80)))*C80</f>
        <v>2500</v>
      </c>
      <c r="J80" s="8">
        <v>0</v>
      </c>
      <c r="K80" s="2">
        <v>0</v>
      </c>
      <c r="L80" s="8">
        <f t="shared" ref="L80" si="196">(J80+I80+K80)/C80</f>
        <v>0.5</v>
      </c>
      <c r="M80" s="8">
        <f t="shared" ref="M80" si="197">L80*C80</f>
        <v>2500</v>
      </c>
    </row>
    <row r="81" spans="1:13" ht="15.75" customHeight="1" x14ac:dyDescent="0.25">
      <c r="A81" s="24">
        <v>44209</v>
      </c>
      <c r="B81" s="29" t="s">
        <v>75</v>
      </c>
      <c r="C81" s="11">
        <v>1250</v>
      </c>
      <c r="D81" s="11" t="s">
        <v>10</v>
      </c>
      <c r="E81" s="11">
        <v>203.5</v>
      </c>
      <c r="F81" s="11">
        <v>204.5</v>
      </c>
      <c r="G81" s="34">
        <v>207</v>
      </c>
      <c r="H81" s="35">
        <v>0</v>
      </c>
      <c r="I81" s="8">
        <f t="shared" ref="I81" si="198">(IF(D81="SELL",E81-F81,IF(D81="BUY",F81-E81)))*C81</f>
        <v>1250</v>
      </c>
      <c r="J81" s="8">
        <f>C81*2.5</f>
        <v>3125</v>
      </c>
      <c r="K81" s="2">
        <v>0</v>
      </c>
      <c r="L81" s="8">
        <f t="shared" ref="L81" si="199">(J81+I81+K81)/C81</f>
        <v>3.5</v>
      </c>
      <c r="M81" s="8">
        <f t="shared" ref="M81" si="200">L81*C81</f>
        <v>4375</v>
      </c>
    </row>
    <row r="82" spans="1:13" ht="15.75" customHeight="1" x14ac:dyDescent="0.25">
      <c r="A82" s="24">
        <v>44208</v>
      </c>
      <c r="B82" s="29" t="s">
        <v>17</v>
      </c>
      <c r="C82" s="11">
        <v>5000</v>
      </c>
      <c r="D82" s="11" t="s">
        <v>11</v>
      </c>
      <c r="E82" s="11">
        <v>219.5</v>
      </c>
      <c r="F82" s="11">
        <v>219</v>
      </c>
      <c r="G82" s="34">
        <v>0</v>
      </c>
      <c r="H82" s="35">
        <v>0</v>
      </c>
      <c r="I82" s="8">
        <f t="shared" ref="I82" si="201">(IF(D82="SELL",E82-F82,IF(D82="BUY",F82-E82)))*C82</f>
        <v>2500</v>
      </c>
      <c r="J82" s="8">
        <v>0</v>
      </c>
      <c r="K82" s="2">
        <v>0</v>
      </c>
      <c r="L82" s="8">
        <f t="shared" ref="L82" si="202">(J82+I82+K82)/C82</f>
        <v>0.5</v>
      </c>
      <c r="M82" s="8">
        <f t="shared" ref="M82" si="203">L82*C82</f>
        <v>2500</v>
      </c>
    </row>
    <row r="83" spans="1:13" ht="15.75" customHeight="1" x14ac:dyDescent="0.25">
      <c r="A83" s="24">
        <v>44208</v>
      </c>
      <c r="B83" s="29" t="s">
        <v>19</v>
      </c>
      <c r="C83" s="11">
        <v>100</v>
      </c>
      <c r="D83" s="11" t="s">
        <v>10</v>
      </c>
      <c r="E83" s="11">
        <v>49530</v>
      </c>
      <c r="F83" s="11">
        <v>49400</v>
      </c>
      <c r="G83" s="34">
        <v>0</v>
      </c>
      <c r="H83" s="35">
        <v>0</v>
      </c>
      <c r="I83" s="8">
        <f t="shared" ref="I83" si="204">(IF(D83="SELL",E83-F83,IF(D83="BUY",F83-E83)))*C83</f>
        <v>-13000</v>
      </c>
      <c r="J83" s="8">
        <v>0</v>
      </c>
      <c r="K83" s="2">
        <v>0</v>
      </c>
      <c r="L83" s="8">
        <f t="shared" ref="L83" si="205">(J83+I83+K83)/C83</f>
        <v>-130</v>
      </c>
      <c r="M83" s="8">
        <f t="shared" ref="M83" si="206">L83*C83</f>
        <v>-13000</v>
      </c>
    </row>
    <row r="84" spans="1:13" ht="15.75" customHeight="1" x14ac:dyDescent="0.25">
      <c r="A84" s="24">
        <v>44208</v>
      </c>
      <c r="B84" s="29" t="s">
        <v>75</v>
      </c>
      <c r="C84" s="11">
        <v>1250</v>
      </c>
      <c r="D84" s="11" t="s">
        <v>10</v>
      </c>
      <c r="E84" s="11">
        <v>208</v>
      </c>
      <c r="F84" s="11">
        <v>209</v>
      </c>
      <c r="G84" s="34">
        <v>211</v>
      </c>
      <c r="H84" s="35">
        <v>0</v>
      </c>
      <c r="I84" s="8">
        <f t="shared" ref="I84" si="207">(IF(D84="SELL",E84-F84,IF(D84="BUY",F84-E84)))*C84</f>
        <v>1250</v>
      </c>
      <c r="J84" s="8">
        <f>C84*2</f>
        <v>2500</v>
      </c>
      <c r="K84" s="2">
        <v>0</v>
      </c>
      <c r="L84" s="8">
        <f t="shared" ref="L84" si="208">(J84+I84+K84)/C84</f>
        <v>3</v>
      </c>
      <c r="M84" s="8">
        <f t="shared" ref="M84" si="209">L84*C84</f>
        <v>3750</v>
      </c>
    </row>
    <row r="85" spans="1:13" ht="15.75" customHeight="1" x14ac:dyDescent="0.25">
      <c r="A85" s="24">
        <v>44208</v>
      </c>
      <c r="B85" s="29" t="s">
        <v>14</v>
      </c>
      <c r="C85" s="11">
        <v>30</v>
      </c>
      <c r="D85" s="11" t="s">
        <v>10</v>
      </c>
      <c r="E85" s="11">
        <v>66100</v>
      </c>
      <c r="F85" s="11">
        <v>66200</v>
      </c>
      <c r="G85" s="34">
        <v>0</v>
      </c>
      <c r="H85" s="35">
        <v>0</v>
      </c>
      <c r="I85" s="8">
        <f t="shared" ref="I85" si="210">(IF(D85="SELL",E85-F85,IF(D85="BUY",F85-E85)))*C85</f>
        <v>3000</v>
      </c>
      <c r="J85" s="8">
        <v>0</v>
      </c>
      <c r="K85" s="2">
        <v>0</v>
      </c>
      <c r="L85" s="8">
        <f t="shared" ref="L85" si="211">(J85+I85+K85)/C85</f>
        <v>100</v>
      </c>
      <c r="M85" s="8">
        <f t="shared" ref="M85" si="212">L85*C85</f>
        <v>3000</v>
      </c>
    </row>
    <row r="86" spans="1:13" ht="15.75" customHeight="1" x14ac:dyDescent="0.25">
      <c r="A86" s="24">
        <v>44207</v>
      </c>
      <c r="B86" s="29" t="s">
        <v>18</v>
      </c>
      <c r="C86" s="11">
        <v>2500</v>
      </c>
      <c r="D86" s="11" t="s">
        <v>11</v>
      </c>
      <c r="E86" s="11">
        <v>612.6</v>
      </c>
      <c r="F86" s="11">
        <v>611.5</v>
      </c>
      <c r="G86" s="34">
        <v>608</v>
      </c>
      <c r="H86" s="35">
        <v>0</v>
      </c>
      <c r="I86" s="8">
        <f t="shared" ref="I86" si="213">(IF(D86="SELL",E86-F86,IF(D86="BUY",F86-E86)))*C86</f>
        <v>2750.0000000000568</v>
      </c>
      <c r="J86" s="8">
        <f>C86*3.5</f>
        <v>8750</v>
      </c>
      <c r="K86" s="2">
        <v>0</v>
      </c>
      <c r="L86" s="8">
        <f t="shared" ref="L86" si="214">(J86+I86+K86)/C86</f>
        <v>4.6000000000000227</v>
      </c>
      <c r="M86" s="8">
        <f t="shared" ref="M86" si="215">L86*C86</f>
        <v>11500.000000000056</v>
      </c>
    </row>
    <row r="87" spans="1:13" ht="15.75" customHeight="1" x14ac:dyDescent="0.25">
      <c r="A87" s="24">
        <v>44207</v>
      </c>
      <c r="B87" s="29" t="s">
        <v>17</v>
      </c>
      <c r="C87" s="11">
        <v>5000</v>
      </c>
      <c r="D87" s="11" t="s">
        <v>11</v>
      </c>
      <c r="E87" s="11">
        <v>219</v>
      </c>
      <c r="F87" s="11">
        <v>218.5</v>
      </c>
      <c r="G87" s="34">
        <v>217</v>
      </c>
      <c r="H87" s="35">
        <v>0</v>
      </c>
      <c r="I87" s="8">
        <f t="shared" ref="I87" si="216">(IF(D87="SELL",E87-F87,IF(D87="BUY",F87-E87)))*C87</f>
        <v>2500</v>
      </c>
      <c r="J87" s="8">
        <f>C87*1.5</f>
        <v>7500</v>
      </c>
      <c r="K87" s="2">
        <v>0</v>
      </c>
      <c r="L87" s="8">
        <f t="shared" ref="L87" si="217">(J87+I87+K87)/C87</f>
        <v>2</v>
      </c>
      <c r="M87" s="8">
        <f t="shared" ref="M87" si="218">L87*C87</f>
        <v>10000</v>
      </c>
    </row>
    <row r="88" spans="1:13" ht="15.75" customHeight="1" x14ac:dyDescent="0.25">
      <c r="A88" s="24">
        <v>44207</v>
      </c>
      <c r="B88" s="29" t="s">
        <v>14</v>
      </c>
      <c r="C88" s="11">
        <v>30</v>
      </c>
      <c r="D88" s="11" t="s">
        <v>10</v>
      </c>
      <c r="E88" s="11">
        <v>65450</v>
      </c>
      <c r="F88" s="11">
        <v>65200</v>
      </c>
      <c r="G88" s="34">
        <v>0</v>
      </c>
      <c r="H88" s="35">
        <v>0</v>
      </c>
      <c r="I88" s="8">
        <f t="shared" ref="I88" si="219">(IF(D88="SELL",E88-F88,IF(D88="BUY",F88-E88)))*C88</f>
        <v>-7500</v>
      </c>
      <c r="J88" s="8">
        <v>0</v>
      </c>
      <c r="K88" s="2">
        <v>0</v>
      </c>
      <c r="L88" s="8">
        <f t="shared" ref="L88" si="220">(J88+I88+K88)/C88</f>
        <v>-250</v>
      </c>
      <c r="M88" s="8">
        <f t="shared" ref="M88" si="221">L88*C88</f>
        <v>-7500</v>
      </c>
    </row>
    <row r="89" spans="1:13" ht="15.75" customHeight="1" x14ac:dyDescent="0.25">
      <c r="A89" s="24">
        <v>44207</v>
      </c>
      <c r="B89" s="29" t="s">
        <v>19</v>
      </c>
      <c r="C89" s="11">
        <v>100</v>
      </c>
      <c r="D89" s="11" t="s">
        <v>10</v>
      </c>
      <c r="E89" s="11">
        <v>49220</v>
      </c>
      <c r="F89" s="11">
        <v>49140</v>
      </c>
      <c r="G89" s="34">
        <v>0</v>
      </c>
      <c r="H89" s="35">
        <v>0</v>
      </c>
      <c r="I89" s="8">
        <f t="shared" ref="I89" si="222">(IF(D89="SELL",E89-F89,IF(D89="BUY",F89-E89)))*C89</f>
        <v>-8000</v>
      </c>
      <c r="J89" s="8">
        <v>0</v>
      </c>
      <c r="K89" s="2">
        <v>0</v>
      </c>
      <c r="L89" s="8">
        <f t="shared" ref="L89" si="223">(J89+I89+K89)/C89</f>
        <v>-80</v>
      </c>
      <c r="M89" s="8">
        <f t="shared" ref="M89" si="224">L89*C89</f>
        <v>-8000</v>
      </c>
    </row>
    <row r="90" spans="1:13" ht="15.75" customHeight="1" x14ac:dyDescent="0.25">
      <c r="A90" s="24">
        <v>44207</v>
      </c>
      <c r="B90" s="29" t="s">
        <v>16</v>
      </c>
      <c r="C90" s="11">
        <v>100</v>
      </c>
      <c r="D90" s="11" t="s">
        <v>10</v>
      </c>
      <c r="E90" s="11">
        <v>3785</v>
      </c>
      <c r="F90" s="11">
        <v>3805</v>
      </c>
      <c r="G90" s="34">
        <v>0</v>
      </c>
      <c r="H90" s="35">
        <v>0</v>
      </c>
      <c r="I90" s="8">
        <f t="shared" ref="I90" si="225">(IF(D90="SELL",E90-F90,IF(D90="BUY",F90-E90)))*C90</f>
        <v>2000</v>
      </c>
      <c r="J90" s="8">
        <v>0</v>
      </c>
      <c r="K90" s="2">
        <v>0</v>
      </c>
      <c r="L90" s="8">
        <f t="shared" ref="L90" si="226">(J90+I90+K90)/C90</f>
        <v>20</v>
      </c>
      <c r="M90" s="8">
        <f t="shared" ref="M90" si="227">L90*C90</f>
        <v>2000</v>
      </c>
    </row>
    <row r="91" spans="1:13" ht="15.75" customHeight="1" x14ac:dyDescent="0.25">
      <c r="A91" s="24">
        <v>44204</v>
      </c>
      <c r="B91" s="29" t="s">
        <v>17</v>
      </c>
      <c r="C91" s="11">
        <v>5000</v>
      </c>
      <c r="D91" s="11" t="s">
        <v>11</v>
      </c>
      <c r="E91" s="11">
        <v>222.5</v>
      </c>
      <c r="F91" s="11">
        <v>222</v>
      </c>
      <c r="G91" s="34">
        <v>221</v>
      </c>
      <c r="H91" s="35">
        <v>0</v>
      </c>
      <c r="I91" s="8">
        <f t="shared" ref="I91" si="228">(IF(D91="SELL",E91-F91,IF(D91="BUY",F91-E91)))*C91</f>
        <v>2500</v>
      </c>
      <c r="J91" s="8">
        <f>C91*1</f>
        <v>5000</v>
      </c>
      <c r="K91" s="2">
        <v>0</v>
      </c>
      <c r="L91" s="8">
        <f t="shared" ref="L91" si="229">(J91+I91+K91)/C91</f>
        <v>1.5</v>
      </c>
      <c r="M91" s="8">
        <f t="shared" ref="M91" si="230">L91*C91</f>
        <v>7500</v>
      </c>
    </row>
    <row r="92" spans="1:13" ht="15.75" customHeight="1" x14ac:dyDescent="0.25">
      <c r="A92" s="24">
        <v>44204</v>
      </c>
      <c r="B92" s="29" t="s">
        <v>14</v>
      </c>
      <c r="C92" s="11">
        <v>30</v>
      </c>
      <c r="D92" s="11" t="s">
        <v>11</v>
      </c>
      <c r="E92" s="11">
        <v>68300</v>
      </c>
      <c r="F92" s="11">
        <v>68200</v>
      </c>
      <c r="G92" s="34">
        <v>0</v>
      </c>
      <c r="H92" s="35">
        <v>0</v>
      </c>
      <c r="I92" s="8">
        <f t="shared" ref="I92" si="231">(IF(D92="SELL",E92-F92,IF(D92="BUY",F92-E92)))*C92</f>
        <v>3000</v>
      </c>
      <c r="J92" s="8">
        <v>0</v>
      </c>
      <c r="K92" s="2">
        <v>0</v>
      </c>
      <c r="L92" s="8">
        <f t="shared" ref="L92" si="232">(J92+I92+K92)/C92</f>
        <v>100</v>
      </c>
      <c r="M92" s="8">
        <f t="shared" ref="M92" si="233">L92*C92</f>
        <v>3000</v>
      </c>
    </row>
    <row r="93" spans="1:13" ht="15.75" customHeight="1" x14ac:dyDescent="0.25">
      <c r="A93" s="24">
        <v>44204</v>
      </c>
      <c r="B93" s="29" t="s">
        <v>19</v>
      </c>
      <c r="C93" s="11">
        <v>100</v>
      </c>
      <c r="D93" s="11" t="s">
        <v>11</v>
      </c>
      <c r="E93" s="11">
        <v>50120</v>
      </c>
      <c r="F93" s="11">
        <v>50070</v>
      </c>
      <c r="G93" s="34">
        <v>50950</v>
      </c>
      <c r="H93" s="35">
        <v>0</v>
      </c>
      <c r="I93" s="8">
        <f t="shared" ref="I93" si="234">(IF(D93="SELL",E93-F93,IF(D93="BUY",F93-E93)))*C93</f>
        <v>5000</v>
      </c>
      <c r="J93" s="8">
        <f>C93*120</f>
        <v>12000</v>
      </c>
      <c r="K93" s="2">
        <v>0</v>
      </c>
      <c r="L93" s="8">
        <f t="shared" ref="L93" si="235">(J93+I93+K93)/C93</f>
        <v>170</v>
      </c>
      <c r="M93" s="8">
        <f t="shared" ref="M93" si="236">L93*C93</f>
        <v>17000</v>
      </c>
    </row>
    <row r="94" spans="1:13" ht="15.75" customHeight="1" x14ac:dyDescent="0.25">
      <c r="A94" s="24">
        <v>44204</v>
      </c>
      <c r="B94" s="29" t="s">
        <v>16</v>
      </c>
      <c r="C94" s="11">
        <v>100</v>
      </c>
      <c r="D94" s="11" t="s">
        <v>10</v>
      </c>
      <c r="E94" s="11">
        <v>3785</v>
      </c>
      <c r="F94" s="11">
        <v>3805</v>
      </c>
      <c r="G94" s="34">
        <v>0</v>
      </c>
      <c r="H94" s="35">
        <v>0</v>
      </c>
      <c r="I94" s="8">
        <f t="shared" ref="I94" si="237">(IF(D94="SELL",E94-F94,IF(D94="BUY",F94-E94)))*C94</f>
        <v>2000</v>
      </c>
      <c r="J94" s="8">
        <v>0</v>
      </c>
      <c r="K94" s="2">
        <v>0</v>
      </c>
      <c r="L94" s="8">
        <f t="shared" ref="L94" si="238">(J94+I94+K94)/C94</f>
        <v>20</v>
      </c>
      <c r="M94" s="8">
        <f t="shared" ref="M94" si="239">L94*C94</f>
        <v>2000</v>
      </c>
    </row>
    <row r="95" spans="1:13" ht="15.75" customHeight="1" x14ac:dyDescent="0.25">
      <c r="A95" s="24">
        <v>44204</v>
      </c>
      <c r="B95" s="29" t="s">
        <v>18</v>
      </c>
      <c r="C95" s="11">
        <v>2500</v>
      </c>
      <c r="D95" s="11" t="s">
        <v>11</v>
      </c>
      <c r="E95" s="11">
        <v>626.5</v>
      </c>
      <c r="F95" s="11">
        <v>625.5</v>
      </c>
      <c r="G95" s="34">
        <v>0</v>
      </c>
      <c r="H95" s="35">
        <v>0</v>
      </c>
      <c r="I95" s="8">
        <f t="shared" ref="I95" si="240">(IF(D95="SELL",E95-F95,IF(D95="BUY",F95-E95)))*C95</f>
        <v>2500</v>
      </c>
      <c r="J95" s="8">
        <v>0</v>
      </c>
      <c r="K95" s="2">
        <v>0</v>
      </c>
      <c r="L95" s="8">
        <f t="shared" ref="L95" si="241">(J95+I95+K95)/C95</f>
        <v>1</v>
      </c>
      <c r="M95" s="8">
        <f t="shared" ref="M95" si="242">L95*C95</f>
        <v>2500</v>
      </c>
    </row>
    <row r="96" spans="1:13" ht="15.75" customHeight="1" x14ac:dyDescent="0.25">
      <c r="A96" s="24">
        <v>44204</v>
      </c>
      <c r="B96" s="29" t="s">
        <v>75</v>
      </c>
      <c r="C96" s="11">
        <v>1250</v>
      </c>
      <c r="D96" s="11" t="s">
        <v>11</v>
      </c>
      <c r="E96" s="11">
        <v>196.5</v>
      </c>
      <c r="F96" s="11">
        <v>195.5</v>
      </c>
      <c r="G96" s="34">
        <v>192</v>
      </c>
      <c r="H96" s="35">
        <v>0</v>
      </c>
      <c r="I96" s="8">
        <f t="shared" ref="I96" si="243">(IF(D96="SELL",E96-F96,IF(D96="BUY",F96-E96)))*C96</f>
        <v>1250</v>
      </c>
      <c r="J96" s="8">
        <f>C96*3.5</f>
        <v>4375</v>
      </c>
      <c r="K96" s="2">
        <v>0</v>
      </c>
      <c r="L96" s="8">
        <f t="shared" ref="L96" si="244">(J96+I96+K96)/C96</f>
        <v>4.5</v>
      </c>
      <c r="M96" s="8">
        <f t="shared" ref="M96" si="245">L96*C96</f>
        <v>5625</v>
      </c>
    </row>
    <row r="97" spans="1:13" ht="15.75" customHeight="1" x14ac:dyDescent="0.25">
      <c r="A97" s="24">
        <v>44204</v>
      </c>
      <c r="B97" s="29" t="s">
        <v>19</v>
      </c>
      <c r="C97" s="11">
        <v>100</v>
      </c>
      <c r="D97" s="11" t="s">
        <v>11</v>
      </c>
      <c r="E97" s="11">
        <v>50620</v>
      </c>
      <c r="F97" s="11">
        <v>50700</v>
      </c>
      <c r="G97" s="34">
        <v>0</v>
      </c>
      <c r="H97" s="35">
        <v>0</v>
      </c>
      <c r="I97" s="8">
        <f t="shared" ref="I97" si="246">(IF(D97="SELL",E97-F97,IF(D97="BUY",F97-E97)))*C97</f>
        <v>-8000</v>
      </c>
      <c r="J97" s="8">
        <v>0</v>
      </c>
      <c r="K97" s="2">
        <v>0</v>
      </c>
      <c r="L97" s="8">
        <f t="shared" ref="L97" si="247">(J97+I97+K97)/C97</f>
        <v>-80</v>
      </c>
      <c r="M97" s="8">
        <f t="shared" ref="M97" si="248">L97*C97</f>
        <v>-8000</v>
      </c>
    </row>
    <row r="98" spans="1:13" ht="15.75" customHeight="1" x14ac:dyDescent="0.25">
      <c r="A98" s="24">
        <v>44203</v>
      </c>
      <c r="B98" s="29" t="s">
        <v>16</v>
      </c>
      <c r="C98" s="11">
        <v>100</v>
      </c>
      <c r="D98" s="11" t="s">
        <v>11</v>
      </c>
      <c r="E98" s="11">
        <v>3720</v>
      </c>
      <c r="F98" s="11">
        <v>3730</v>
      </c>
      <c r="G98" s="34">
        <v>0</v>
      </c>
      <c r="H98" s="35">
        <v>0</v>
      </c>
      <c r="I98" s="8">
        <f t="shared" ref="I98" si="249">(IF(D98="SELL",E98-F98,IF(D98="BUY",F98-E98)))*C98</f>
        <v>-1000</v>
      </c>
      <c r="J98" s="8">
        <v>0</v>
      </c>
      <c r="K98" s="2">
        <v>0</v>
      </c>
      <c r="L98" s="8">
        <f t="shared" ref="L98" si="250">(J98+I98+K98)/C98</f>
        <v>-10</v>
      </c>
      <c r="M98" s="8">
        <f t="shared" ref="M98" si="251">L98*C98</f>
        <v>-1000</v>
      </c>
    </row>
    <row r="99" spans="1:13" ht="15.75" customHeight="1" x14ac:dyDescent="0.25">
      <c r="A99" s="24">
        <v>44203</v>
      </c>
      <c r="B99" s="29" t="s">
        <v>19</v>
      </c>
      <c r="C99" s="11">
        <v>100</v>
      </c>
      <c r="D99" s="11" t="s">
        <v>11</v>
      </c>
      <c r="E99" s="11">
        <v>50810</v>
      </c>
      <c r="F99" s="11">
        <v>50760</v>
      </c>
      <c r="G99" s="34">
        <v>0</v>
      </c>
      <c r="H99" s="35">
        <v>0</v>
      </c>
      <c r="I99" s="8">
        <f t="shared" ref="I99" si="252">(IF(D99="SELL",E99-F99,IF(D99="BUY",F99-E99)))*C99</f>
        <v>5000</v>
      </c>
      <c r="J99" s="8">
        <v>0</v>
      </c>
      <c r="K99" s="2">
        <v>0</v>
      </c>
      <c r="L99" s="8">
        <f t="shared" ref="L99" si="253">(J99+I99+K99)/C99</f>
        <v>50</v>
      </c>
      <c r="M99" s="8">
        <f t="shared" ref="M99" si="254">L99*C99</f>
        <v>5000</v>
      </c>
    </row>
    <row r="100" spans="1:13" ht="15.75" customHeight="1" x14ac:dyDescent="0.25">
      <c r="A100" s="24">
        <v>44203</v>
      </c>
      <c r="B100" s="29" t="s">
        <v>18</v>
      </c>
      <c r="C100" s="11">
        <v>2500</v>
      </c>
      <c r="D100" s="11" t="s">
        <v>10</v>
      </c>
      <c r="E100" s="11">
        <v>622</v>
      </c>
      <c r="F100" s="11">
        <v>620</v>
      </c>
      <c r="G100" s="34">
        <v>0</v>
      </c>
      <c r="H100" s="35">
        <v>0</v>
      </c>
      <c r="I100" s="8">
        <f t="shared" ref="I100" si="255">(IF(D100="SELL",E100-F100,IF(D100="BUY",F100-E100)))*C100</f>
        <v>-5000</v>
      </c>
      <c r="J100" s="8">
        <v>0</v>
      </c>
      <c r="K100" s="2">
        <v>0</v>
      </c>
      <c r="L100" s="8">
        <f t="shared" ref="L100" si="256">(J100+I100+K100)/C100</f>
        <v>-2</v>
      </c>
      <c r="M100" s="8">
        <f t="shared" ref="M100" si="257">L100*C100</f>
        <v>-5000</v>
      </c>
    </row>
    <row r="101" spans="1:13" ht="15.75" customHeight="1" x14ac:dyDescent="0.25">
      <c r="A101" s="24">
        <v>44203</v>
      </c>
      <c r="B101" s="29" t="s">
        <v>75</v>
      </c>
      <c r="C101" s="11">
        <v>1250</v>
      </c>
      <c r="D101" s="11" t="s">
        <v>10</v>
      </c>
      <c r="E101" s="11">
        <v>200</v>
      </c>
      <c r="F101" s="11">
        <v>201</v>
      </c>
      <c r="G101" s="34">
        <v>0</v>
      </c>
      <c r="H101" s="35">
        <v>0</v>
      </c>
      <c r="I101" s="8">
        <f t="shared" ref="I101" si="258">(IF(D101="SELL",E101-F101,IF(D101="BUY",F101-E101)))*C101</f>
        <v>1250</v>
      </c>
      <c r="J101" s="8">
        <v>0</v>
      </c>
      <c r="K101" s="2">
        <v>0</v>
      </c>
      <c r="L101" s="8">
        <f t="shared" ref="L101" si="259">(J101+I101+K101)/C101</f>
        <v>1</v>
      </c>
      <c r="M101" s="8">
        <f t="shared" ref="M101" si="260">L101*C101</f>
        <v>1250</v>
      </c>
    </row>
    <row r="102" spans="1:13" ht="15.75" customHeight="1" x14ac:dyDescent="0.25">
      <c r="A102" s="24">
        <v>44202</v>
      </c>
      <c r="B102" s="29" t="s">
        <v>16</v>
      </c>
      <c r="C102" s="11">
        <v>100</v>
      </c>
      <c r="D102" s="11" t="s">
        <v>11</v>
      </c>
      <c r="E102" s="11">
        <v>3655</v>
      </c>
      <c r="F102" s="11">
        <v>3635</v>
      </c>
      <c r="G102" s="34">
        <v>0</v>
      </c>
      <c r="H102" s="35">
        <v>0</v>
      </c>
      <c r="I102" s="8">
        <f t="shared" ref="I102" si="261">(IF(D102="SELL",E102-F102,IF(D102="BUY",F102-E102)))*C102</f>
        <v>2000</v>
      </c>
      <c r="J102" s="8">
        <v>0</v>
      </c>
      <c r="K102" s="2">
        <v>0</v>
      </c>
      <c r="L102" s="8">
        <f t="shared" ref="L102" si="262">(J102+I102+K102)/C102</f>
        <v>20</v>
      </c>
      <c r="M102" s="8">
        <f t="shared" ref="M102" si="263">L102*C102</f>
        <v>2000</v>
      </c>
    </row>
    <row r="103" spans="1:13" ht="15.75" customHeight="1" x14ac:dyDescent="0.25">
      <c r="A103" s="24">
        <v>44202</v>
      </c>
      <c r="B103" s="29" t="s">
        <v>19</v>
      </c>
      <c r="C103" s="11">
        <v>100</v>
      </c>
      <c r="D103" s="11" t="s">
        <v>11</v>
      </c>
      <c r="E103" s="11">
        <v>51500</v>
      </c>
      <c r="F103" s="11">
        <v>51450</v>
      </c>
      <c r="G103" s="34">
        <v>51350</v>
      </c>
      <c r="H103" s="35">
        <v>0</v>
      </c>
      <c r="I103" s="8">
        <f t="shared" ref="I103" si="264">(IF(D103="SELL",E103-F103,IF(D103="BUY",F103-E103)))*C103</f>
        <v>5000</v>
      </c>
      <c r="J103" s="8">
        <f>C103*100</f>
        <v>10000</v>
      </c>
      <c r="K103" s="2">
        <v>0</v>
      </c>
      <c r="L103" s="8">
        <f t="shared" ref="L103" si="265">(J103+I103+K103)/C103</f>
        <v>150</v>
      </c>
      <c r="M103" s="8">
        <f t="shared" ref="M103" si="266">L103*C103</f>
        <v>15000</v>
      </c>
    </row>
    <row r="104" spans="1:13" ht="15.75" customHeight="1" x14ac:dyDescent="0.25">
      <c r="A104" s="24">
        <v>44202</v>
      </c>
      <c r="B104" s="29" t="s">
        <v>14</v>
      </c>
      <c r="C104" s="11">
        <v>30</v>
      </c>
      <c r="D104" s="11" t="s">
        <v>10</v>
      </c>
      <c r="E104" s="11">
        <v>71310</v>
      </c>
      <c r="F104" s="11">
        <v>71420</v>
      </c>
      <c r="G104" s="34">
        <v>71750</v>
      </c>
      <c r="H104" s="35">
        <v>0</v>
      </c>
      <c r="I104" s="8">
        <f t="shared" ref="I104" si="267">(IF(D104="SELL",E104-F104,IF(D104="BUY",F104-E104)))*C104</f>
        <v>3300</v>
      </c>
      <c r="J104" s="8">
        <f>C104*330</f>
        <v>9900</v>
      </c>
      <c r="K104" s="2">
        <v>0</v>
      </c>
      <c r="L104" s="8">
        <f t="shared" ref="L104" si="268">(J104+I104+K104)/C104</f>
        <v>440</v>
      </c>
      <c r="M104" s="8">
        <f t="shared" ref="M104" si="269">L104*C104</f>
        <v>13200</v>
      </c>
    </row>
    <row r="105" spans="1:13" ht="15.75" customHeight="1" x14ac:dyDescent="0.25">
      <c r="A105" s="24">
        <v>44202</v>
      </c>
      <c r="B105" s="29" t="s">
        <v>19</v>
      </c>
      <c r="C105" s="11">
        <v>100</v>
      </c>
      <c r="D105" s="11" t="s">
        <v>10</v>
      </c>
      <c r="E105" s="11">
        <v>51650</v>
      </c>
      <c r="F105" s="11">
        <v>51700</v>
      </c>
      <c r="G105" s="34">
        <v>51850</v>
      </c>
      <c r="H105" s="35">
        <v>0</v>
      </c>
      <c r="I105" s="8">
        <f t="shared" ref="I105" si="270">(IF(D105="SELL",E105-F105,IF(D105="BUY",F105-E105)))*C105</f>
        <v>5000</v>
      </c>
      <c r="J105" s="8">
        <f>C105*150</f>
        <v>15000</v>
      </c>
      <c r="K105" s="2">
        <v>0</v>
      </c>
      <c r="L105" s="8">
        <f t="shared" ref="L105" si="271">(J105+I105+K105)/C105</f>
        <v>200</v>
      </c>
      <c r="M105" s="8">
        <f t="shared" ref="M105" si="272">L105*C105</f>
        <v>20000</v>
      </c>
    </row>
    <row r="106" spans="1:13" ht="15.75" customHeight="1" x14ac:dyDescent="0.25">
      <c r="A106" s="24">
        <v>44202</v>
      </c>
      <c r="B106" s="29" t="s">
        <v>18</v>
      </c>
      <c r="C106" s="11">
        <v>2500</v>
      </c>
      <c r="D106" s="11" t="s">
        <v>10</v>
      </c>
      <c r="E106" s="11">
        <v>618.5</v>
      </c>
      <c r="F106" s="11">
        <v>619.5</v>
      </c>
      <c r="G106" s="34">
        <v>622.5</v>
      </c>
      <c r="H106" s="35">
        <v>0</v>
      </c>
      <c r="I106" s="8">
        <f t="shared" ref="I106" si="273">(IF(D106="SELL",E106-F106,IF(D106="BUY",F106-E106)))*C106</f>
        <v>2500</v>
      </c>
      <c r="J106" s="8">
        <f>C106*3</f>
        <v>7500</v>
      </c>
      <c r="K106" s="2">
        <v>0</v>
      </c>
      <c r="L106" s="8">
        <f t="shared" ref="L106" si="274">(J106+I106+K106)/C106</f>
        <v>4</v>
      </c>
      <c r="M106" s="8">
        <f t="shared" ref="M106" si="275">L106*C106</f>
        <v>10000</v>
      </c>
    </row>
    <row r="107" spans="1:13" ht="15.75" customHeight="1" x14ac:dyDescent="0.25">
      <c r="A107" s="24">
        <v>44202</v>
      </c>
      <c r="B107" s="29" t="s">
        <v>17</v>
      </c>
      <c r="C107" s="11">
        <v>5000</v>
      </c>
      <c r="D107" s="11" t="s">
        <v>10</v>
      </c>
      <c r="E107" s="11">
        <v>222.4</v>
      </c>
      <c r="F107" s="11">
        <v>222.9</v>
      </c>
      <c r="G107" s="34">
        <v>223.7</v>
      </c>
      <c r="H107" s="35">
        <v>0</v>
      </c>
      <c r="I107" s="8">
        <f t="shared" ref="I107" si="276">(IF(D107="SELL",E107-F107,IF(D107="BUY",F107-E107)))*C107</f>
        <v>2500</v>
      </c>
      <c r="J107" s="8">
        <f>C107*0.8</f>
        <v>4000</v>
      </c>
      <c r="K107" s="2">
        <v>0</v>
      </c>
      <c r="L107" s="8">
        <f t="shared" ref="L107" si="277">(J107+I107+K107)/C107</f>
        <v>1.3</v>
      </c>
      <c r="M107" s="8">
        <f t="shared" ref="M107" si="278">L107*C107</f>
        <v>6500</v>
      </c>
    </row>
    <row r="108" spans="1:13" ht="15.75" customHeight="1" x14ac:dyDescent="0.25">
      <c r="A108" s="24">
        <v>44202</v>
      </c>
      <c r="B108" s="29" t="s">
        <v>75</v>
      </c>
      <c r="C108" s="11">
        <v>1250</v>
      </c>
      <c r="D108" s="11" t="s">
        <v>11</v>
      </c>
      <c r="E108" s="11">
        <v>196</v>
      </c>
      <c r="F108" s="11">
        <v>195</v>
      </c>
      <c r="G108" s="34">
        <v>192</v>
      </c>
      <c r="H108" s="35">
        <v>0</v>
      </c>
      <c r="I108" s="8">
        <f t="shared" ref="I108" si="279">(IF(D108="SELL",E108-F108,IF(D108="BUY",F108-E108)))*C108</f>
        <v>1250</v>
      </c>
      <c r="J108" s="8">
        <f>C108*3</f>
        <v>3750</v>
      </c>
      <c r="K108" s="2">
        <v>0</v>
      </c>
      <c r="L108" s="8">
        <f t="shared" ref="L108" si="280">(J108+I108+K108)/C108</f>
        <v>4</v>
      </c>
      <c r="M108" s="8">
        <f t="shared" ref="M108" si="281">L108*C108</f>
        <v>5000</v>
      </c>
    </row>
    <row r="109" spans="1:13" ht="15.75" customHeight="1" x14ac:dyDescent="0.25">
      <c r="A109" s="24">
        <v>44201</v>
      </c>
      <c r="B109" s="29" t="s">
        <v>75</v>
      </c>
      <c r="C109" s="11">
        <v>1250</v>
      </c>
      <c r="D109" s="11" t="s">
        <v>11</v>
      </c>
      <c r="E109" s="11">
        <v>196.5</v>
      </c>
      <c r="F109" s="11">
        <v>198.6</v>
      </c>
      <c r="G109" s="34">
        <v>0</v>
      </c>
      <c r="H109" s="35">
        <v>0</v>
      </c>
      <c r="I109" s="8">
        <f t="shared" ref="I109" si="282">(IF(D109="SELL",E109-F109,IF(D109="BUY",F109-E109)))*C109</f>
        <v>-2624.9999999999927</v>
      </c>
      <c r="J109" s="8">
        <v>0</v>
      </c>
      <c r="K109" s="2">
        <v>0</v>
      </c>
      <c r="L109" s="8">
        <f t="shared" ref="L109" si="283">(J109+I109+K109)/C109</f>
        <v>-2.0999999999999943</v>
      </c>
      <c r="M109" s="8">
        <f t="shared" ref="M109" si="284">L109*C109</f>
        <v>-2624.9999999999927</v>
      </c>
    </row>
    <row r="110" spans="1:13" ht="15.75" customHeight="1" x14ac:dyDescent="0.25">
      <c r="A110" s="24">
        <v>44201</v>
      </c>
      <c r="B110" s="29" t="s">
        <v>14</v>
      </c>
      <c r="C110" s="11">
        <v>30</v>
      </c>
      <c r="D110" s="11" t="s">
        <v>10</v>
      </c>
      <c r="E110" s="11">
        <v>70790</v>
      </c>
      <c r="F110" s="11">
        <v>70540</v>
      </c>
      <c r="G110" s="34">
        <v>0</v>
      </c>
      <c r="H110" s="35">
        <v>0</v>
      </c>
      <c r="I110" s="8">
        <f t="shared" ref="I110" si="285">(IF(D110="SELL",E110-F110,IF(D110="BUY",F110-E110)))*C110</f>
        <v>-7500</v>
      </c>
      <c r="J110" s="8">
        <v>0</v>
      </c>
      <c r="K110" s="2">
        <v>0</v>
      </c>
      <c r="L110" s="8">
        <f t="shared" ref="L110" si="286">(J110+I110+K110)/C110</f>
        <v>-250</v>
      </c>
      <c r="M110" s="8">
        <f t="shared" ref="M110" si="287">L110*C110</f>
        <v>-7500</v>
      </c>
    </row>
    <row r="111" spans="1:13" ht="15.75" customHeight="1" x14ac:dyDescent="0.25">
      <c r="A111" s="24">
        <v>44201</v>
      </c>
      <c r="B111" s="29" t="s">
        <v>16</v>
      </c>
      <c r="C111" s="11">
        <v>100</v>
      </c>
      <c r="D111" s="11" t="s">
        <v>10</v>
      </c>
      <c r="E111" s="11">
        <v>3500</v>
      </c>
      <c r="F111" s="11">
        <v>3520</v>
      </c>
      <c r="G111" s="34">
        <v>3550</v>
      </c>
      <c r="H111" s="35">
        <v>0</v>
      </c>
      <c r="I111" s="8">
        <f t="shared" ref="I111" si="288">(IF(D111="SELL",E111-F111,IF(D111="BUY",F111-E111)))*C111</f>
        <v>2000</v>
      </c>
      <c r="J111" s="8">
        <f>C111*30</f>
        <v>3000</v>
      </c>
      <c r="K111" s="2">
        <v>0</v>
      </c>
      <c r="L111" s="8">
        <f t="shared" ref="L111" si="289">(J111+I111+K111)/C111</f>
        <v>50</v>
      </c>
      <c r="M111" s="8">
        <f t="shared" ref="M111" si="290">L111*C111</f>
        <v>5000</v>
      </c>
    </row>
    <row r="112" spans="1:13" ht="15.75" customHeight="1" x14ac:dyDescent="0.25">
      <c r="A112" s="24">
        <v>44200</v>
      </c>
      <c r="B112" s="29" t="s">
        <v>14</v>
      </c>
      <c r="C112" s="11">
        <v>30</v>
      </c>
      <c r="D112" s="11" t="s">
        <v>11</v>
      </c>
      <c r="E112" s="11">
        <v>69900</v>
      </c>
      <c r="F112" s="11">
        <v>70170</v>
      </c>
      <c r="G112" s="34">
        <v>0</v>
      </c>
      <c r="H112" s="35">
        <v>0</v>
      </c>
      <c r="I112" s="8">
        <f t="shared" ref="I112" si="291">(IF(D112="SELL",E112-F112,IF(D112="BUY",F112-E112)))*C112</f>
        <v>-8100</v>
      </c>
      <c r="J112" s="8">
        <v>0</v>
      </c>
      <c r="K112" s="2">
        <v>0</v>
      </c>
      <c r="L112" s="8">
        <f t="shared" ref="L112" si="292">(J112+I112+K112)/C112</f>
        <v>-270</v>
      </c>
      <c r="M112" s="8">
        <f t="shared" ref="M112" si="293">L112*C112</f>
        <v>-8100</v>
      </c>
    </row>
    <row r="113" spans="1:13" ht="15.75" customHeight="1" x14ac:dyDescent="0.25">
      <c r="A113" s="24">
        <v>44200</v>
      </c>
      <c r="B113" s="29" t="s">
        <v>19</v>
      </c>
      <c r="C113" s="11">
        <v>100</v>
      </c>
      <c r="D113" s="11" t="s">
        <v>10</v>
      </c>
      <c r="E113" s="11">
        <v>51140</v>
      </c>
      <c r="F113" s="11">
        <v>51190</v>
      </c>
      <c r="G113" s="34">
        <v>0</v>
      </c>
      <c r="H113" s="35">
        <v>0</v>
      </c>
      <c r="I113" s="8">
        <f t="shared" ref="I113" si="294">(IF(D113="SELL",E113-F113,IF(D113="BUY",F113-E113)))*C113</f>
        <v>5000</v>
      </c>
      <c r="J113" s="8">
        <v>0</v>
      </c>
      <c r="K113" s="2">
        <v>0</v>
      </c>
      <c r="L113" s="8">
        <f t="shared" ref="L113" si="295">(J113+I113+K113)/C113</f>
        <v>50</v>
      </c>
      <c r="M113" s="8">
        <f t="shared" ref="M113" si="296">L113*C113</f>
        <v>5000</v>
      </c>
    </row>
    <row r="114" spans="1:13" ht="15.75" customHeight="1" x14ac:dyDescent="0.25">
      <c r="A114" s="24">
        <v>44200</v>
      </c>
      <c r="B114" s="29" t="s">
        <v>17</v>
      </c>
      <c r="C114" s="11">
        <v>5000</v>
      </c>
      <c r="D114" s="11" t="s">
        <v>10</v>
      </c>
      <c r="E114" s="11">
        <v>218.5</v>
      </c>
      <c r="F114" s="11">
        <v>218.9</v>
      </c>
      <c r="G114" s="34">
        <v>0</v>
      </c>
      <c r="H114" s="35">
        <v>0</v>
      </c>
      <c r="I114" s="8">
        <f t="shared" ref="I114" si="297">(IF(D114="SELL",E114-F114,IF(D114="BUY",F114-E114)))*C114</f>
        <v>2000.0000000000284</v>
      </c>
      <c r="J114" s="8">
        <v>0</v>
      </c>
      <c r="K114" s="2">
        <v>0</v>
      </c>
      <c r="L114" s="8">
        <f t="shared" ref="L114" si="298">(J114+I114+K114)/C114</f>
        <v>0.40000000000000568</v>
      </c>
      <c r="M114" s="8">
        <f t="shared" ref="M114" si="299">L114*C114</f>
        <v>2000.0000000000284</v>
      </c>
    </row>
    <row r="115" spans="1:13" ht="15.75" customHeight="1" x14ac:dyDescent="0.25">
      <c r="A115" s="24">
        <v>44200</v>
      </c>
      <c r="B115" s="29" t="s">
        <v>75</v>
      </c>
      <c r="C115" s="11">
        <v>1250</v>
      </c>
      <c r="D115" s="11" t="s">
        <v>11</v>
      </c>
      <c r="E115" s="11">
        <v>191</v>
      </c>
      <c r="F115" s="11">
        <v>193</v>
      </c>
      <c r="G115" s="34">
        <v>0</v>
      </c>
      <c r="H115" s="35">
        <v>0</v>
      </c>
      <c r="I115" s="8">
        <f t="shared" ref="I115" si="300">(IF(D115="SELL",E115-F115,IF(D115="BUY",F115-E115)))*C115</f>
        <v>-2500</v>
      </c>
      <c r="J115" s="8">
        <v>0</v>
      </c>
      <c r="K115" s="2">
        <v>0</v>
      </c>
      <c r="L115" s="8">
        <f t="shared" ref="L115" si="301">(J115+I115+K115)/C115</f>
        <v>-2</v>
      </c>
      <c r="M115" s="8">
        <f t="shared" ref="M115" si="302">L115*C115</f>
        <v>-2500</v>
      </c>
    </row>
    <row r="116" spans="1:13" ht="15.75" customHeight="1" x14ac:dyDescent="0.25">
      <c r="A116" s="24">
        <v>44200</v>
      </c>
      <c r="B116" s="29" t="s">
        <v>14</v>
      </c>
      <c r="C116" s="11">
        <v>30</v>
      </c>
      <c r="D116" s="11" t="s">
        <v>10</v>
      </c>
      <c r="E116" s="11">
        <v>69900</v>
      </c>
      <c r="F116" s="11">
        <v>70000</v>
      </c>
      <c r="G116" s="34">
        <v>70300</v>
      </c>
      <c r="H116" s="35">
        <v>0</v>
      </c>
      <c r="I116" s="8">
        <f t="shared" ref="I116" si="303">(IF(D116="SELL",E116-F116,IF(D116="BUY",F116-E116)))*C116</f>
        <v>3000</v>
      </c>
      <c r="J116" s="8">
        <f>C116*300</f>
        <v>9000</v>
      </c>
      <c r="K116" s="2">
        <v>0</v>
      </c>
      <c r="L116" s="8">
        <f t="shared" ref="L116" si="304">(J116+I116+K116)/C116</f>
        <v>400</v>
      </c>
      <c r="M116" s="8">
        <f t="shared" ref="M116" si="305">L116*C116</f>
        <v>12000</v>
      </c>
    </row>
    <row r="117" spans="1:13" ht="15.75" customHeight="1" x14ac:dyDescent="0.25">
      <c r="A117" s="24">
        <v>44196</v>
      </c>
      <c r="B117" s="29" t="s">
        <v>23</v>
      </c>
      <c r="C117" s="11">
        <v>1500</v>
      </c>
      <c r="D117" s="11" t="s">
        <v>11</v>
      </c>
      <c r="E117" s="11">
        <v>1218.5</v>
      </c>
      <c r="F117" s="11">
        <v>1215</v>
      </c>
      <c r="G117" s="34">
        <v>1210</v>
      </c>
      <c r="H117" s="35">
        <v>0</v>
      </c>
      <c r="I117" s="8">
        <f t="shared" ref="I117" si="306">(IF(D117="SELL",E117-F117,IF(D117="BUY",F117-E117)))*C117</f>
        <v>5250</v>
      </c>
      <c r="J117" s="8">
        <f>C117*5</f>
        <v>7500</v>
      </c>
      <c r="K117" s="2">
        <v>0</v>
      </c>
      <c r="L117" s="8">
        <f t="shared" ref="L117" si="307">(J117+I117+K117)/C117</f>
        <v>8.5</v>
      </c>
      <c r="M117" s="8">
        <f t="shared" ref="M117" si="308">L117*C117</f>
        <v>12750</v>
      </c>
    </row>
    <row r="118" spans="1:13" ht="15.75" customHeight="1" x14ac:dyDescent="0.25">
      <c r="A118" s="24">
        <v>44196</v>
      </c>
      <c r="B118" s="29" t="s">
        <v>16</v>
      </c>
      <c r="C118" s="11">
        <v>100</v>
      </c>
      <c r="D118" s="11" t="s">
        <v>11</v>
      </c>
      <c r="E118" s="11">
        <v>3515</v>
      </c>
      <c r="F118" s="11">
        <v>3525</v>
      </c>
      <c r="G118" s="34">
        <v>0</v>
      </c>
      <c r="H118" s="35">
        <v>0</v>
      </c>
      <c r="I118" s="8">
        <f t="shared" ref="I118" si="309">(IF(D118="SELL",E118-F118,IF(D118="BUY",F118-E118)))*C118</f>
        <v>-1000</v>
      </c>
      <c r="J118" s="8">
        <v>0</v>
      </c>
      <c r="K118" s="2">
        <v>0</v>
      </c>
      <c r="L118" s="8">
        <f t="shared" ref="L118" si="310">(J118+I118+K118)/C118</f>
        <v>-10</v>
      </c>
      <c r="M118" s="8">
        <f t="shared" ref="M118" si="311">L118*C118</f>
        <v>-1000</v>
      </c>
    </row>
    <row r="119" spans="1:13" ht="15.75" customHeight="1" x14ac:dyDescent="0.25">
      <c r="A119" s="24">
        <v>44196</v>
      </c>
      <c r="B119" s="29" t="s">
        <v>75</v>
      </c>
      <c r="C119" s="11">
        <v>1250</v>
      </c>
      <c r="D119" s="11" t="s">
        <v>10</v>
      </c>
      <c r="E119" s="11">
        <v>184.5</v>
      </c>
      <c r="F119" s="11">
        <v>182</v>
      </c>
      <c r="G119" s="34">
        <v>0</v>
      </c>
      <c r="H119" s="35">
        <v>0</v>
      </c>
      <c r="I119" s="8">
        <f t="shared" ref="I119" si="312">(IF(D119="SELL",E119-F119,IF(D119="BUY",F119-E119)))*C119</f>
        <v>-3125</v>
      </c>
      <c r="J119" s="8">
        <v>0</v>
      </c>
      <c r="K119" s="2">
        <v>0</v>
      </c>
      <c r="L119" s="8">
        <f t="shared" ref="L119" si="313">(J119+I119+K119)/C119</f>
        <v>-2.5</v>
      </c>
      <c r="M119" s="8">
        <f t="shared" ref="M119" si="314">L119*C119</f>
        <v>-3125</v>
      </c>
    </row>
    <row r="120" spans="1:13" ht="15.75" customHeight="1" x14ac:dyDescent="0.25">
      <c r="A120" s="24">
        <v>44196</v>
      </c>
      <c r="B120" s="29" t="s">
        <v>17</v>
      </c>
      <c r="C120" s="11">
        <v>5000</v>
      </c>
      <c r="D120" s="11" t="s">
        <v>11</v>
      </c>
      <c r="E120" s="11">
        <v>213.6</v>
      </c>
      <c r="F120" s="11">
        <v>214.6</v>
      </c>
      <c r="G120" s="34">
        <v>0</v>
      </c>
      <c r="H120" s="35">
        <v>0</v>
      </c>
      <c r="I120" s="8">
        <f t="shared" ref="I120" si="315">(IF(D120="SELL",E120-F120,IF(D120="BUY",F120-E120)))*C120</f>
        <v>-5000</v>
      </c>
      <c r="J120" s="8">
        <v>0</v>
      </c>
      <c r="K120" s="2">
        <v>0</v>
      </c>
      <c r="L120" s="8">
        <f t="shared" ref="L120" si="316">(J120+I120+K120)/C120</f>
        <v>-1</v>
      </c>
      <c r="M120" s="8">
        <f t="shared" ref="M120" si="317">L120*C120</f>
        <v>-5000</v>
      </c>
    </row>
    <row r="121" spans="1:13" ht="15.75" customHeight="1" x14ac:dyDescent="0.25">
      <c r="A121" s="24">
        <v>44195</v>
      </c>
      <c r="B121" s="29" t="s">
        <v>19</v>
      </c>
      <c r="C121" s="11">
        <v>100</v>
      </c>
      <c r="D121" s="11" t="s">
        <v>10</v>
      </c>
      <c r="E121" s="11">
        <v>49910</v>
      </c>
      <c r="F121" s="11">
        <v>49960</v>
      </c>
      <c r="G121" s="34">
        <v>50050</v>
      </c>
      <c r="H121" s="35">
        <v>0</v>
      </c>
      <c r="I121" s="8">
        <f t="shared" ref="I121" si="318">(IF(D121="SELL",E121-F121,IF(D121="BUY",F121-E121)))*C121</f>
        <v>5000</v>
      </c>
      <c r="J121" s="8">
        <f>C121*90</f>
        <v>9000</v>
      </c>
      <c r="K121" s="2">
        <v>0</v>
      </c>
      <c r="L121" s="8">
        <f t="shared" ref="L121" si="319">(J121+I121+K121)/C121</f>
        <v>140</v>
      </c>
      <c r="M121" s="8">
        <f t="shared" ref="M121" si="320">L121*C121</f>
        <v>14000</v>
      </c>
    </row>
    <row r="122" spans="1:13" ht="15.75" customHeight="1" x14ac:dyDescent="0.25">
      <c r="A122" s="24">
        <v>44195</v>
      </c>
      <c r="B122" s="29" t="s">
        <v>74</v>
      </c>
      <c r="C122" s="11">
        <v>1500</v>
      </c>
      <c r="D122" s="11" t="s">
        <v>11</v>
      </c>
      <c r="E122" s="11">
        <v>1242.5</v>
      </c>
      <c r="F122" s="11">
        <v>1239</v>
      </c>
      <c r="G122" s="34">
        <v>1230</v>
      </c>
      <c r="H122" s="35">
        <v>0</v>
      </c>
      <c r="I122" s="8">
        <f t="shared" ref="I122" si="321">(IF(D122="SELL",E122-F122,IF(D122="BUY",F122-E122)))*C122</f>
        <v>5250</v>
      </c>
      <c r="J122" s="8">
        <f>C122*9</f>
        <v>13500</v>
      </c>
      <c r="K122" s="2">
        <v>0</v>
      </c>
      <c r="L122" s="8">
        <f t="shared" ref="L122" si="322">(J122+I122+K122)/C122</f>
        <v>12.5</v>
      </c>
      <c r="M122" s="8">
        <f t="shared" ref="M122" si="323">L122*C122</f>
        <v>18750</v>
      </c>
    </row>
    <row r="123" spans="1:13" ht="15.75" customHeight="1" x14ac:dyDescent="0.25">
      <c r="A123" s="24">
        <v>44195</v>
      </c>
      <c r="B123" s="29" t="s">
        <v>16</v>
      </c>
      <c r="C123" s="11">
        <v>100</v>
      </c>
      <c r="D123" s="11" t="s">
        <v>10</v>
      </c>
      <c r="E123" s="11">
        <v>3560</v>
      </c>
      <c r="F123" s="11">
        <v>3520</v>
      </c>
      <c r="G123" s="34">
        <v>0</v>
      </c>
      <c r="H123" s="35">
        <v>0</v>
      </c>
      <c r="I123" s="8">
        <f t="shared" ref="I123" si="324">(IF(D123="SELL",E123-F123,IF(D123="BUY",F123-E123)))*C123</f>
        <v>-4000</v>
      </c>
      <c r="J123" s="8">
        <v>0</v>
      </c>
      <c r="K123" s="2">
        <v>0</v>
      </c>
      <c r="L123" s="8">
        <f t="shared" ref="L123" si="325">(J123+I123+K123)/C123</f>
        <v>-40</v>
      </c>
      <c r="M123" s="8">
        <f t="shared" ref="M123" si="326">L123*C123</f>
        <v>-4000</v>
      </c>
    </row>
    <row r="124" spans="1:13" ht="15.75" customHeight="1" x14ac:dyDescent="0.25">
      <c r="A124" s="24">
        <v>44195</v>
      </c>
      <c r="B124" s="29" t="s">
        <v>18</v>
      </c>
      <c r="C124" s="11">
        <v>2500</v>
      </c>
      <c r="D124" s="11" t="s">
        <v>11</v>
      </c>
      <c r="E124" s="11">
        <v>601.6</v>
      </c>
      <c r="F124" s="11">
        <v>600.6</v>
      </c>
      <c r="G124" s="34">
        <v>0</v>
      </c>
      <c r="H124" s="35">
        <v>0</v>
      </c>
      <c r="I124" s="8">
        <f t="shared" ref="I124" si="327">(IF(D124="SELL",E124-F124,IF(D124="BUY",F124-E124)))*C124</f>
        <v>2500</v>
      </c>
      <c r="J124" s="8">
        <v>0</v>
      </c>
      <c r="K124" s="2">
        <v>0</v>
      </c>
      <c r="L124" s="8">
        <f t="shared" ref="L124" si="328">(J124+I124+K124)/C124</f>
        <v>1</v>
      </c>
      <c r="M124" s="8">
        <f t="shared" ref="M124" si="329">L124*C124</f>
        <v>2500</v>
      </c>
    </row>
    <row r="125" spans="1:13" ht="15.75" customHeight="1" x14ac:dyDescent="0.25">
      <c r="A125" s="24">
        <v>44195</v>
      </c>
      <c r="B125" s="29" t="s">
        <v>17</v>
      </c>
      <c r="C125" s="11">
        <v>5000</v>
      </c>
      <c r="D125" s="11" t="s">
        <v>11</v>
      </c>
      <c r="E125" s="11">
        <v>216</v>
      </c>
      <c r="F125" s="11">
        <v>215.5</v>
      </c>
      <c r="G125" s="34">
        <v>0</v>
      </c>
      <c r="H125" s="35">
        <v>0</v>
      </c>
      <c r="I125" s="8">
        <f t="shared" ref="I125" si="330">(IF(D125="SELL",E125-F125,IF(D125="BUY",F125-E125)))*C125</f>
        <v>2500</v>
      </c>
      <c r="J125" s="8">
        <v>0</v>
      </c>
      <c r="K125" s="2">
        <v>0</v>
      </c>
      <c r="L125" s="8">
        <f t="shared" ref="L125" si="331">(J125+I125+K125)/C125</f>
        <v>0.5</v>
      </c>
      <c r="M125" s="8">
        <f t="shared" ref="M125" si="332">L125*C125</f>
        <v>2500</v>
      </c>
    </row>
    <row r="126" spans="1:13" ht="15.75" customHeight="1" x14ac:dyDescent="0.25">
      <c r="A126" s="24">
        <v>44195</v>
      </c>
      <c r="B126" s="29" t="s">
        <v>19</v>
      </c>
      <c r="C126" s="11">
        <v>100</v>
      </c>
      <c r="D126" s="11" t="s">
        <v>11</v>
      </c>
      <c r="E126" s="11">
        <v>49990</v>
      </c>
      <c r="F126" s="11">
        <v>49940</v>
      </c>
      <c r="G126" s="34">
        <v>0</v>
      </c>
      <c r="H126" s="35">
        <v>0</v>
      </c>
      <c r="I126" s="8">
        <f t="shared" ref="I126" si="333">(IF(D126="SELL",E126-F126,IF(D126="BUY",F126-E126)))*C126</f>
        <v>5000</v>
      </c>
      <c r="J126" s="8">
        <v>0</v>
      </c>
      <c r="K126" s="2">
        <v>0</v>
      </c>
      <c r="L126" s="8">
        <f t="shared" ref="L126" si="334">(J126+I126+K126)/C126</f>
        <v>50</v>
      </c>
      <c r="M126" s="8">
        <f t="shared" ref="M126" si="335">L126*C126</f>
        <v>5000</v>
      </c>
    </row>
    <row r="127" spans="1:13" ht="15.75" customHeight="1" x14ac:dyDescent="0.25">
      <c r="A127" s="24">
        <v>44195</v>
      </c>
      <c r="B127" s="29" t="s">
        <v>75</v>
      </c>
      <c r="C127" s="11">
        <v>1250</v>
      </c>
      <c r="D127" s="11" t="s">
        <v>10</v>
      </c>
      <c r="E127" s="11">
        <v>179</v>
      </c>
      <c r="F127" s="11">
        <v>180</v>
      </c>
      <c r="G127" s="34">
        <v>0</v>
      </c>
      <c r="H127" s="35">
        <v>0</v>
      </c>
      <c r="I127" s="8">
        <f t="shared" ref="I127" si="336">(IF(D127="SELL",E127-F127,IF(D127="BUY",F127-E127)))*C127</f>
        <v>1250</v>
      </c>
      <c r="J127" s="8">
        <v>0</v>
      </c>
      <c r="K127" s="2">
        <v>0</v>
      </c>
      <c r="L127" s="8">
        <f t="shared" ref="L127" si="337">(J127+I127+K127)/C127</f>
        <v>1</v>
      </c>
      <c r="M127" s="8">
        <f t="shared" ref="M127" si="338">L127*C127</f>
        <v>1250</v>
      </c>
    </row>
    <row r="128" spans="1:13" ht="15.75" customHeight="1" x14ac:dyDescent="0.25">
      <c r="A128" s="24">
        <v>44195</v>
      </c>
      <c r="B128" s="29" t="s">
        <v>14</v>
      </c>
      <c r="C128" s="11">
        <v>30</v>
      </c>
      <c r="D128" s="11" t="s">
        <v>11</v>
      </c>
      <c r="E128" s="11">
        <v>68450</v>
      </c>
      <c r="F128" s="11">
        <v>68350</v>
      </c>
      <c r="G128" s="34">
        <v>0</v>
      </c>
      <c r="H128" s="35">
        <v>0</v>
      </c>
      <c r="I128" s="8">
        <f t="shared" ref="I128" si="339">(IF(D128="SELL",E128-F128,IF(D128="BUY",F128-E128)))*C128</f>
        <v>3000</v>
      </c>
      <c r="J128" s="8">
        <v>0</v>
      </c>
      <c r="K128" s="2">
        <v>0</v>
      </c>
      <c r="L128" s="8">
        <f t="shared" ref="L128" si="340">(J128+I128+K128)/C128</f>
        <v>100</v>
      </c>
      <c r="M128" s="8">
        <f t="shared" ref="M128" si="341">L128*C128</f>
        <v>3000</v>
      </c>
    </row>
    <row r="129" spans="1:13" ht="15.75" customHeight="1" x14ac:dyDescent="0.25">
      <c r="A129" s="24">
        <v>44194</v>
      </c>
      <c r="B129" s="29" t="s">
        <v>23</v>
      </c>
      <c r="C129" s="11">
        <v>1500</v>
      </c>
      <c r="D129" s="11" t="s">
        <v>11</v>
      </c>
      <c r="E129" s="11">
        <v>1262.5</v>
      </c>
      <c r="F129" s="11">
        <v>1259</v>
      </c>
      <c r="G129" s="34">
        <v>1257</v>
      </c>
      <c r="H129" s="35">
        <v>0</v>
      </c>
      <c r="I129" s="8">
        <f t="shared" ref="I129" si="342">(IF(D129="SELL",E129-F129,IF(D129="BUY",F129-E129)))*C129</f>
        <v>5250</v>
      </c>
      <c r="J129" s="8">
        <f>C129*2</f>
        <v>3000</v>
      </c>
      <c r="K129" s="2">
        <v>0</v>
      </c>
      <c r="L129" s="8">
        <f t="shared" ref="L129" si="343">(J129+I129+K129)/C129</f>
        <v>5.5</v>
      </c>
      <c r="M129" s="8">
        <f t="shared" ref="M129" si="344">L129*C129</f>
        <v>8250</v>
      </c>
    </row>
    <row r="130" spans="1:13" ht="15.75" customHeight="1" x14ac:dyDescent="0.25">
      <c r="A130" s="24">
        <v>44194</v>
      </c>
      <c r="B130" s="29" t="s">
        <v>75</v>
      </c>
      <c r="C130" s="11">
        <v>1250</v>
      </c>
      <c r="D130" s="11" t="s">
        <v>10</v>
      </c>
      <c r="E130" s="11">
        <v>176</v>
      </c>
      <c r="F130" s="11">
        <v>177</v>
      </c>
      <c r="G130" s="34">
        <v>180</v>
      </c>
      <c r="H130" s="35">
        <v>0</v>
      </c>
      <c r="I130" s="8">
        <f t="shared" ref="I130" si="345">(IF(D130="SELL",E130-F130,IF(D130="BUY",F130-E130)))*C130</f>
        <v>1250</v>
      </c>
      <c r="J130" s="8">
        <f>C130*3</f>
        <v>3750</v>
      </c>
      <c r="K130" s="2">
        <v>0</v>
      </c>
      <c r="L130" s="8">
        <f t="shared" ref="L130" si="346">(J130+I130+K130)/C130</f>
        <v>4</v>
      </c>
      <c r="M130" s="8">
        <f t="shared" ref="M130" si="347">L130*C130</f>
        <v>5000</v>
      </c>
    </row>
    <row r="131" spans="1:13" ht="15.75" customHeight="1" x14ac:dyDescent="0.25">
      <c r="A131" s="24">
        <v>44194</v>
      </c>
      <c r="B131" s="29" t="s">
        <v>14</v>
      </c>
      <c r="C131" s="11">
        <v>30</v>
      </c>
      <c r="D131" s="11" t="s">
        <v>11</v>
      </c>
      <c r="E131" s="11">
        <v>68070</v>
      </c>
      <c r="F131" s="11">
        <v>67970</v>
      </c>
      <c r="G131" s="34">
        <v>67700</v>
      </c>
      <c r="H131" s="35">
        <v>0</v>
      </c>
      <c r="I131" s="8">
        <f t="shared" ref="I131" si="348">(IF(D131="SELL",E131-F131,IF(D131="BUY",F131-E131)))*C131</f>
        <v>3000</v>
      </c>
      <c r="J131" s="8">
        <f>C131*270</f>
        <v>8100</v>
      </c>
      <c r="K131" s="2">
        <v>0</v>
      </c>
      <c r="L131" s="8">
        <f t="shared" ref="L131" si="349">(J131+I131+K131)/C131</f>
        <v>370</v>
      </c>
      <c r="M131" s="8">
        <f t="shared" ref="M131" si="350">L131*C131</f>
        <v>11100</v>
      </c>
    </row>
    <row r="132" spans="1:13" ht="15.75" customHeight="1" x14ac:dyDescent="0.25">
      <c r="A132" s="24">
        <v>44194</v>
      </c>
      <c r="B132" s="29" t="s">
        <v>18</v>
      </c>
      <c r="C132" s="11">
        <v>2500</v>
      </c>
      <c r="D132" s="11" t="s">
        <v>11</v>
      </c>
      <c r="E132" s="11">
        <v>603</v>
      </c>
      <c r="F132" s="11">
        <v>602</v>
      </c>
      <c r="G132" s="34">
        <v>600</v>
      </c>
      <c r="H132" s="35">
        <v>0</v>
      </c>
      <c r="I132" s="8">
        <f t="shared" ref="I132" si="351">(IF(D132="SELL",E132-F132,IF(D132="BUY",F132-E132)))*C132</f>
        <v>2500</v>
      </c>
      <c r="J132" s="8">
        <f>C132*2</f>
        <v>5000</v>
      </c>
      <c r="K132" s="2">
        <v>0</v>
      </c>
      <c r="L132" s="8">
        <f t="shared" ref="L132" si="352">(J132+I132+K132)/C132</f>
        <v>3</v>
      </c>
      <c r="M132" s="8">
        <f t="shared" ref="M132" si="353">L132*C132</f>
        <v>7500</v>
      </c>
    </row>
    <row r="133" spans="1:13" ht="15.75" customHeight="1" x14ac:dyDescent="0.25">
      <c r="A133" s="24">
        <v>44194</v>
      </c>
      <c r="B133" s="29" t="s">
        <v>19</v>
      </c>
      <c r="C133" s="11">
        <v>100</v>
      </c>
      <c r="D133" s="11" t="s">
        <v>11</v>
      </c>
      <c r="E133" s="11">
        <v>49920</v>
      </c>
      <c r="F133" s="11">
        <v>49870</v>
      </c>
      <c r="G133" s="34">
        <v>0</v>
      </c>
      <c r="H133" s="35">
        <v>0</v>
      </c>
      <c r="I133" s="8">
        <f t="shared" ref="I133" si="354">(IF(D133="SELL",E133-F133,IF(D133="BUY",F133-E133)))*C133</f>
        <v>5000</v>
      </c>
      <c r="J133" s="8">
        <v>0</v>
      </c>
      <c r="K133" s="2">
        <v>0</v>
      </c>
      <c r="L133" s="8">
        <f t="shared" ref="L133" si="355">(J133+I133+K133)/C133</f>
        <v>50</v>
      </c>
      <c r="M133" s="8">
        <f t="shared" ref="M133" si="356">L133*C133</f>
        <v>5000</v>
      </c>
    </row>
    <row r="134" spans="1:13" ht="15.75" customHeight="1" x14ac:dyDescent="0.25">
      <c r="A134" s="24">
        <v>44194</v>
      </c>
      <c r="B134" s="29" t="s">
        <v>17</v>
      </c>
      <c r="C134" s="11">
        <v>5000</v>
      </c>
      <c r="D134" s="11" t="s">
        <v>11</v>
      </c>
      <c r="E134" s="11">
        <v>217.5</v>
      </c>
      <c r="F134" s="11">
        <v>217</v>
      </c>
      <c r="G134" s="34">
        <v>216</v>
      </c>
      <c r="H134" s="35">
        <v>0</v>
      </c>
      <c r="I134" s="8">
        <f t="shared" ref="I134" si="357">(IF(D134="SELL",E134-F134,IF(D134="BUY",F134-E134)))*C134</f>
        <v>2500</v>
      </c>
      <c r="J134" s="8">
        <f>C134*1</f>
        <v>5000</v>
      </c>
      <c r="K134" s="2">
        <v>0</v>
      </c>
      <c r="L134" s="8">
        <f t="shared" ref="L134" si="358">(J134+I134+K134)/C134</f>
        <v>1.5</v>
      </c>
      <c r="M134" s="8">
        <f t="shared" ref="M134" si="359">L134*C134</f>
        <v>7500</v>
      </c>
    </row>
    <row r="135" spans="1:13" ht="15.75" customHeight="1" x14ac:dyDescent="0.25">
      <c r="A135" s="24">
        <v>44194</v>
      </c>
      <c r="B135" s="29" t="s">
        <v>19</v>
      </c>
      <c r="C135" s="11">
        <v>100</v>
      </c>
      <c r="D135" s="11" t="s">
        <v>11</v>
      </c>
      <c r="E135" s="11">
        <v>49950</v>
      </c>
      <c r="F135" s="11">
        <v>50030</v>
      </c>
      <c r="G135" s="34">
        <v>0</v>
      </c>
      <c r="H135" s="35">
        <v>0</v>
      </c>
      <c r="I135" s="8">
        <f t="shared" ref="I135" si="360">(IF(D135="SELL",E135-F135,IF(D135="BUY",F135-E135)))*C135</f>
        <v>-8000</v>
      </c>
      <c r="J135" s="8">
        <v>0</v>
      </c>
      <c r="K135" s="2">
        <v>0</v>
      </c>
      <c r="L135" s="8">
        <f t="shared" ref="L135" si="361">(J135+I135+K135)/C135</f>
        <v>-80</v>
      </c>
      <c r="M135" s="8">
        <f t="shared" ref="M135" si="362">L135*C135</f>
        <v>-8000</v>
      </c>
    </row>
    <row r="136" spans="1:13" ht="15.75" customHeight="1" x14ac:dyDescent="0.25">
      <c r="A136" s="24">
        <v>44194</v>
      </c>
      <c r="B136" s="29" t="s">
        <v>14</v>
      </c>
      <c r="C136" s="11">
        <v>30</v>
      </c>
      <c r="D136" s="11" t="s">
        <v>11</v>
      </c>
      <c r="E136" s="11">
        <v>68550</v>
      </c>
      <c r="F136" s="11">
        <v>68450</v>
      </c>
      <c r="G136" s="34">
        <v>68000</v>
      </c>
      <c r="H136" s="35">
        <v>0</v>
      </c>
      <c r="I136" s="8">
        <f t="shared" ref="I136" si="363">(IF(D136="SELL",E136-F136,IF(D136="BUY",F136-E136)))*C136</f>
        <v>3000</v>
      </c>
      <c r="J136" s="8">
        <f>C136*450</f>
        <v>13500</v>
      </c>
      <c r="K136" s="2">
        <v>0</v>
      </c>
      <c r="L136" s="8">
        <f t="shared" ref="L136" si="364">(J136+I136+K136)/C136</f>
        <v>550</v>
      </c>
      <c r="M136" s="8">
        <f t="shared" ref="M136" si="365">L136*C136</f>
        <v>16500</v>
      </c>
    </row>
    <row r="137" spans="1:13" ht="15.75" customHeight="1" x14ac:dyDescent="0.25">
      <c r="A137" s="24">
        <v>44193</v>
      </c>
      <c r="B137" s="29" t="s">
        <v>16</v>
      </c>
      <c r="C137" s="11">
        <v>100</v>
      </c>
      <c r="D137" s="11" t="s">
        <v>10</v>
      </c>
      <c r="E137" s="11">
        <v>3590</v>
      </c>
      <c r="F137" s="11">
        <v>3545</v>
      </c>
      <c r="G137" s="34">
        <v>0</v>
      </c>
      <c r="H137" s="35">
        <v>0</v>
      </c>
      <c r="I137" s="8">
        <f t="shared" ref="I137" si="366">(IF(D137="SELL",E137-F137,IF(D137="BUY",F137-E137)))*C137</f>
        <v>-4500</v>
      </c>
      <c r="J137" s="8">
        <v>0</v>
      </c>
      <c r="K137" s="2">
        <v>0</v>
      </c>
      <c r="L137" s="8">
        <f t="shared" ref="L137" si="367">(J137+I137+K137)/C137</f>
        <v>-45</v>
      </c>
      <c r="M137" s="8">
        <f t="shared" ref="M137" si="368">L137*C137</f>
        <v>-4500</v>
      </c>
    </row>
    <row r="138" spans="1:13" ht="15.75" customHeight="1" x14ac:dyDescent="0.25">
      <c r="A138" s="24">
        <v>44193</v>
      </c>
      <c r="B138" s="29" t="s">
        <v>18</v>
      </c>
      <c r="C138" s="11">
        <v>2500</v>
      </c>
      <c r="D138" s="11" t="s">
        <v>10</v>
      </c>
      <c r="E138" s="11">
        <v>610.5</v>
      </c>
      <c r="F138" s="11">
        <v>608.5</v>
      </c>
      <c r="G138" s="34">
        <v>0</v>
      </c>
      <c r="H138" s="35">
        <v>0</v>
      </c>
      <c r="I138" s="8">
        <f t="shared" ref="I138" si="369">(IF(D138="SELL",E138-F138,IF(D138="BUY",F138-E138)))*C138</f>
        <v>-5000</v>
      </c>
      <c r="J138" s="8">
        <v>0</v>
      </c>
      <c r="K138" s="2">
        <v>0</v>
      </c>
      <c r="L138" s="8">
        <f t="shared" ref="L138" si="370">(J138+I138+K138)/C138</f>
        <v>-2</v>
      </c>
      <c r="M138" s="8">
        <f t="shared" ref="M138" si="371">L138*C138</f>
        <v>-5000</v>
      </c>
    </row>
    <row r="139" spans="1:13" ht="15.75" customHeight="1" x14ac:dyDescent="0.25">
      <c r="A139" s="24">
        <v>44193</v>
      </c>
      <c r="B139" s="29" t="s">
        <v>19</v>
      </c>
      <c r="C139" s="11">
        <v>100</v>
      </c>
      <c r="D139" s="11" t="s">
        <v>11</v>
      </c>
      <c r="E139" s="11">
        <v>50010</v>
      </c>
      <c r="F139" s="11">
        <v>49960</v>
      </c>
      <c r="G139" s="34">
        <v>0</v>
      </c>
      <c r="H139" s="35">
        <v>0</v>
      </c>
      <c r="I139" s="8">
        <f t="shared" ref="I139" si="372">(IF(D139="SELL",E139-F139,IF(D139="BUY",F139-E139)))*C139</f>
        <v>5000</v>
      </c>
      <c r="J139" s="8">
        <v>0</v>
      </c>
      <c r="K139" s="2">
        <v>0</v>
      </c>
      <c r="L139" s="8">
        <f t="shared" ref="L139" si="373">(J139+I139+K139)/C139</f>
        <v>50</v>
      </c>
      <c r="M139" s="8">
        <f t="shared" ref="M139" si="374">L139*C139</f>
        <v>5000</v>
      </c>
    </row>
    <row r="140" spans="1:13" ht="15.75" customHeight="1" x14ac:dyDescent="0.25">
      <c r="A140" s="24">
        <v>44193</v>
      </c>
      <c r="B140" s="29" t="s">
        <v>14</v>
      </c>
      <c r="C140" s="11">
        <v>30</v>
      </c>
      <c r="D140" s="11" t="s">
        <v>11</v>
      </c>
      <c r="E140" s="11">
        <v>68770</v>
      </c>
      <c r="F140" s="11">
        <v>68670</v>
      </c>
      <c r="G140" s="34">
        <v>0</v>
      </c>
      <c r="H140" s="35">
        <v>0</v>
      </c>
      <c r="I140" s="8">
        <f t="shared" ref="I140" si="375">(IF(D140="SELL",E140-F140,IF(D140="BUY",F140-E140)))*C140</f>
        <v>3000</v>
      </c>
      <c r="J140" s="8">
        <v>0</v>
      </c>
      <c r="K140" s="2">
        <v>0</v>
      </c>
      <c r="L140" s="8">
        <f t="shared" ref="L140" si="376">(J140+I140+K140)/C140</f>
        <v>100</v>
      </c>
      <c r="M140" s="8">
        <f t="shared" ref="M140" si="377">L140*C140</f>
        <v>3000</v>
      </c>
    </row>
    <row r="141" spans="1:13" ht="15.75" customHeight="1" x14ac:dyDescent="0.25">
      <c r="A141" s="24">
        <v>44193</v>
      </c>
      <c r="B141" s="29" t="s">
        <v>75</v>
      </c>
      <c r="C141" s="11">
        <v>1250</v>
      </c>
      <c r="D141" s="11" t="s">
        <v>11</v>
      </c>
      <c r="E141" s="11">
        <v>167</v>
      </c>
      <c r="F141" s="11">
        <v>166</v>
      </c>
      <c r="G141" s="34">
        <v>0</v>
      </c>
      <c r="H141" s="35">
        <v>0</v>
      </c>
      <c r="I141" s="8">
        <f t="shared" ref="I141" si="378">(IF(D141="SELL",E141-F141,IF(D141="BUY",F141-E141)))*C141</f>
        <v>1250</v>
      </c>
      <c r="J141" s="8">
        <v>0</v>
      </c>
      <c r="K141" s="2">
        <v>0</v>
      </c>
      <c r="L141" s="8">
        <f t="shared" ref="L141" si="379">(J141+I141+K141)/C141</f>
        <v>1</v>
      </c>
      <c r="M141" s="8">
        <f t="shared" ref="M141" si="380">L141*C141</f>
        <v>1250</v>
      </c>
    </row>
    <row r="142" spans="1:13" ht="15.75" customHeight="1" x14ac:dyDescent="0.25">
      <c r="A142" s="24">
        <v>44193</v>
      </c>
      <c r="B142" s="29" t="s">
        <v>17</v>
      </c>
      <c r="C142" s="11">
        <v>5000</v>
      </c>
      <c r="D142" s="11" t="s">
        <v>10</v>
      </c>
      <c r="E142" s="11">
        <v>223</v>
      </c>
      <c r="F142" s="11">
        <v>223.5</v>
      </c>
      <c r="G142" s="34">
        <v>0</v>
      </c>
      <c r="H142" s="35">
        <v>0</v>
      </c>
      <c r="I142" s="8">
        <f t="shared" ref="I142" si="381">(IF(D142="SELL",E142-F142,IF(D142="BUY",F142-E142)))*C142</f>
        <v>2500</v>
      </c>
      <c r="J142" s="8">
        <v>0</v>
      </c>
      <c r="K142" s="2">
        <v>0</v>
      </c>
      <c r="L142" s="8">
        <f t="shared" ref="L142" si="382">(J142+I142+K142)/C142</f>
        <v>0.5</v>
      </c>
      <c r="M142" s="8">
        <f t="shared" ref="M142" si="383">L142*C142</f>
        <v>2500</v>
      </c>
    </row>
    <row r="143" spans="1:13" ht="15.75" customHeight="1" x14ac:dyDescent="0.25">
      <c r="A143" s="24">
        <v>44189</v>
      </c>
      <c r="B143" s="29" t="s">
        <v>14</v>
      </c>
      <c r="C143" s="11">
        <v>30</v>
      </c>
      <c r="D143" s="11" t="s">
        <v>10</v>
      </c>
      <c r="E143" s="11">
        <v>67500</v>
      </c>
      <c r="F143" s="11">
        <v>67630</v>
      </c>
      <c r="G143" s="34">
        <v>0</v>
      </c>
      <c r="H143" s="35">
        <v>0</v>
      </c>
      <c r="I143" s="8">
        <f t="shared" ref="I143" si="384">(IF(D143="SELL",E143-F143,IF(D143="BUY",F143-E143)))*C143</f>
        <v>3900</v>
      </c>
      <c r="J143" s="8">
        <v>0</v>
      </c>
      <c r="K143" s="2">
        <v>0</v>
      </c>
      <c r="L143" s="8">
        <f t="shared" ref="L143" si="385">(J143+I143+K143)/C143</f>
        <v>130</v>
      </c>
      <c r="M143" s="8">
        <f t="shared" ref="M143" si="386">L143*C143</f>
        <v>3900</v>
      </c>
    </row>
    <row r="144" spans="1:13" ht="15.75" customHeight="1" x14ac:dyDescent="0.25">
      <c r="A144" s="24">
        <v>44189</v>
      </c>
      <c r="B144" s="29" t="s">
        <v>16</v>
      </c>
      <c r="C144" s="11">
        <v>100</v>
      </c>
      <c r="D144" s="11" t="s">
        <v>11</v>
      </c>
      <c r="E144" s="11">
        <v>3525</v>
      </c>
      <c r="F144" s="11">
        <v>3505</v>
      </c>
      <c r="G144" s="34">
        <v>0</v>
      </c>
      <c r="H144" s="35">
        <v>0</v>
      </c>
      <c r="I144" s="8">
        <f t="shared" ref="I144" si="387">(IF(D144="SELL",E144-F144,IF(D144="BUY",F144-E144)))*C144</f>
        <v>2000</v>
      </c>
      <c r="J144" s="8">
        <v>0</v>
      </c>
      <c r="K144" s="2">
        <v>0</v>
      </c>
      <c r="L144" s="8">
        <f t="shared" ref="L144" si="388">(J144+I144+K144)/C144</f>
        <v>20</v>
      </c>
      <c r="M144" s="8">
        <f t="shared" ref="M144" si="389">L144*C144</f>
        <v>2000</v>
      </c>
    </row>
    <row r="145" spans="1:13" ht="15.75" customHeight="1" x14ac:dyDescent="0.25">
      <c r="A145" s="24">
        <v>44189</v>
      </c>
      <c r="B145" s="29" t="s">
        <v>75</v>
      </c>
      <c r="C145" s="11">
        <v>1250</v>
      </c>
      <c r="D145" s="11" t="s">
        <v>11</v>
      </c>
      <c r="E145" s="11">
        <v>187.5</v>
      </c>
      <c r="F145" s="11">
        <v>189.5</v>
      </c>
      <c r="G145" s="34">
        <v>0</v>
      </c>
      <c r="H145" s="35">
        <v>0</v>
      </c>
      <c r="I145" s="8">
        <v>-2500</v>
      </c>
      <c r="J145" s="8">
        <v>0</v>
      </c>
      <c r="K145" s="2">
        <v>0</v>
      </c>
      <c r="L145" s="8">
        <f t="shared" ref="L145" si="390">(J145+I145+K145)/C145</f>
        <v>-2</v>
      </c>
      <c r="M145" s="8">
        <f t="shared" ref="M145" si="391">L145*C145</f>
        <v>-2500</v>
      </c>
    </row>
    <row r="146" spans="1:13" ht="15.75" customHeight="1" x14ac:dyDescent="0.25">
      <c r="A146" s="24">
        <v>44189</v>
      </c>
      <c r="B146" s="29" t="s">
        <v>17</v>
      </c>
      <c r="C146" s="11">
        <v>5000</v>
      </c>
      <c r="D146" s="11" t="s">
        <v>11</v>
      </c>
      <c r="E146" s="11">
        <v>220.8</v>
      </c>
      <c r="F146" s="11">
        <v>220.3</v>
      </c>
      <c r="G146" s="34">
        <v>0</v>
      </c>
      <c r="H146" s="35">
        <v>0</v>
      </c>
      <c r="I146" s="8">
        <f t="shared" ref="I146" si="392">(IF(D146="SELL",E146-F146,IF(D146="BUY",F146-E146)))*C146</f>
        <v>2500</v>
      </c>
      <c r="J146" s="8">
        <v>0</v>
      </c>
      <c r="K146" s="2">
        <v>0</v>
      </c>
      <c r="L146" s="8">
        <f t="shared" ref="L146" si="393">(J146+I146+K146)/C146</f>
        <v>0.5</v>
      </c>
      <c r="M146" s="8">
        <f t="shared" ref="M146" si="394">L146*C146</f>
        <v>2500</v>
      </c>
    </row>
    <row r="147" spans="1:13" ht="15.75" customHeight="1" x14ac:dyDescent="0.25">
      <c r="A147" s="24">
        <v>44188</v>
      </c>
      <c r="B147" s="29" t="s">
        <v>16</v>
      </c>
      <c r="C147" s="11">
        <v>100</v>
      </c>
      <c r="D147" s="11" t="s">
        <v>10</v>
      </c>
      <c r="E147" s="11">
        <v>3480</v>
      </c>
      <c r="F147" s="11">
        <v>3505</v>
      </c>
      <c r="G147" s="34">
        <v>3535</v>
      </c>
      <c r="H147" s="35">
        <v>0</v>
      </c>
      <c r="I147" s="8">
        <f t="shared" ref="I147" si="395">(IF(D147="SELL",E147-F147,IF(D147="BUY",F147-E147)))*C147</f>
        <v>2500</v>
      </c>
      <c r="J147" s="8">
        <f>C147*30</f>
        <v>3000</v>
      </c>
      <c r="K147" s="2">
        <v>0</v>
      </c>
      <c r="L147" s="8">
        <f t="shared" ref="L147" si="396">(J147+I147+K147)/C147</f>
        <v>55</v>
      </c>
      <c r="M147" s="8">
        <f t="shared" ref="M147" si="397">L147*C147</f>
        <v>5500</v>
      </c>
    </row>
    <row r="148" spans="1:13" ht="15.75" customHeight="1" x14ac:dyDescent="0.25">
      <c r="A148" s="24">
        <v>44188</v>
      </c>
      <c r="B148" s="29" t="s">
        <v>21</v>
      </c>
      <c r="C148" s="11">
        <v>1500</v>
      </c>
      <c r="D148" s="11" t="s">
        <v>11</v>
      </c>
      <c r="E148" s="11">
        <v>1260.5</v>
      </c>
      <c r="F148" s="11">
        <v>1265.5</v>
      </c>
      <c r="G148" s="34">
        <v>0</v>
      </c>
      <c r="H148" s="35">
        <v>0</v>
      </c>
      <c r="I148" s="8">
        <f t="shared" ref="I148" si="398">(IF(D148="SELL",E148-F148,IF(D148="BUY",F148-E148)))*C148</f>
        <v>-7500</v>
      </c>
      <c r="J148" s="8">
        <v>0</v>
      </c>
      <c r="K148" s="2">
        <v>0</v>
      </c>
      <c r="L148" s="8">
        <f t="shared" ref="L148" si="399">(J148+I148+K148)/C148</f>
        <v>-5</v>
      </c>
      <c r="M148" s="8">
        <f t="shared" ref="M148" si="400">L148*C148</f>
        <v>-7500</v>
      </c>
    </row>
    <row r="149" spans="1:13" ht="15.75" customHeight="1" x14ac:dyDescent="0.25">
      <c r="A149" s="24">
        <v>44188</v>
      </c>
      <c r="B149" s="29" t="s">
        <v>17</v>
      </c>
      <c r="C149" s="11">
        <v>5000</v>
      </c>
      <c r="D149" s="11" t="s">
        <v>10</v>
      </c>
      <c r="E149" s="11">
        <v>218.8</v>
      </c>
      <c r="F149" s="11">
        <v>219.3</v>
      </c>
      <c r="G149" s="34">
        <v>220.5</v>
      </c>
      <c r="H149" s="35">
        <v>0</v>
      </c>
      <c r="I149" s="8">
        <f t="shared" ref="I149" si="401">(IF(D149="SELL",E149-F149,IF(D149="BUY",F149-E149)))*C149</f>
        <v>2500</v>
      </c>
      <c r="J149" s="8">
        <f>C149*1.2</f>
        <v>6000</v>
      </c>
      <c r="K149" s="2">
        <v>0</v>
      </c>
      <c r="L149" s="8">
        <f t="shared" ref="L149" si="402">(J149+I149+K149)/C149</f>
        <v>1.7</v>
      </c>
      <c r="M149" s="8">
        <f t="shared" ref="M149" si="403">L149*C149</f>
        <v>8500</v>
      </c>
    </row>
    <row r="150" spans="1:13" ht="15.75" customHeight="1" x14ac:dyDescent="0.25">
      <c r="A150" s="24">
        <v>44188</v>
      </c>
      <c r="B150" s="29" t="s">
        <v>14</v>
      </c>
      <c r="C150" s="11">
        <v>30</v>
      </c>
      <c r="D150" s="11" t="s">
        <v>11</v>
      </c>
      <c r="E150" s="11">
        <v>66720</v>
      </c>
      <c r="F150" s="11">
        <v>66600</v>
      </c>
      <c r="G150" s="34">
        <v>66300</v>
      </c>
      <c r="H150" s="35">
        <v>0</v>
      </c>
      <c r="I150" s="8">
        <f t="shared" ref="I150" si="404">(IF(D150="SELL",E150-F150,IF(D150="BUY",F150-E150)))*C150</f>
        <v>3600</v>
      </c>
      <c r="J150" s="8">
        <f>C150*300</f>
        <v>9000</v>
      </c>
      <c r="K150" s="2">
        <v>0</v>
      </c>
      <c r="L150" s="8">
        <f t="shared" ref="L150" si="405">(J150+I150+K150)/C150</f>
        <v>420</v>
      </c>
      <c r="M150" s="8">
        <f t="shared" ref="M150" si="406">L150*C150</f>
        <v>12600</v>
      </c>
    </row>
    <row r="151" spans="1:13" ht="15.75" customHeight="1" x14ac:dyDescent="0.25">
      <c r="A151" s="24">
        <v>44188</v>
      </c>
      <c r="B151" s="29" t="s">
        <v>14</v>
      </c>
      <c r="C151" s="11">
        <v>30</v>
      </c>
      <c r="D151" s="11" t="s">
        <v>11</v>
      </c>
      <c r="E151" s="11">
        <v>66420</v>
      </c>
      <c r="F151" s="11">
        <v>66670</v>
      </c>
      <c r="G151" s="34">
        <v>0</v>
      </c>
      <c r="H151" s="35">
        <v>0</v>
      </c>
      <c r="I151" s="8">
        <f t="shared" ref="I151" si="407">(IF(D151="SELL",E151-F151,IF(D151="BUY",F151-E151)))*C151</f>
        <v>-7500</v>
      </c>
      <c r="J151" s="8">
        <v>0</v>
      </c>
      <c r="K151" s="2">
        <v>0</v>
      </c>
      <c r="L151" s="8">
        <f t="shared" ref="L151" si="408">(J151+I151+K151)/C151</f>
        <v>-250</v>
      </c>
      <c r="M151" s="8">
        <f t="shared" ref="M151" si="409">L151*C151</f>
        <v>-7500</v>
      </c>
    </row>
    <row r="152" spans="1:13" ht="15.75" customHeight="1" x14ac:dyDescent="0.25">
      <c r="A152" s="24">
        <v>44188</v>
      </c>
      <c r="B152" s="29" t="s">
        <v>19</v>
      </c>
      <c r="C152" s="11">
        <v>100</v>
      </c>
      <c r="D152" s="11" t="s">
        <v>11</v>
      </c>
      <c r="E152" s="11">
        <v>49850</v>
      </c>
      <c r="F152" s="11">
        <v>49800</v>
      </c>
      <c r="G152" s="34">
        <v>49700</v>
      </c>
      <c r="H152" s="35">
        <v>0</v>
      </c>
      <c r="I152" s="8">
        <f t="shared" ref="I152" si="410">(IF(D152="SELL",E152-F152,IF(D152="BUY",F152-E152)))*C152</f>
        <v>5000</v>
      </c>
      <c r="J152" s="8">
        <f>C152*100</f>
        <v>10000</v>
      </c>
      <c r="K152" s="2">
        <v>0</v>
      </c>
      <c r="L152" s="8">
        <f t="shared" ref="L152" si="411">(J152+I152+K152)/C152</f>
        <v>150</v>
      </c>
      <c r="M152" s="8">
        <f t="shared" ref="M152" si="412">L152*C152</f>
        <v>15000</v>
      </c>
    </row>
    <row r="153" spans="1:13" ht="15.75" customHeight="1" x14ac:dyDescent="0.25">
      <c r="A153" s="24">
        <v>44188</v>
      </c>
      <c r="B153" s="29" t="s">
        <v>17</v>
      </c>
      <c r="C153" s="11">
        <v>5000</v>
      </c>
      <c r="D153" s="11" t="s">
        <v>11</v>
      </c>
      <c r="E153" s="11">
        <v>216.1</v>
      </c>
      <c r="F153" s="11">
        <v>215.6</v>
      </c>
      <c r="G153" s="34">
        <v>0</v>
      </c>
      <c r="H153" s="35">
        <v>0</v>
      </c>
      <c r="I153" s="8">
        <f t="shared" ref="I153" si="413">(IF(D153="SELL",E153-F153,IF(D153="BUY",F153-E153)))*C153</f>
        <v>2500</v>
      </c>
      <c r="J153" s="8">
        <v>0</v>
      </c>
      <c r="K153" s="2">
        <v>0</v>
      </c>
      <c r="L153" s="8">
        <f t="shared" ref="L153" si="414">(J153+I153+K153)/C153</f>
        <v>0.5</v>
      </c>
      <c r="M153" s="8">
        <f t="shared" ref="M153" si="415">L153*C153</f>
        <v>2500</v>
      </c>
    </row>
    <row r="154" spans="1:13" ht="15.75" customHeight="1" x14ac:dyDescent="0.25">
      <c r="A154" s="24">
        <v>44188</v>
      </c>
      <c r="B154" s="29" t="s">
        <v>18</v>
      </c>
      <c r="C154" s="11">
        <v>2500</v>
      </c>
      <c r="D154" s="11" t="s">
        <v>11</v>
      </c>
      <c r="E154" s="11">
        <v>596.5</v>
      </c>
      <c r="F154" s="11">
        <v>595.5</v>
      </c>
      <c r="G154" s="34">
        <v>592</v>
      </c>
      <c r="H154" s="35">
        <v>0</v>
      </c>
      <c r="I154" s="8">
        <f t="shared" ref="I154" si="416">(IF(D154="SELL",E154-F154,IF(D154="BUY",F154-E154)))*C154</f>
        <v>2500</v>
      </c>
      <c r="J154" s="8">
        <f>C154*3.5</f>
        <v>8750</v>
      </c>
      <c r="K154" s="2">
        <v>0</v>
      </c>
      <c r="L154" s="8">
        <f t="shared" ref="L154" si="417">(J154+I154+K154)/C154</f>
        <v>4.5</v>
      </c>
      <c r="M154" s="8">
        <f t="shared" ref="M154" si="418">L154*C154</f>
        <v>11250</v>
      </c>
    </row>
    <row r="155" spans="1:13" ht="15.75" customHeight="1" x14ac:dyDescent="0.25">
      <c r="A155" s="24">
        <v>44188</v>
      </c>
      <c r="B155" s="29" t="s">
        <v>75</v>
      </c>
      <c r="C155" s="11">
        <v>1250</v>
      </c>
      <c r="D155" s="11" t="s">
        <v>11</v>
      </c>
      <c r="E155" s="11">
        <v>202.5</v>
      </c>
      <c r="F155" s="11">
        <v>201.5</v>
      </c>
      <c r="G155" s="34">
        <v>198</v>
      </c>
      <c r="H155" s="35">
        <v>0</v>
      </c>
      <c r="I155" s="8">
        <f t="shared" ref="I155" si="419">(IF(D155="SELL",E155-F155,IF(D155="BUY",F155-E155)))*C155</f>
        <v>1250</v>
      </c>
      <c r="J155" s="8">
        <f>C155*3.5</f>
        <v>4375</v>
      </c>
      <c r="K155" s="2">
        <v>0</v>
      </c>
      <c r="L155" s="8">
        <f t="shared" ref="L155" si="420">(J155+I155+K155)/C155</f>
        <v>4.5</v>
      </c>
      <c r="M155" s="8">
        <f t="shared" ref="M155" si="421">L155*C155</f>
        <v>5625</v>
      </c>
    </row>
    <row r="156" spans="1:13" ht="15.75" customHeight="1" x14ac:dyDescent="0.25">
      <c r="A156" s="24">
        <v>44187</v>
      </c>
      <c r="B156" s="29" t="s">
        <v>75</v>
      </c>
      <c r="C156" s="11">
        <v>1250</v>
      </c>
      <c r="D156" s="11" t="s">
        <v>10</v>
      </c>
      <c r="E156" s="11">
        <v>205</v>
      </c>
      <c r="F156" s="11">
        <v>206</v>
      </c>
      <c r="G156" s="34">
        <v>207</v>
      </c>
      <c r="H156" s="35">
        <v>0</v>
      </c>
      <c r="I156" s="8">
        <f t="shared" ref="I156" si="422">(IF(D156="SELL",E156-F156,IF(D156="BUY",F156-E156)))*C156</f>
        <v>1250</v>
      </c>
      <c r="J156" s="8">
        <f>C156*1</f>
        <v>1250</v>
      </c>
      <c r="K156" s="2">
        <v>0</v>
      </c>
      <c r="L156" s="8">
        <f t="shared" ref="L156" si="423">(J156+I156+K156)/C156</f>
        <v>2</v>
      </c>
      <c r="M156" s="8">
        <f t="shared" ref="M156" si="424">L156*C156</f>
        <v>2500</v>
      </c>
    </row>
    <row r="157" spans="1:13" ht="15.75" customHeight="1" x14ac:dyDescent="0.25">
      <c r="A157" s="24">
        <v>44187</v>
      </c>
      <c r="B157" s="29" t="s">
        <v>17</v>
      </c>
      <c r="C157" s="11">
        <v>5000</v>
      </c>
      <c r="D157" s="11" t="s">
        <v>11</v>
      </c>
      <c r="E157" s="11">
        <v>218.6</v>
      </c>
      <c r="F157" s="11">
        <v>218.1</v>
      </c>
      <c r="G157" s="34">
        <v>217</v>
      </c>
      <c r="H157" s="35">
        <v>0</v>
      </c>
      <c r="I157" s="8">
        <f t="shared" ref="I157" si="425">(IF(D157="SELL",E157-F157,IF(D157="BUY",F157-E157)))*C157</f>
        <v>2500</v>
      </c>
      <c r="J157" s="8">
        <f>C157*1.1</f>
        <v>5500</v>
      </c>
      <c r="K157" s="2">
        <v>0</v>
      </c>
      <c r="L157" s="8">
        <f t="shared" ref="L157" si="426">(J157+I157+K157)/C157</f>
        <v>1.6</v>
      </c>
      <c r="M157" s="8">
        <f t="shared" ref="M157" si="427">L157*C157</f>
        <v>8000</v>
      </c>
    </row>
    <row r="158" spans="1:13" ht="15.75" customHeight="1" x14ac:dyDescent="0.25">
      <c r="A158" s="24">
        <v>44187</v>
      </c>
      <c r="B158" s="29" t="s">
        <v>14</v>
      </c>
      <c r="C158" s="11">
        <v>30</v>
      </c>
      <c r="D158" s="11" t="s">
        <v>11</v>
      </c>
      <c r="E158" s="11">
        <v>67470</v>
      </c>
      <c r="F158" s="11">
        <v>67700</v>
      </c>
      <c r="G158" s="34">
        <v>0</v>
      </c>
      <c r="H158" s="35">
        <v>0</v>
      </c>
      <c r="I158" s="8">
        <f t="shared" ref="I158" si="428">(IF(D158="SELL",E158-F158,IF(D158="BUY",F158-E158)))*C158</f>
        <v>-6900</v>
      </c>
      <c r="J158" s="8">
        <v>0</v>
      </c>
      <c r="K158" s="2">
        <v>0</v>
      </c>
      <c r="L158" s="8">
        <f t="shared" ref="L158" si="429">(J158+I158+K158)/C158</f>
        <v>-230</v>
      </c>
      <c r="M158" s="8">
        <f t="shared" ref="M158" si="430">L158*C158</f>
        <v>-6900</v>
      </c>
    </row>
    <row r="159" spans="1:13" ht="15.75" customHeight="1" x14ac:dyDescent="0.25">
      <c r="A159" s="24">
        <v>44187</v>
      </c>
      <c r="B159" s="29" t="s">
        <v>19</v>
      </c>
      <c r="C159" s="11">
        <v>100</v>
      </c>
      <c r="D159" s="11" t="s">
        <v>11</v>
      </c>
      <c r="E159" s="11">
        <v>50180</v>
      </c>
      <c r="F159" s="11">
        <v>50130</v>
      </c>
      <c r="G159" s="34">
        <v>0</v>
      </c>
      <c r="H159" s="35">
        <v>0</v>
      </c>
      <c r="I159" s="8">
        <f t="shared" ref="I159" si="431">(IF(D159="SELL",E159-F159,IF(D159="BUY",F159-E159)))*C159</f>
        <v>5000</v>
      </c>
      <c r="J159" s="8">
        <v>0</v>
      </c>
      <c r="K159" s="2">
        <v>0</v>
      </c>
      <c r="L159" s="8">
        <f t="shared" ref="L159" si="432">(J159+I159+K159)/C159</f>
        <v>50</v>
      </c>
      <c r="M159" s="8">
        <f t="shared" ref="M159" si="433">L159*C159</f>
        <v>5000</v>
      </c>
    </row>
    <row r="160" spans="1:13" ht="15.75" customHeight="1" x14ac:dyDescent="0.25">
      <c r="A160" s="24">
        <v>44187</v>
      </c>
      <c r="B160" s="29" t="s">
        <v>18</v>
      </c>
      <c r="C160" s="11">
        <v>2500</v>
      </c>
      <c r="D160" s="11" t="s">
        <v>11</v>
      </c>
      <c r="E160" s="11">
        <v>603</v>
      </c>
      <c r="F160" s="11">
        <v>602</v>
      </c>
      <c r="G160" s="34">
        <v>600</v>
      </c>
      <c r="H160" s="35">
        <v>0</v>
      </c>
      <c r="I160" s="8">
        <f t="shared" ref="I160" si="434">(IF(D160="SELL",E160-F160,IF(D160="BUY",F160-E160)))*C160</f>
        <v>2500</v>
      </c>
      <c r="J160" s="8">
        <f>C160*2</f>
        <v>5000</v>
      </c>
      <c r="K160" s="2">
        <v>0</v>
      </c>
      <c r="L160" s="8">
        <f t="shared" ref="L160" si="435">(J160+I160+K160)/C160</f>
        <v>3</v>
      </c>
      <c r="M160" s="8">
        <f t="shared" ref="M160" si="436">L160*C160</f>
        <v>7500</v>
      </c>
    </row>
    <row r="161" spans="1:13" ht="15.75" customHeight="1" x14ac:dyDescent="0.25">
      <c r="A161" s="24">
        <v>44186</v>
      </c>
      <c r="B161" s="29" t="s">
        <v>14</v>
      </c>
      <c r="C161" s="11">
        <v>30</v>
      </c>
      <c r="D161" s="11" t="s">
        <v>11</v>
      </c>
      <c r="E161" s="11">
        <v>67800</v>
      </c>
      <c r="F161" s="11">
        <v>67700</v>
      </c>
      <c r="G161" s="34">
        <v>67000</v>
      </c>
      <c r="H161" s="35">
        <v>0</v>
      </c>
      <c r="I161" s="8">
        <f t="shared" ref="I161" si="437">(IF(D161="SELL",E161-F161,IF(D161="BUY",F161-E161)))*C161</f>
        <v>3000</v>
      </c>
      <c r="J161" s="8">
        <f>C161*650</f>
        <v>19500</v>
      </c>
      <c r="K161" s="2">
        <v>0</v>
      </c>
      <c r="L161" s="8">
        <f t="shared" ref="L161" si="438">(J161+I161+K161)/C161</f>
        <v>750</v>
      </c>
      <c r="M161" s="8">
        <f t="shared" ref="M161" si="439">L161*C161</f>
        <v>22500</v>
      </c>
    </row>
    <row r="162" spans="1:13" ht="15.75" customHeight="1" x14ac:dyDescent="0.25">
      <c r="A162" s="24">
        <v>44186</v>
      </c>
      <c r="B162" s="29" t="s">
        <v>75</v>
      </c>
      <c r="C162" s="11">
        <v>1250</v>
      </c>
      <c r="D162" s="11" t="s">
        <v>11</v>
      </c>
      <c r="E162" s="11">
        <v>197.5</v>
      </c>
      <c r="F162" s="11">
        <v>199.5</v>
      </c>
      <c r="G162" s="34">
        <v>68700</v>
      </c>
      <c r="H162" s="35">
        <v>0</v>
      </c>
      <c r="I162" s="8">
        <f t="shared" ref="I162" si="440">(IF(D162="SELL",E162-F162,IF(D162="BUY",F162-E162)))*C162</f>
        <v>-2500</v>
      </c>
      <c r="J162" s="8">
        <v>0</v>
      </c>
      <c r="K162" s="2">
        <v>0</v>
      </c>
      <c r="L162" s="8">
        <f t="shared" ref="L162" si="441">(J162+I162+K162)/C162</f>
        <v>-2</v>
      </c>
      <c r="M162" s="8">
        <f t="shared" ref="M162" si="442">L162*C162</f>
        <v>-2500</v>
      </c>
    </row>
    <row r="163" spans="1:13" ht="15.75" customHeight="1" x14ac:dyDescent="0.25">
      <c r="A163" s="24">
        <v>44186</v>
      </c>
      <c r="B163" s="29" t="s">
        <v>17</v>
      </c>
      <c r="C163" s="11">
        <v>5000</v>
      </c>
      <c r="D163" s="11" t="s">
        <v>11</v>
      </c>
      <c r="E163" s="11">
        <v>222.7</v>
      </c>
      <c r="F163" s="11">
        <v>222.2</v>
      </c>
      <c r="G163" s="34">
        <v>221</v>
      </c>
      <c r="H163" s="35">
        <v>0</v>
      </c>
      <c r="I163" s="8">
        <f t="shared" ref="I163" si="443">(IF(D163="SELL",E163-F163,IF(D163="BUY",F163-E163)))*C163</f>
        <v>2500</v>
      </c>
      <c r="J163" s="8">
        <f>C163*1.2</f>
        <v>6000</v>
      </c>
      <c r="K163" s="2">
        <v>0</v>
      </c>
      <c r="L163" s="8">
        <f t="shared" ref="L163" si="444">(J163+I163+K163)/C163</f>
        <v>1.7</v>
      </c>
      <c r="M163" s="8">
        <f t="shared" ref="M163" si="445">L163*C163</f>
        <v>8500</v>
      </c>
    </row>
    <row r="164" spans="1:13" ht="15.75" customHeight="1" x14ac:dyDescent="0.25">
      <c r="A164" s="24">
        <v>44186</v>
      </c>
      <c r="B164" s="29" t="s">
        <v>14</v>
      </c>
      <c r="C164" s="11">
        <v>30</v>
      </c>
      <c r="D164" s="11" t="s">
        <v>11</v>
      </c>
      <c r="E164" s="11">
        <v>67400</v>
      </c>
      <c r="F164" s="11">
        <v>67300</v>
      </c>
      <c r="G164" s="34">
        <v>0</v>
      </c>
      <c r="H164" s="35">
        <v>0</v>
      </c>
      <c r="I164" s="8">
        <f t="shared" ref="I164" si="446">(IF(D164="SELL",E164-F164,IF(D164="BUY",F164-E164)))*C164</f>
        <v>3000</v>
      </c>
      <c r="J164" s="8">
        <v>0</v>
      </c>
      <c r="K164" s="2">
        <v>0</v>
      </c>
      <c r="L164" s="8">
        <f t="shared" ref="L164" si="447">(J164+I164+K164)/C164</f>
        <v>100</v>
      </c>
      <c r="M164" s="8">
        <f t="shared" ref="M164" si="448">L164*C164</f>
        <v>3000</v>
      </c>
    </row>
    <row r="165" spans="1:13" ht="15.75" customHeight="1" x14ac:dyDescent="0.25">
      <c r="A165" s="24">
        <v>44186</v>
      </c>
      <c r="B165" s="29" t="s">
        <v>19</v>
      </c>
      <c r="C165" s="11">
        <v>100</v>
      </c>
      <c r="D165" s="11" t="s">
        <v>11</v>
      </c>
      <c r="E165" s="11">
        <v>50320</v>
      </c>
      <c r="F165" s="11">
        <v>50270</v>
      </c>
      <c r="G165" s="34">
        <v>50100</v>
      </c>
      <c r="H165" s="35">
        <v>0</v>
      </c>
      <c r="I165" s="8">
        <f t="shared" ref="I165" si="449">(IF(D165="SELL",E165-F165,IF(D165="BUY",F165-E165)))*C165</f>
        <v>5000</v>
      </c>
      <c r="J165" s="8">
        <f>C165*170</f>
        <v>17000</v>
      </c>
      <c r="K165" s="2">
        <v>0</v>
      </c>
      <c r="L165" s="8">
        <f t="shared" ref="L165" si="450">(J165+I165+K165)/C165</f>
        <v>220</v>
      </c>
      <c r="M165" s="8">
        <f t="shared" ref="M165" si="451">L165*C165</f>
        <v>22000</v>
      </c>
    </row>
    <row r="166" spans="1:13" ht="15.75" customHeight="1" x14ac:dyDescent="0.25">
      <c r="A166" s="24">
        <v>44186</v>
      </c>
      <c r="B166" s="29" t="s">
        <v>14</v>
      </c>
      <c r="C166" s="11">
        <v>30</v>
      </c>
      <c r="D166" s="11" t="s">
        <v>11</v>
      </c>
      <c r="E166" s="11">
        <v>69280</v>
      </c>
      <c r="F166" s="11">
        <v>69180</v>
      </c>
      <c r="G166" s="34">
        <v>68700</v>
      </c>
      <c r="H166" s="35">
        <v>0</v>
      </c>
      <c r="I166" s="8">
        <f t="shared" ref="I166" si="452">(IF(D166="SELL",E166-F166,IF(D166="BUY",F166-E166)))*C166</f>
        <v>3000</v>
      </c>
      <c r="J166" s="8">
        <f>C166*480</f>
        <v>14400</v>
      </c>
      <c r="K166" s="2">
        <v>0</v>
      </c>
      <c r="L166" s="8">
        <f t="shared" ref="L166" si="453">(J166+I166+K166)/C166</f>
        <v>580</v>
      </c>
      <c r="M166" s="8">
        <f t="shared" ref="M166" si="454">L166*C166</f>
        <v>17400</v>
      </c>
    </row>
    <row r="167" spans="1:13" ht="15.75" customHeight="1" x14ac:dyDescent="0.25">
      <c r="A167" s="24">
        <v>44186</v>
      </c>
      <c r="B167" s="29" t="s">
        <v>16</v>
      </c>
      <c r="C167" s="11">
        <v>100</v>
      </c>
      <c r="D167" s="11" t="s">
        <v>11</v>
      </c>
      <c r="E167" s="11">
        <v>3465</v>
      </c>
      <c r="F167" s="11">
        <v>3445</v>
      </c>
      <c r="G167" s="34">
        <v>0</v>
      </c>
      <c r="H167" s="35">
        <v>0</v>
      </c>
      <c r="I167" s="8">
        <f t="shared" ref="I167" si="455">(IF(D167="SELL",E167-F167,IF(D167="BUY",F167-E167)))*C167</f>
        <v>2000</v>
      </c>
      <c r="J167" s="8">
        <v>0</v>
      </c>
      <c r="K167" s="2">
        <v>0</v>
      </c>
      <c r="L167" s="8">
        <f t="shared" ref="L167" si="456">(J167+I167+K167)/C167</f>
        <v>20</v>
      </c>
      <c r="M167" s="8">
        <f t="shared" ref="M167" si="457">L167*C167</f>
        <v>2000</v>
      </c>
    </row>
    <row r="168" spans="1:13" ht="15.75" customHeight="1" x14ac:dyDescent="0.25">
      <c r="A168" s="24">
        <v>44186</v>
      </c>
      <c r="B168" s="29" t="s">
        <v>74</v>
      </c>
      <c r="C168" s="11">
        <v>1500</v>
      </c>
      <c r="D168" s="11" t="s">
        <v>11</v>
      </c>
      <c r="E168" s="11">
        <v>1321</v>
      </c>
      <c r="F168" s="11">
        <v>1318</v>
      </c>
      <c r="G168" s="34">
        <v>1311</v>
      </c>
      <c r="H168" s="35">
        <v>0</v>
      </c>
      <c r="I168" s="8">
        <f t="shared" ref="I168" si="458">(IF(D168="SELL",E168-F168,IF(D168="BUY",F168-E168)))*C168</f>
        <v>4500</v>
      </c>
      <c r="J168" s="8">
        <f>C168*7</f>
        <v>10500</v>
      </c>
      <c r="K168" s="2">
        <v>0</v>
      </c>
      <c r="L168" s="8">
        <f t="shared" ref="L168" si="459">(J168+I168+K168)/C168</f>
        <v>10</v>
      </c>
      <c r="M168" s="8">
        <f t="shared" ref="M168" si="460">L168*C168</f>
        <v>15000</v>
      </c>
    </row>
    <row r="169" spans="1:13" ht="15.75" customHeight="1" x14ac:dyDescent="0.25">
      <c r="A169" s="24">
        <v>44186</v>
      </c>
      <c r="B169" s="29" t="s">
        <v>18</v>
      </c>
      <c r="C169" s="11">
        <v>2500</v>
      </c>
      <c r="D169" s="11" t="s">
        <v>11</v>
      </c>
      <c r="E169" s="11">
        <v>612.5</v>
      </c>
      <c r="F169" s="11">
        <v>611.5</v>
      </c>
      <c r="G169" s="34">
        <v>608.5</v>
      </c>
      <c r="H169" s="35">
        <v>0</v>
      </c>
      <c r="I169" s="8">
        <f t="shared" ref="I169" si="461">(IF(D169="SELL",E169-F169,IF(D169="BUY",F169-E169)))*C169</f>
        <v>2500</v>
      </c>
      <c r="J169" s="8">
        <f>C169*3</f>
        <v>7500</v>
      </c>
      <c r="K169" s="2">
        <v>0</v>
      </c>
      <c r="L169" s="8">
        <f t="shared" ref="L169" si="462">(J169+I169+K169)/C169</f>
        <v>4</v>
      </c>
      <c r="M169" s="8">
        <f t="shared" ref="M169" si="463">L169*C169</f>
        <v>10000</v>
      </c>
    </row>
    <row r="170" spans="1:13" ht="15.75" customHeight="1" x14ac:dyDescent="0.25">
      <c r="A170" s="24">
        <v>44186</v>
      </c>
      <c r="B170" s="29" t="s">
        <v>75</v>
      </c>
      <c r="C170" s="11">
        <v>1250</v>
      </c>
      <c r="D170" s="11" t="s">
        <v>10</v>
      </c>
      <c r="E170" s="11">
        <v>199</v>
      </c>
      <c r="F170" s="11">
        <v>197.5</v>
      </c>
      <c r="G170" s="34">
        <v>0</v>
      </c>
      <c r="H170" s="35">
        <v>0</v>
      </c>
      <c r="I170" s="8">
        <f t="shared" ref="I170" si="464">(IF(D170="SELL",E170-F170,IF(D170="BUY",F170-E170)))*C170</f>
        <v>-1875</v>
      </c>
      <c r="J170" s="8">
        <v>0</v>
      </c>
      <c r="K170" s="2">
        <v>0</v>
      </c>
      <c r="L170" s="8">
        <f t="shared" ref="L170" si="465">(J170+I170+K170)/C170</f>
        <v>-1.5</v>
      </c>
      <c r="M170" s="8">
        <f t="shared" ref="M170" si="466">L170*C170</f>
        <v>-1875</v>
      </c>
    </row>
    <row r="171" spans="1:13" ht="15.75" customHeight="1" x14ac:dyDescent="0.25">
      <c r="A171" s="24">
        <v>44186</v>
      </c>
      <c r="B171" s="29" t="s">
        <v>19</v>
      </c>
      <c r="C171" s="11">
        <v>100</v>
      </c>
      <c r="D171" s="11" t="s">
        <v>10</v>
      </c>
      <c r="E171" s="11">
        <v>50910</v>
      </c>
      <c r="F171" s="11">
        <v>50960</v>
      </c>
      <c r="G171" s="34">
        <v>0</v>
      </c>
      <c r="H171" s="35">
        <v>0</v>
      </c>
      <c r="I171" s="8">
        <f t="shared" ref="I171" si="467">(IF(D171="SELL",E171-F171,IF(D171="BUY",F171-E171)))*C171</f>
        <v>5000</v>
      </c>
      <c r="J171" s="8">
        <v>0</v>
      </c>
      <c r="K171" s="2">
        <v>0</v>
      </c>
      <c r="L171" s="8">
        <f t="shared" ref="L171" si="468">(J171+I171+K171)/C171</f>
        <v>50</v>
      </c>
      <c r="M171" s="8">
        <f t="shared" ref="M171" si="469">L171*C171</f>
        <v>5000</v>
      </c>
    </row>
    <row r="172" spans="1:13" ht="15.75" customHeight="1" x14ac:dyDescent="0.25">
      <c r="A172" s="24">
        <v>44186</v>
      </c>
      <c r="B172" s="29" t="s">
        <v>14</v>
      </c>
      <c r="C172" s="11">
        <v>30</v>
      </c>
      <c r="D172" s="11" t="s">
        <v>10</v>
      </c>
      <c r="E172" s="11">
        <v>70720</v>
      </c>
      <c r="F172" s="11">
        <v>70850</v>
      </c>
      <c r="G172" s="34">
        <v>71150</v>
      </c>
      <c r="H172" s="35">
        <v>0</v>
      </c>
      <c r="I172" s="8">
        <f t="shared" ref="I172" si="470">(IF(D172="SELL",E172-F172,IF(D172="BUY",F172-E172)))*C172</f>
        <v>3900</v>
      </c>
      <c r="J172" s="8">
        <f>C172*300</f>
        <v>9000</v>
      </c>
      <c r="K172" s="2">
        <v>0</v>
      </c>
      <c r="L172" s="8">
        <f t="shared" ref="L172" si="471">(J172+I172+K172)/C172</f>
        <v>430</v>
      </c>
      <c r="M172" s="8">
        <f t="shared" ref="M172" si="472">L172*C172</f>
        <v>12900</v>
      </c>
    </row>
    <row r="173" spans="1:13" ht="15.75" customHeight="1" x14ac:dyDescent="0.25">
      <c r="A173" s="24">
        <v>44186</v>
      </c>
      <c r="B173" s="29" t="s">
        <v>17</v>
      </c>
      <c r="C173" s="11">
        <v>5000</v>
      </c>
      <c r="D173" s="11" t="s">
        <v>10</v>
      </c>
      <c r="E173" s="11">
        <v>224.3</v>
      </c>
      <c r="F173" s="11">
        <v>224.8</v>
      </c>
      <c r="G173" s="34">
        <v>0</v>
      </c>
      <c r="H173" s="35">
        <v>0</v>
      </c>
      <c r="I173" s="8">
        <f t="shared" ref="I173" si="473">(IF(D173="SELL",E173-F173,IF(D173="BUY",F173-E173)))*C173</f>
        <v>2500</v>
      </c>
      <c r="J173" s="8">
        <v>0</v>
      </c>
      <c r="K173" s="2">
        <v>0</v>
      </c>
      <c r="L173" s="8">
        <f t="shared" ref="L173" si="474">(J173+I173+K173)/C173</f>
        <v>0.5</v>
      </c>
      <c r="M173" s="8">
        <f t="shared" ref="M173" si="475">L173*C173</f>
        <v>2500</v>
      </c>
    </row>
    <row r="174" spans="1:13" ht="15.75" customHeight="1" x14ac:dyDescent="0.25">
      <c r="A174" s="24">
        <v>44183</v>
      </c>
      <c r="B174" s="29" t="s">
        <v>16</v>
      </c>
      <c r="C174" s="11">
        <v>100</v>
      </c>
      <c r="D174" s="11" t="s">
        <v>10</v>
      </c>
      <c r="E174" s="11">
        <v>3560</v>
      </c>
      <c r="F174" s="11">
        <v>3580</v>
      </c>
      <c r="G174" s="34">
        <v>3610</v>
      </c>
      <c r="H174" s="35">
        <v>0</v>
      </c>
      <c r="I174" s="8">
        <f t="shared" ref="I174" si="476">(IF(D174="SELL",E174-F174,IF(D174="BUY",F174-E174)))*C174</f>
        <v>2000</v>
      </c>
      <c r="J174" s="8">
        <f>C174*30</f>
        <v>3000</v>
      </c>
      <c r="K174" s="2">
        <v>0</v>
      </c>
      <c r="L174" s="8">
        <f t="shared" ref="L174" si="477">(J174+I174+K174)/C174</f>
        <v>50</v>
      </c>
      <c r="M174" s="8">
        <f t="shared" ref="M174" si="478">L174*C174</f>
        <v>5000</v>
      </c>
    </row>
    <row r="175" spans="1:13" ht="15.75" customHeight="1" x14ac:dyDescent="0.25">
      <c r="A175" s="24">
        <v>44183</v>
      </c>
      <c r="B175" s="29" t="s">
        <v>75</v>
      </c>
      <c r="C175" s="11">
        <v>1250</v>
      </c>
      <c r="D175" s="11" t="s">
        <v>10</v>
      </c>
      <c r="E175" s="11">
        <v>198</v>
      </c>
      <c r="F175" s="11">
        <v>199</v>
      </c>
      <c r="G175" s="34">
        <v>199.5</v>
      </c>
      <c r="H175" s="35">
        <v>0</v>
      </c>
      <c r="I175" s="8">
        <f t="shared" ref="I175" si="479">(IF(D175="SELL",E175-F175,IF(D175="BUY",F175-E175)))*C175</f>
        <v>1250</v>
      </c>
      <c r="J175" s="8">
        <f>C175*0.5</f>
        <v>625</v>
      </c>
      <c r="K175" s="2">
        <v>0</v>
      </c>
      <c r="L175" s="8">
        <f t="shared" ref="L175" si="480">(J175+I175+K175)/C175</f>
        <v>1.5</v>
      </c>
      <c r="M175" s="8">
        <f t="shared" ref="M175" si="481">L175*C175</f>
        <v>1875</v>
      </c>
    </row>
    <row r="176" spans="1:13" ht="15.75" customHeight="1" x14ac:dyDescent="0.25">
      <c r="A176" s="24">
        <v>44183</v>
      </c>
      <c r="B176" s="29" t="s">
        <v>14</v>
      </c>
      <c r="C176" s="11">
        <v>30</v>
      </c>
      <c r="D176" s="11" t="s">
        <v>10</v>
      </c>
      <c r="E176" s="11">
        <v>67850</v>
      </c>
      <c r="F176" s="11">
        <v>67950</v>
      </c>
      <c r="G176" s="34">
        <v>68250</v>
      </c>
      <c r="H176" s="35">
        <v>0</v>
      </c>
      <c r="I176" s="8">
        <f t="shared" ref="I176" si="482">(IF(D176="SELL",E176-F176,IF(D176="BUY",F176-E176)))*C176</f>
        <v>3000</v>
      </c>
      <c r="J176" s="8">
        <f>C176*300</f>
        <v>9000</v>
      </c>
      <c r="K176" s="2">
        <v>0</v>
      </c>
      <c r="L176" s="8">
        <f t="shared" ref="L176" si="483">(J176+I176+K176)/C176</f>
        <v>400</v>
      </c>
      <c r="M176" s="8">
        <f t="shared" ref="M176" si="484">L176*C176</f>
        <v>12000</v>
      </c>
    </row>
    <row r="177" spans="1:13" ht="15.75" customHeight="1" x14ac:dyDescent="0.25">
      <c r="A177" s="24">
        <v>44183</v>
      </c>
      <c r="B177" s="29" t="s">
        <v>19</v>
      </c>
      <c r="C177" s="11">
        <v>100</v>
      </c>
      <c r="D177" s="11" t="s">
        <v>11</v>
      </c>
      <c r="E177" s="11">
        <v>50200</v>
      </c>
      <c r="F177" s="11">
        <v>50150</v>
      </c>
      <c r="G177" s="34">
        <v>0</v>
      </c>
      <c r="H177" s="35">
        <v>0</v>
      </c>
      <c r="I177" s="8">
        <f t="shared" ref="I177" si="485">(IF(D177="SELL",E177-F177,IF(D177="BUY",F177-E177)))*C177</f>
        <v>5000</v>
      </c>
      <c r="J177" s="8">
        <v>0</v>
      </c>
      <c r="K177" s="2">
        <v>0</v>
      </c>
      <c r="L177" s="8">
        <f t="shared" ref="L177" si="486">(J177+I177+K177)/C177</f>
        <v>50</v>
      </c>
      <c r="M177" s="8">
        <f t="shared" ref="M177" si="487">L177*C177</f>
        <v>5000</v>
      </c>
    </row>
    <row r="178" spans="1:13" ht="15.75" customHeight="1" x14ac:dyDescent="0.25">
      <c r="A178" s="24">
        <v>44183</v>
      </c>
      <c r="B178" s="29" t="s">
        <v>14</v>
      </c>
      <c r="C178" s="11">
        <v>30</v>
      </c>
      <c r="D178" s="11" t="s">
        <v>11</v>
      </c>
      <c r="E178" s="11">
        <v>67420</v>
      </c>
      <c r="F178" s="11">
        <v>67670</v>
      </c>
      <c r="G178" s="34">
        <v>0</v>
      </c>
      <c r="H178" s="35">
        <v>0</v>
      </c>
      <c r="I178" s="8">
        <f t="shared" ref="I178" si="488">(IF(D178="SELL",E178-F178,IF(D178="BUY",F178-E178)))*C178</f>
        <v>-7500</v>
      </c>
      <c r="J178" s="8">
        <v>0</v>
      </c>
      <c r="K178" s="2">
        <v>0</v>
      </c>
      <c r="L178" s="8">
        <f t="shared" ref="L178" si="489">(J178+I178+K178)/C178</f>
        <v>-250</v>
      </c>
      <c r="M178" s="8">
        <f t="shared" ref="M178" si="490">L178*C178</f>
        <v>-7500</v>
      </c>
    </row>
    <row r="179" spans="1:13" ht="15.75" customHeight="1" x14ac:dyDescent="0.25">
      <c r="A179" s="24">
        <v>44182</v>
      </c>
      <c r="B179" s="29" t="s">
        <v>74</v>
      </c>
      <c r="C179" s="11">
        <v>1500</v>
      </c>
      <c r="D179" s="11" t="s">
        <v>10</v>
      </c>
      <c r="E179" s="11">
        <v>1317.2</v>
      </c>
      <c r="F179" s="11">
        <v>1320.5</v>
      </c>
      <c r="G179" s="34">
        <v>0</v>
      </c>
      <c r="H179" s="35">
        <v>0</v>
      </c>
      <c r="I179" s="8">
        <f t="shared" ref="I179" si="491">(IF(D179="SELL",E179-F179,IF(D179="BUY",F179-E179)))*C179</f>
        <v>4949.9999999999318</v>
      </c>
      <c r="J179" s="8">
        <v>0</v>
      </c>
      <c r="K179" s="2">
        <v>0</v>
      </c>
      <c r="L179" s="8">
        <f t="shared" ref="L179" si="492">(J179+I179+K179)/C179</f>
        <v>3.2999999999999545</v>
      </c>
      <c r="M179" s="8">
        <f t="shared" ref="M179" si="493">L179*C179</f>
        <v>4949.9999999999318</v>
      </c>
    </row>
    <row r="180" spans="1:13" ht="15.75" customHeight="1" x14ac:dyDescent="0.25">
      <c r="A180" s="24">
        <v>44182</v>
      </c>
      <c r="B180" s="29" t="s">
        <v>14</v>
      </c>
      <c r="C180" s="11">
        <v>30</v>
      </c>
      <c r="D180" s="11" t="s">
        <v>10</v>
      </c>
      <c r="E180" s="11">
        <v>67850</v>
      </c>
      <c r="F180" s="11">
        <v>67950</v>
      </c>
      <c r="G180" s="34">
        <v>68200</v>
      </c>
      <c r="H180" s="35">
        <v>0</v>
      </c>
      <c r="I180" s="8">
        <f t="shared" ref="I180" si="494">(IF(D180="SELL",E180-F180,IF(D180="BUY",F180-E180)))*C180</f>
        <v>3000</v>
      </c>
      <c r="J180" s="8">
        <f>C180*250</f>
        <v>7500</v>
      </c>
      <c r="K180" s="2">
        <v>0</v>
      </c>
      <c r="L180" s="8">
        <f t="shared" ref="L180" si="495">(J180+I180+K180)/C180</f>
        <v>350</v>
      </c>
      <c r="M180" s="8">
        <f t="shared" ref="M180" si="496">L180*C180</f>
        <v>10500</v>
      </c>
    </row>
    <row r="181" spans="1:13" ht="15.75" customHeight="1" x14ac:dyDescent="0.25">
      <c r="A181" s="24">
        <v>44182</v>
      </c>
      <c r="B181" s="29" t="s">
        <v>16</v>
      </c>
      <c r="C181" s="11">
        <v>100</v>
      </c>
      <c r="D181" s="11" t="s">
        <v>11</v>
      </c>
      <c r="E181" s="11">
        <v>3540</v>
      </c>
      <c r="F181" s="11">
        <v>3520</v>
      </c>
      <c r="G181" s="34">
        <v>0</v>
      </c>
      <c r="H181" s="35">
        <v>0</v>
      </c>
      <c r="I181" s="8">
        <f t="shared" ref="I181" si="497">(IF(D181="SELL",E181-F181,IF(D181="BUY",F181-E181)))*C181</f>
        <v>2000</v>
      </c>
      <c r="J181" s="8">
        <v>0</v>
      </c>
      <c r="K181" s="2">
        <v>0</v>
      </c>
      <c r="L181" s="8">
        <f t="shared" ref="L181" si="498">(J181+I181+K181)/C181</f>
        <v>20</v>
      </c>
      <c r="M181" s="8">
        <f t="shared" ref="M181" si="499">L181*C181</f>
        <v>2000</v>
      </c>
    </row>
    <row r="182" spans="1:13" ht="15.75" customHeight="1" x14ac:dyDescent="0.25">
      <c r="A182" s="24">
        <v>44182</v>
      </c>
      <c r="B182" s="29" t="s">
        <v>14</v>
      </c>
      <c r="C182" s="11">
        <v>30</v>
      </c>
      <c r="D182" s="11" t="s">
        <v>10</v>
      </c>
      <c r="E182" s="11">
        <v>67770</v>
      </c>
      <c r="F182" s="11">
        <v>67500</v>
      </c>
      <c r="G182" s="34">
        <v>0</v>
      </c>
      <c r="H182" s="35">
        <v>0</v>
      </c>
      <c r="I182" s="8">
        <f t="shared" ref="I182" si="500">(IF(D182="SELL",E182-F182,IF(D182="BUY",F182-E182)))*C182</f>
        <v>-8100</v>
      </c>
      <c r="J182" s="8">
        <v>0</v>
      </c>
      <c r="K182" s="2">
        <v>0</v>
      </c>
      <c r="L182" s="8">
        <f t="shared" ref="L182" si="501">(J182+I182+K182)/C182</f>
        <v>-270</v>
      </c>
      <c r="M182" s="8">
        <f t="shared" ref="M182" si="502">L182*C182</f>
        <v>-8100</v>
      </c>
    </row>
    <row r="183" spans="1:13" ht="15.75" customHeight="1" x14ac:dyDescent="0.25">
      <c r="A183" s="24">
        <v>44182</v>
      </c>
      <c r="B183" s="29" t="s">
        <v>19</v>
      </c>
      <c r="C183" s="11">
        <v>100</v>
      </c>
      <c r="D183" s="11" t="s">
        <v>10</v>
      </c>
      <c r="E183" s="11">
        <v>49880</v>
      </c>
      <c r="F183" s="11">
        <v>49930</v>
      </c>
      <c r="G183" s="34">
        <v>50050</v>
      </c>
      <c r="H183" s="35">
        <v>0</v>
      </c>
      <c r="I183" s="8">
        <f t="shared" ref="I183" si="503">(IF(D183="SELL",E183-F183,IF(D183="BUY",F183-E183)))*C183</f>
        <v>5000</v>
      </c>
      <c r="J183" s="8">
        <f>C183*120</f>
        <v>12000</v>
      </c>
      <c r="K183" s="2">
        <v>0</v>
      </c>
      <c r="L183" s="8">
        <f t="shared" ref="L183" si="504">(J183+I183+K183)/C183</f>
        <v>170</v>
      </c>
      <c r="M183" s="8">
        <f t="shared" ref="M183" si="505">L183*C183</f>
        <v>17000</v>
      </c>
    </row>
    <row r="184" spans="1:13" ht="15.75" customHeight="1" x14ac:dyDescent="0.25">
      <c r="A184" s="24">
        <v>44182</v>
      </c>
      <c r="B184" s="29" t="s">
        <v>75</v>
      </c>
      <c r="C184" s="11">
        <v>1250</v>
      </c>
      <c r="D184" s="11" t="s">
        <v>11</v>
      </c>
      <c r="E184" s="11">
        <v>196.6</v>
      </c>
      <c r="F184" s="11">
        <v>195.6</v>
      </c>
      <c r="G184" s="34">
        <v>193</v>
      </c>
      <c r="H184" s="35">
        <v>0</v>
      </c>
      <c r="I184" s="8">
        <f t="shared" ref="I184" si="506">(IF(D184="SELL",E184-F184,IF(D184="BUY",F184-E184)))*C184</f>
        <v>1250</v>
      </c>
      <c r="J184" s="8">
        <f>C184*2.6</f>
        <v>3250</v>
      </c>
      <c r="K184" s="2">
        <v>0</v>
      </c>
      <c r="L184" s="8">
        <f t="shared" ref="L184" si="507">(J184+I184+K184)/C184</f>
        <v>3.6</v>
      </c>
      <c r="M184" s="8">
        <f t="shared" ref="M184" si="508">L184*C184</f>
        <v>4500</v>
      </c>
    </row>
    <row r="185" spans="1:13" ht="15.75" customHeight="1" x14ac:dyDescent="0.25">
      <c r="A185" s="24">
        <v>44182</v>
      </c>
      <c r="B185" s="29" t="s">
        <v>18</v>
      </c>
      <c r="C185" s="11">
        <v>2500</v>
      </c>
      <c r="D185" s="11" t="s">
        <v>10</v>
      </c>
      <c r="E185" s="11">
        <v>606.5</v>
      </c>
      <c r="F185" s="11">
        <v>607.5</v>
      </c>
      <c r="G185" s="34">
        <v>609.5</v>
      </c>
      <c r="H185" s="35">
        <v>0</v>
      </c>
      <c r="I185" s="8">
        <f t="shared" ref="I185" si="509">(IF(D185="SELL",E185-F185,IF(D185="BUY",F185-E185)))*C185</f>
        <v>2500</v>
      </c>
      <c r="J185" s="8">
        <f>C185*2</f>
        <v>5000</v>
      </c>
      <c r="K185" s="2">
        <v>0</v>
      </c>
      <c r="L185" s="8">
        <f t="shared" ref="L185" si="510">(J185+I185+K185)/C185</f>
        <v>3</v>
      </c>
      <c r="M185" s="8">
        <f t="shared" ref="M185" si="511">L185*C185</f>
        <v>7500</v>
      </c>
    </row>
    <row r="186" spans="1:13" ht="15.75" customHeight="1" x14ac:dyDescent="0.25">
      <c r="A186" s="24">
        <v>44182</v>
      </c>
      <c r="B186" s="29" t="s">
        <v>27</v>
      </c>
      <c r="C186" s="11">
        <v>5000</v>
      </c>
      <c r="D186" s="11" t="s">
        <v>10</v>
      </c>
      <c r="E186" s="11">
        <v>221.5</v>
      </c>
      <c r="F186" s="11">
        <v>222</v>
      </c>
      <c r="G186" s="34">
        <v>223</v>
      </c>
      <c r="H186" s="35">
        <v>0</v>
      </c>
      <c r="I186" s="8">
        <f t="shared" ref="I186" si="512">(IF(D186="SELL",E186-F186,IF(D186="BUY",F186-E186)))*C186</f>
        <v>2500</v>
      </c>
      <c r="J186" s="8">
        <f>C186*1</f>
        <v>5000</v>
      </c>
      <c r="K186" s="2">
        <v>0</v>
      </c>
      <c r="L186" s="8">
        <f t="shared" ref="L186" si="513">(J186+I186+K186)/C186</f>
        <v>1.5</v>
      </c>
      <c r="M186" s="8">
        <f t="shared" ref="M186" si="514">L186*C186</f>
        <v>7500</v>
      </c>
    </row>
    <row r="187" spans="1:13" ht="15.75" customHeight="1" x14ac:dyDescent="0.25">
      <c r="A187" s="24">
        <v>44181</v>
      </c>
      <c r="B187" s="29" t="s">
        <v>75</v>
      </c>
      <c r="C187" s="11">
        <v>1250</v>
      </c>
      <c r="D187" s="11" t="s">
        <v>10</v>
      </c>
      <c r="E187" s="11">
        <v>197</v>
      </c>
      <c r="F187" s="11">
        <v>195</v>
      </c>
      <c r="G187" s="34">
        <v>0</v>
      </c>
      <c r="H187" s="35">
        <v>0</v>
      </c>
      <c r="I187" s="8">
        <f t="shared" ref="I187" si="515">(IF(D187="SELL",E187-F187,IF(D187="BUY",F187-E187)))*C187</f>
        <v>-2500</v>
      </c>
      <c r="J187" s="8">
        <v>0</v>
      </c>
      <c r="K187" s="2">
        <v>0</v>
      </c>
      <c r="L187" s="8">
        <f t="shared" ref="L187" si="516">(J187+I187+K187)/C187</f>
        <v>-2</v>
      </c>
      <c r="M187" s="8">
        <f t="shared" ref="M187" si="517">L187*C187</f>
        <v>-2500</v>
      </c>
    </row>
    <row r="188" spans="1:13" ht="15.75" customHeight="1" x14ac:dyDescent="0.25">
      <c r="A188" s="24">
        <v>44181</v>
      </c>
      <c r="B188" s="29" t="s">
        <v>14</v>
      </c>
      <c r="C188" s="11">
        <v>30</v>
      </c>
      <c r="D188" s="11" t="s">
        <v>10</v>
      </c>
      <c r="E188" s="11">
        <v>66620</v>
      </c>
      <c r="F188" s="11">
        <v>66370</v>
      </c>
      <c r="G188" s="34">
        <v>0</v>
      </c>
      <c r="H188" s="35">
        <v>0</v>
      </c>
      <c r="I188" s="8">
        <f t="shared" ref="I188" si="518">(IF(D188="SELL",E188-F188,IF(D188="BUY",F188-E188)))*C188</f>
        <v>-7500</v>
      </c>
      <c r="J188" s="8">
        <v>0</v>
      </c>
      <c r="K188" s="2">
        <v>0</v>
      </c>
      <c r="L188" s="8">
        <f t="shared" ref="L188" si="519">(J188+I188+K188)/C188</f>
        <v>-250</v>
      </c>
      <c r="M188" s="8">
        <f t="shared" ref="M188" si="520">L188*C188</f>
        <v>-7500</v>
      </c>
    </row>
    <row r="189" spans="1:13" ht="15.75" customHeight="1" x14ac:dyDescent="0.25">
      <c r="A189" s="24">
        <v>44181</v>
      </c>
      <c r="B189" s="29" t="s">
        <v>16</v>
      </c>
      <c r="C189" s="11">
        <v>100</v>
      </c>
      <c r="D189" s="11" t="s">
        <v>10</v>
      </c>
      <c r="E189" s="11">
        <v>3505</v>
      </c>
      <c r="F189" s="11">
        <v>3525</v>
      </c>
      <c r="G189" s="34">
        <v>0</v>
      </c>
      <c r="H189" s="35">
        <v>0</v>
      </c>
      <c r="I189" s="8">
        <f t="shared" ref="I189" si="521">(IF(D189="SELL",E189-F189,IF(D189="BUY",F189-E189)))*C189</f>
        <v>2000</v>
      </c>
      <c r="J189" s="8">
        <v>0</v>
      </c>
      <c r="K189" s="2">
        <v>0</v>
      </c>
      <c r="L189" s="8">
        <f t="shared" ref="L189" si="522">(J189+I189+K189)/C189</f>
        <v>20</v>
      </c>
      <c r="M189" s="8">
        <f t="shared" ref="M189" si="523">L189*C189</f>
        <v>2000</v>
      </c>
    </row>
    <row r="190" spans="1:13" ht="15.75" customHeight="1" x14ac:dyDescent="0.25">
      <c r="A190" s="24">
        <v>44181</v>
      </c>
      <c r="B190" s="29" t="s">
        <v>14</v>
      </c>
      <c r="C190" s="11">
        <v>30</v>
      </c>
      <c r="D190" s="11" t="s">
        <v>10</v>
      </c>
      <c r="E190" s="11">
        <v>66000</v>
      </c>
      <c r="F190" s="11">
        <v>66100</v>
      </c>
      <c r="G190" s="34">
        <v>66350</v>
      </c>
      <c r="H190" s="35">
        <v>0</v>
      </c>
      <c r="I190" s="8">
        <f t="shared" ref="I190" si="524">(IF(D190="SELL",E190-F190,IF(D190="BUY",F190-E190)))*C190</f>
        <v>3000</v>
      </c>
      <c r="J190" s="8">
        <f>C190*250</f>
        <v>7500</v>
      </c>
      <c r="K190" s="2">
        <v>0</v>
      </c>
      <c r="L190" s="8">
        <f t="shared" ref="L190" si="525">(J190+I190+K190)/C190</f>
        <v>350</v>
      </c>
      <c r="M190" s="8">
        <f t="shared" ref="M190" si="526">L190*C190</f>
        <v>10500</v>
      </c>
    </row>
    <row r="191" spans="1:13" ht="15.75" customHeight="1" x14ac:dyDescent="0.25">
      <c r="A191" s="24">
        <v>44181</v>
      </c>
      <c r="B191" s="29" t="s">
        <v>19</v>
      </c>
      <c r="C191" s="11">
        <v>100</v>
      </c>
      <c r="D191" s="11" t="s">
        <v>10</v>
      </c>
      <c r="E191" s="11">
        <v>49730</v>
      </c>
      <c r="F191" s="11">
        <v>49780</v>
      </c>
      <c r="G191" s="34">
        <v>0</v>
      </c>
      <c r="H191" s="35">
        <v>0</v>
      </c>
      <c r="I191" s="8">
        <f t="shared" ref="I191" si="527">(IF(D191="SELL",E191-F191,IF(D191="BUY",F191-E191)))*C191</f>
        <v>5000</v>
      </c>
      <c r="J191" s="8">
        <v>0</v>
      </c>
      <c r="K191" s="2">
        <v>0</v>
      </c>
      <c r="L191" s="8">
        <f t="shared" ref="L191" si="528">(J191+I191+K191)/C191</f>
        <v>50</v>
      </c>
      <c r="M191" s="8">
        <f t="shared" ref="M191" si="529">L191*C191</f>
        <v>5000</v>
      </c>
    </row>
    <row r="192" spans="1:13" ht="15.75" customHeight="1" x14ac:dyDescent="0.25">
      <c r="A192" s="24">
        <v>44181</v>
      </c>
      <c r="B192" s="29" t="s">
        <v>18</v>
      </c>
      <c r="C192" s="11">
        <v>2500</v>
      </c>
      <c r="D192" s="11" t="s">
        <v>10</v>
      </c>
      <c r="E192" s="11">
        <v>602</v>
      </c>
      <c r="F192" s="11">
        <v>603</v>
      </c>
      <c r="G192" s="34">
        <v>606</v>
      </c>
      <c r="H192" s="35">
        <v>0</v>
      </c>
      <c r="I192" s="8">
        <f t="shared" ref="I192" si="530">(IF(D192="SELL",E192-F192,IF(D192="BUY",F192-E192)))*C192</f>
        <v>2500</v>
      </c>
      <c r="J192" s="8">
        <f>C192*3</f>
        <v>7500</v>
      </c>
      <c r="K192" s="2">
        <v>0</v>
      </c>
      <c r="L192" s="8">
        <f t="shared" ref="L192" si="531">(J192+I192+K192)/C192</f>
        <v>4</v>
      </c>
      <c r="M192" s="8">
        <f t="shared" ref="M192" si="532">L192*C192</f>
        <v>10000</v>
      </c>
    </row>
    <row r="193" spans="1:13" ht="15.75" customHeight="1" x14ac:dyDescent="0.25">
      <c r="A193" s="24">
        <v>44181</v>
      </c>
      <c r="B193" s="29" t="s">
        <v>17</v>
      </c>
      <c r="C193" s="11">
        <v>5000</v>
      </c>
      <c r="D193" s="11" t="s">
        <v>10</v>
      </c>
      <c r="E193" s="11">
        <v>220.7</v>
      </c>
      <c r="F193" s="11">
        <v>221.2</v>
      </c>
      <c r="G193" s="34">
        <v>0</v>
      </c>
      <c r="H193" s="35">
        <v>0</v>
      </c>
      <c r="I193" s="8">
        <f t="shared" ref="I193" si="533">(IF(D193="SELL",E193-F193,IF(D193="BUY",F193-E193)))*C193</f>
        <v>2500</v>
      </c>
      <c r="J193" s="8">
        <v>0</v>
      </c>
      <c r="K193" s="2">
        <v>0</v>
      </c>
      <c r="L193" s="8">
        <f t="shared" ref="L193" si="534">(J193+I193+K193)/C193</f>
        <v>0.5</v>
      </c>
      <c r="M193" s="8">
        <f t="shared" ref="M193" si="535">L193*C193</f>
        <v>2500</v>
      </c>
    </row>
    <row r="194" spans="1:13" ht="15.75" customHeight="1" x14ac:dyDescent="0.25">
      <c r="A194" s="24">
        <v>44180</v>
      </c>
      <c r="B194" s="29" t="s">
        <v>14</v>
      </c>
      <c r="C194" s="11">
        <v>30</v>
      </c>
      <c r="D194" s="11" t="s">
        <v>10</v>
      </c>
      <c r="E194" s="11">
        <v>64050</v>
      </c>
      <c r="F194" s="11">
        <v>64150</v>
      </c>
      <c r="G194" s="34">
        <v>64460</v>
      </c>
      <c r="H194" s="35">
        <v>0</v>
      </c>
      <c r="I194" s="8">
        <f t="shared" ref="I194" si="536">(IF(D194="SELL",E194-F194,IF(D194="BUY",F194-E194)))*C194</f>
        <v>3000</v>
      </c>
      <c r="J194" s="8">
        <f>C194*310</f>
        <v>9300</v>
      </c>
      <c r="K194" s="2">
        <v>0</v>
      </c>
      <c r="L194" s="8">
        <f t="shared" ref="L194" si="537">(J194+I194+K194)/C194</f>
        <v>410</v>
      </c>
      <c r="M194" s="8">
        <f t="shared" ref="M194" si="538">L194*C194</f>
        <v>12300</v>
      </c>
    </row>
    <row r="195" spans="1:13" ht="15.75" customHeight="1" x14ac:dyDescent="0.25">
      <c r="A195" s="24">
        <v>44180</v>
      </c>
      <c r="B195" s="29" t="s">
        <v>75</v>
      </c>
      <c r="C195" s="11">
        <v>1250</v>
      </c>
      <c r="D195" s="11" t="s">
        <v>11</v>
      </c>
      <c r="E195" s="11">
        <v>196.5</v>
      </c>
      <c r="F195" s="11">
        <v>195.5</v>
      </c>
      <c r="G195" s="34">
        <v>192</v>
      </c>
      <c r="H195" s="35">
        <v>0</v>
      </c>
      <c r="I195" s="8">
        <f t="shared" ref="I195" si="539">(IF(D195="SELL",E195-F195,IF(D195="BUY",F195-E195)))*C195</f>
        <v>1250</v>
      </c>
      <c r="J195" s="8">
        <f>C195*3.5</f>
        <v>4375</v>
      </c>
      <c r="K195" s="2">
        <v>0</v>
      </c>
      <c r="L195" s="8">
        <f t="shared" ref="L195" si="540">(J195+I195+K195)/C195</f>
        <v>4.5</v>
      </c>
      <c r="M195" s="8">
        <f t="shared" ref="M195" si="541">L195*C195</f>
        <v>5625</v>
      </c>
    </row>
    <row r="196" spans="1:13" ht="15.75" customHeight="1" x14ac:dyDescent="0.25">
      <c r="A196" s="24">
        <v>44180</v>
      </c>
      <c r="B196" s="29" t="s">
        <v>19</v>
      </c>
      <c r="C196" s="11">
        <v>100</v>
      </c>
      <c r="D196" s="11" t="s">
        <v>10</v>
      </c>
      <c r="E196" s="11">
        <v>49250</v>
      </c>
      <c r="F196" s="11">
        <v>49300</v>
      </c>
      <c r="G196" s="34">
        <v>49400</v>
      </c>
      <c r="H196" s="35">
        <v>0</v>
      </c>
      <c r="I196" s="8">
        <f t="shared" ref="I196" si="542">(IF(D196="SELL",E196-F196,IF(D196="BUY",F196-E196)))*C196</f>
        <v>5000</v>
      </c>
      <c r="J196" s="8">
        <f>C196*100</f>
        <v>10000</v>
      </c>
      <c r="K196" s="2">
        <v>0</v>
      </c>
      <c r="L196" s="8">
        <f t="shared" ref="L196" si="543">(J196+I196+K196)/C196</f>
        <v>150</v>
      </c>
      <c r="M196" s="8">
        <f t="shared" ref="M196" si="544">L196*C196</f>
        <v>15000</v>
      </c>
    </row>
    <row r="197" spans="1:13" ht="15.75" customHeight="1" x14ac:dyDescent="0.25">
      <c r="A197" s="24">
        <v>44179</v>
      </c>
      <c r="B197" s="29" t="s">
        <v>16</v>
      </c>
      <c r="C197" s="11">
        <v>100</v>
      </c>
      <c r="D197" s="11" t="s">
        <v>10</v>
      </c>
      <c r="E197" s="11">
        <v>3465</v>
      </c>
      <c r="F197" s="11">
        <v>3485</v>
      </c>
      <c r="G197" s="34">
        <v>0</v>
      </c>
      <c r="H197" s="35">
        <v>0</v>
      </c>
      <c r="I197" s="8">
        <f t="shared" ref="I197" si="545">(IF(D197="SELL",E197-F197,IF(D197="BUY",F197-E197)))*C197</f>
        <v>2000</v>
      </c>
      <c r="J197" s="8">
        <v>0</v>
      </c>
      <c r="K197" s="2">
        <v>0</v>
      </c>
      <c r="L197" s="8">
        <f t="shared" ref="L197" si="546">(J197+I197+K197)/C197</f>
        <v>20</v>
      </c>
      <c r="M197" s="8">
        <f t="shared" ref="M197" si="547">L197*C197</f>
        <v>2000</v>
      </c>
    </row>
    <row r="198" spans="1:13" ht="15.75" customHeight="1" x14ac:dyDescent="0.25">
      <c r="A198" s="24">
        <v>44179</v>
      </c>
      <c r="B198" s="29" t="s">
        <v>17</v>
      </c>
      <c r="C198" s="11">
        <v>5000</v>
      </c>
      <c r="D198" s="11" t="s">
        <v>11</v>
      </c>
      <c r="E198" s="11">
        <v>217.8</v>
      </c>
      <c r="F198" s="11">
        <v>218.8</v>
      </c>
      <c r="G198" s="34">
        <v>0</v>
      </c>
      <c r="H198" s="35">
        <v>0</v>
      </c>
      <c r="I198" s="8">
        <f t="shared" ref="I198" si="548">(IF(D198="SELL",E198-F198,IF(D198="BUY",F198-E198)))*C198</f>
        <v>-5000</v>
      </c>
      <c r="J198" s="8">
        <v>0</v>
      </c>
      <c r="K198" s="2">
        <v>0</v>
      </c>
      <c r="L198" s="8">
        <f t="shared" ref="L198" si="549">(J198+I198+K198)/C198</f>
        <v>-1</v>
      </c>
      <c r="M198" s="8">
        <f t="shared" ref="M198" si="550">L198*C198</f>
        <v>-5000</v>
      </c>
    </row>
    <row r="199" spans="1:13" ht="15.75" customHeight="1" x14ac:dyDescent="0.25">
      <c r="A199" s="24">
        <v>44179</v>
      </c>
      <c r="B199" s="29" t="s">
        <v>75</v>
      </c>
      <c r="C199" s="11">
        <v>1250</v>
      </c>
      <c r="D199" s="11" t="s">
        <v>11</v>
      </c>
      <c r="E199" s="11">
        <v>196.5</v>
      </c>
      <c r="F199" s="11">
        <v>195.5</v>
      </c>
      <c r="G199" s="34">
        <v>193</v>
      </c>
      <c r="H199" s="35">
        <v>0</v>
      </c>
      <c r="I199" s="8">
        <f t="shared" ref="I199" si="551">(IF(D199="SELL",E199-F199,IF(D199="BUY",F199-E199)))*C199</f>
        <v>1250</v>
      </c>
      <c r="J199" s="8">
        <f>C199*2.5</f>
        <v>3125</v>
      </c>
      <c r="K199" s="2">
        <v>0</v>
      </c>
      <c r="L199" s="8">
        <f t="shared" ref="L199" si="552">(J199+I199+K199)/C199</f>
        <v>3.5</v>
      </c>
      <c r="M199" s="8">
        <f t="shared" ref="M199" si="553">L199*C199</f>
        <v>4375</v>
      </c>
    </row>
    <row r="200" spans="1:13" ht="15.75" customHeight="1" x14ac:dyDescent="0.25">
      <c r="A200" s="24">
        <v>44176</v>
      </c>
      <c r="B200" s="29" t="s">
        <v>14</v>
      </c>
      <c r="C200" s="11">
        <v>30</v>
      </c>
      <c r="D200" s="11" t="s">
        <v>10</v>
      </c>
      <c r="E200" s="11">
        <v>63380</v>
      </c>
      <c r="F200" s="11">
        <v>63480</v>
      </c>
      <c r="G200" s="34">
        <v>63700</v>
      </c>
      <c r="H200" s="35">
        <v>0</v>
      </c>
      <c r="I200" s="8">
        <f t="shared" ref="I200" si="554">(IF(D200="SELL",E200-F200,IF(D200="BUY",F200-E200)))*C200</f>
        <v>3000</v>
      </c>
      <c r="J200" s="8">
        <f>C200*220</f>
        <v>6600</v>
      </c>
      <c r="K200" s="2">
        <v>0</v>
      </c>
      <c r="L200" s="8">
        <f t="shared" ref="L200" si="555">(J200+I200+K200)/C200</f>
        <v>320</v>
      </c>
      <c r="M200" s="8">
        <f t="shared" ref="M200" si="556">L200*C200</f>
        <v>9600</v>
      </c>
    </row>
    <row r="201" spans="1:13" ht="15.75" customHeight="1" x14ac:dyDescent="0.25">
      <c r="A201" s="24">
        <v>44176</v>
      </c>
      <c r="B201" s="29" t="s">
        <v>75</v>
      </c>
      <c r="C201" s="11">
        <v>1250</v>
      </c>
      <c r="D201" s="11" t="s">
        <v>10</v>
      </c>
      <c r="E201" s="11">
        <v>188</v>
      </c>
      <c r="F201" s="11">
        <v>189</v>
      </c>
      <c r="G201" s="34">
        <v>192</v>
      </c>
      <c r="H201" s="35">
        <v>0</v>
      </c>
      <c r="I201" s="8">
        <f t="shared" ref="I201" si="557">(IF(D201="SELL",E201-F201,IF(D201="BUY",F201-E201)))*C201</f>
        <v>1250</v>
      </c>
      <c r="J201" s="8">
        <f>C201*3</f>
        <v>3750</v>
      </c>
      <c r="K201" s="2">
        <v>0</v>
      </c>
      <c r="L201" s="8">
        <f t="shared" ref="L201" si="558">(J201+I201+K201)/C201</f>
        <v>4</v>
      </c>
      <c r="M201" s="8">
        <f t="shared" ref="M201" si="559">L201*C201</f>
        <v>5000</v>
      </c>
    </row>
    <row r="202" spans="1:13" ht="15.75" customHeight="1" x14ac:dyDescent="0.25">
      <c r="A202" s="24">
        <v>44175</v>
      </c>
      <c r="B202" s="29" t="s">
        <v>17</v>
      </c>
      <c r="C202" s="11">
        <v>5000</v>
      </c>
      <c r="D202" s="11" t="s">
        <v>10</v>
      </c>
      <c r="E202" s="11">
        <v>220.6</v>
      </c>
      <c r="F202" s="11">
        <v>221.1</v>
      </c>
      <c r="G202" s="34">
        <v>222</v>
      </c>
      <c r="H202" s="35">
        <v>0</v>
      </c>
      <c r="I202" s="8">
        <f t="shared" ref="I202" si="560">(IF(D202="SELL",E202-F202,IF(D202="BUY",F202-E202)))*C202</f>
        <v>2500</v>
      </c>
      <c r="J202" s="8">
        <f>C202*0.9</f>
        <v>4500</v>
      </c>
      <c r="K202" s="2">
        <v>0</v>
      </c>
      <c r="L202" s="8">
        <f t="shared" ref="L202" si="561">(J202+I202+K202)/C202</f>
        <v>1.4</v>
      </c>
      <c r="M202" s="8">
        <f t="shared" ref="M202" si="562">L202*C202</f>
        <v>7000</v>
      </c>
    </row>
    <row r="203" spans="1:13" ht="15.75" customHeight="1" x14ac:dyDescent="0.25">
      <c r="A203" s="24">
        <v>44175</v>
      </c>
      <c r="B203" s="29" t="s">
        <v>14</v>
      </c>
      <c r="C203" s="11">
        <v>30</v>
      </c>
      <c r="D203" s="11" t="s">
        <v>11</v>
      </c>
      <c r="E203" s="11">
        <v>63350</v>
      </c>
      <c r="F203" s="11">
        <v>63250</v>
      </c>
      <c r="G203" s="34">
        <v>63000</v>
      </c>
      <c r="H203" s="35">
        <v>0</v>
      </c>
      <c r="I203" s="8">
        <f t="shared" ref="I203" si="563">(IF(D203="SELL",E203-F203,IF(D203="BUY",F203-E203)))*C203</f>
        <v>3000</v>
      </c>
      <c r="J203" s="8">
        <f>C203*250</f>
        <v>7500</v>
      </c>
      <c r="K203" s="2">
        <v>0</v>
      </c>
      <c r="L203" s="8">
        <f t="shared" ref="L203" si="564">(J203+I203+K203)/C203</f>
        <v>350</v>
      </c>
      <c r="M203" s="8">
        <f t="shared" ref="M203" si="565">L203*C203</f>
        <v>10500</v>
      </c>
    </row>
    <row r="204" spans="1:13" ht="15.75" customHeight="1" x14ac:dyDescent="0.25">
      <c r="A204" s="24">
        <v>44175</v>
      </c>
      <c r="B204" s="29" t="s">
        <v>75</v>
      </c>
      <c r="C204" s="11">
        <v>1250</v>
      </c>
      <c r="D204" s="11" t="s">
        <v>10</v>
      </c>
      <c r="E204" s="11">
        <v>178</v>
      </c>
      <c r="F204" s="11">
        <v>179</v>
      </c>
      <c r="G204" s="34">
        <v>182</v>
      </c>
      <c r="H204" s="35">
        <v>0</v>
      </c>
      <c r="I204" s="8">
        <f t="shared" ref="I204" si="566">(IF(D204="SELL",E204-F204,IF(D204="BUY",F204-E204)))*C204</f>
        <v>1250</v>
      </c>
      <c r="J204" s="8">
        <f>C204*3</f>
        <v>3750</v>
      </c>
      <c r="K204" s="2">
        <v>0</v>
      </c>
      <c r="L204" s="8">
        <f t="shared" ref="L204" si="567">(J204+I204+K204)/C204</f>
        <v>4</v>
      </c>
      <c r="M204" s="8">
        <f t="shared" ref="M204" si="568">L204*C204</f>
        <v>5000</v>
      </c>
    </row>
    <row r="205" spans="1:13" ht="15.75" customHeight="1" x14ac:dyDescent="0.25">
      <c r="A205" s="24">
        <v>44175</v>
      </c>
      <c r="B205" s="29" t="s">
        <v>19</v>
      </c>
      <c r="C205" s="11">
        <v>100</v>
      </c>
      <c r="D205" s="11" t="s">
        <v>11</v>
      </c>
      <c r="E205" s="11">
        <v>49160</v>
      </c>
      <c r="F205" s="11">
        <v>49110</v>
      </c>
      <c r="G205" s="34">
        <v>49000</v>
      </c>
      <c r="H205" s="35">
        <v>0</v>
      </c>
      <c r="I205" s="8">
        <f t="shared" ref="I205" si="569">(IF(D205="SELL",E205-F205,IF(D205="BUY",F205-E205)))*C205</f>
        <v>5000</v>
      </c>
      <c r="J205" s="8">
        <f>C205*110</f>
        <v>11000</v>
      </c>
      <c r="K205" s="2">
        <v>0</v>
      </c>
      <c r="L205" s="8">
        <f t="shared" ref="L205" si="570">(J205+I205+K205)/C205</f>
        <v>160</v>
      </c>
      <c r="M205" s="8">
        <f t="shared" ref="M205" si="571">L205*C205</f>
        <v>16000</v>
      </c>
    </row>
    <row r="206" spans="1:13" ht="15.75" customHeight="1" x14ac:dyDescent="0.25">
      <c r="A206" s="24">
        <v>44168</v>
      </c>
      <c r="B206" s="29" t="s">
        <v>75</v>
      </c>
      <c r="C206" s="11">
        <v>1250</v>
      </c>
      <c r="D206" s="11" t="s">
        <v>11</v>
      </c>
      <c r="E206" s="11">
        <v>198.8</v>
      </c>
      <c r="F206" s="11">
        <v>197.8</v>
      </c>
      <c r="G206" s="34">
        <v>194</v>
      </c>
      <c r="H206" s="35">
        <v>0</v>
      </c>
      <c r="I206" s="8">
        <f t="shared" ref="I206" si="572">(IF(D206="SELL",E206-F206,IF(D206="BUY",F206-E206)))*C206</f>
        <v>1250</v>
      </c>
      <c r="J206" s="8">
        <f>C206*3.8</f>
        <v>4750</v>
      </c>
      <c r="K206" s="2">
        <v>0</v>
      </c>
      <c r="L206" s="8">
        <f t="shared" ref="L206" si="573">(J206+I206+K206)/C206</f>
        <v>4.8</v>
      </c>
      <c r="M206" s="8">
        <f t="shared" ref="M206" si="574">L206*C206</f>
        <v>6000</v>
      </c>
    </row>
    <row r="207" spans="1:13" ht="15.75" customHeight="1" x14ac:dyDescent="0.25">
      <c r="A207" s="24">
        <v>44168</v>
      </c>
      <c r="B207" s="29" t="s">
        <v>19</v>
      </c>
      <c r="C207" s="11">
        <v>100</v>
      </c>
      <c r="D207" s="11" t="s">
        <v>11</v>
      </c>
      <c r="E207" s="11">
        <v>49220</v>
      </c>
      <c r="F207" s="11">
        <v>49300</v>
      </c>
      <c r="G207" s="34">
        <v>0</v>
      </c>
      <c r="H207" s="35">
        <v>0</v>
      </c>
      <c r="I207" s="8">
        <f t="shared" ref="I207" si="575">(IF(D207="SELL",E207-F207,IF(D207="BUY",F207-E207)))*C207</f>
        <v>-8000</v>
      </c>
      <c r="J207" s="8">
        <v>0</v>
      </c>
      <c r="K207" s="2">
        <v>0</v>
      </c>
      <c r="L207" s="8">
        <f t="shared" ref="L207" si="576">(J207+I207+K207)/C207</f>
        <v>-80</v>
      </c>
      <c r="M207" s="8">
        <f t="shared" ref="M207" si="577">L207*C207</f>
        <v>-8000</v>
      </c>
    </row>
    <row r="208" spans="1:13" ht="15.75" customHeight="1" x14ac:dyDescent="0.25">
      <c r="A208" s="24">
        <v>44167</v>
      </c>
      <c r="B208" s="29" t="s">
        <v>14</v>
      </c>
      <c r="C208" s="11">
        <v>30</v>
      </c>
      <c r="D208" s="11" t="s">
        <v>10</v>
      </c>
      <c r="E208" s="11">
        <v>62970</v>
      </c>
      <c r="F208" s="11">
        <v>63100</v>
      </c>
      <c r="G208" s="34">
        <v>0</v>
      </c>
      <c r="H208" s="35">
        <v>0</v>
      </c>
      <c r="I208" s="8">
        <f t="shared" ref="I208" si="578">(IF(D208="SELL",E208-F208,IF(D208="BUY",F208-E208)))*C208</f>
        <v>3900</v>
      </c>
      <c r="J208" s="8">
        <v>0</v>
      </c>
      <c r="K208" s="2">
        <v>0</v>
      </c>
      <c r="L208" s="8">
        <f t="shared" ref="L208" si="579">(J208+I208+K208)/C208</f>
        <v>130</v>
      </c>
      <c r="M208" s="8">
        <f t="shared" ref="M208" si="580">L208*C208</f>
        <v>3900</v>
      </c>
    </row>
    <row r="209" spans="1:13" ht="15.75" customHeight="1" x14ac:dyDescent="0.25">
      <c r="A209" s="24">
        <v>44167</v>
      </c>
      <c r="B209" s="29" t="s">
        <v>19</v>
      </c>
      <c r="C209" s="11">
        <v>100</v>
      </c>
      <c r="D209" s="11" t="s">
        <v>10</v>
      </c>
      <c r="E209" s="11">
        <v>48590</v>
      </c>
      <c r="F209" s="11">
        <v>48640</v>
      </c>
      <c r="G209" s="34">
        <v>0</v>
      </c>
      <c r="H209" s="35">
        <v>0</v>
      </c>
      <c r="I209" s="8">
        <f t="shared" ref="I209" si="581">(IF(D209="SELL",E209-F209,IF(D209="BUY",F209-E209)))*C209</f>
        <v>5000</v>
      </c>
      <c r="J209" s="8">
        <v>0</v>
      </c>
      <c r="K209" s="2">
        <v>0</v>
      </c>
      <c r="L209" s="8">
        <f t="shared" ref="L209" si="582">(J209+I209+K209)/C209</f>
        <v>50</v>
      </c>
      <c r="M209" s="8">
        <f t="shared" ref="M209" si="583">L209*C209</f>
        <v>5000</v>
      </c>
    </row>
    <row r="210" spans="1:13" ht="15.75" customHeight="1" x14ac:dyDescent="0.25">
      <c r="A210" s="24">
        <v>44166</v>
      </c>
      <c r="B210" s="29" t="s">
        <v>17</v>
      </c>
      <c r="C210" s="11">
        <v>5000</v>
      </c>
      <c r="D210" s="11" t="s">
        <v>11</v>
      </c>
      <c r="E210" s="11">
        <v>218.2</v>
      </c>
      <c r="F210" s="11">
        <v>217.7</v>
      </c>
      <c r="G210" s="34">
        <v>217</v>
      </c>
      <c r="H210" s="35">
        <v>0</v>
      </c>
      <c r="I210" s="8">
        <f t="shared" ref="I210" si="584">(IF(D210="SELL",E210-F210,IF(D210="BUY",F210-E210)))*C210</f>
        <v>2500</v>
      </c>
      <c r="J210" s="8">
        <f>C210*0.7</f>
        <v>3500</v>
      </c>
      <c r="K210" s="2">
        <v>0</v>
      </c>
      <c r="L210" s="8">
        <f t="shared" ref="L210" si="585">(J210+I210+K210)/C210</f>
        <v>1.2</v>
      </c>
      <c r="M210" s="8">
        <f t="shared" ref="M210" si="586">L210*C210</f>
        <v>6000</v>
      </c>
    </row>
    <row r="211" spans="1:13" ht="15.75" customHeight="1" x14ac:dyDescent="0.25">
      <c r="A211" s="24">
        <v>44166</v>
      </c>
      <c r="B211" s="29" t="s">
        <v>14</v>
      </c>
      <c r="C211" s="11">
        <v>30</v>
      </c>
      <c r="D211" s="11" t="s">
        <v>10</v>
      </c>
      <c r="E211" s="11">
        <v>61870</v>
      </c>
      <c r="F211" s="11">
        <v>61970</v>
      </c>
      <c r="G211" s="34">
        <v>62300</v>
      </c>
      <c r="H211" s="35">
        <v>0</v>
      </c>
      <c r="I211" s="8">
        <f t="shared" ref="I211" si="587">(IF(D211="SELL",E211-F211,IF(D211="BUY",F211-E211)))*C211</f>
        <v>3000</v>
      </c>
      <c r="J211" s="8">
        <f>C211*330</f>
        <v>9900</v>
      </c>
      <c r="K211" s="2">
        <v>0</v>
      </c>
      <c r="L211" s="8">
        <f t="shared" ref="L211" si="588">(J211+I211+K211)/C211</f>
        <v>430</v>
      </c>
      <c r="M211" s="8">
        <f t="shared" ref="M211" si="589">L211*C211</f>
        <v>12900</v>
      </c>
    </row>
    <row r="212" spans="1:13" ht="15.75" customHeight="1" x14ac:dyDescent="0.25">
      <c r="A212" s="24">
        <v>44166</v>
      </c>
      <c r="B212" s="29" t="s">
        <v>21</v>
      </c>
      <c r="C212" s="11">
        <v>1500</v>
      </c>
      <c r="D212" s="11" t="s">
        <v>10</v>
      </c>
      <c r="E212" s="11">
        <v>1208.5</v>
      </c>
      <c r="F212" s="11">
        <v>1211.5</v>
      </c>
      <c r="G212" s="34">
        <v>1217</v>
      </c>
      <c r="H212" s="35">
        <v>0</v>
      </c>
      <c r="I212" s="8">
        <f t="shared" ref="I212" si="590">(IF(D212="SELL",E212-F212,IF(D212="BUY",F212-E212)))*C212</f>
        <v>4500</v>
      </c>
      <c r="J212" s="8">
        <f>C212*5.5</f>
        <v>8250</v>
      </c>
      <c r="K212" s="2">
        <v>0</v>
      </c>
      <c r="L212" s="8">
        <f t="shared" ref="L212" si="591">(J212+I212+K212)/C212</f>
        <v>8.5</v>
      </c>
      <c r="M212" s="8">
        <f t="shared" ref="M212" si="592">L212*C212</f>
        <v>12750</v>
      </c>
    </row>
    <row r="213" spans="1:13" ht="15.75" customHeight="1" x14ac:dyDescent="0.25">
      <c r="A213" s="24">
        <v>44166</v>
      </c>
      <c r="B213" s="29" t="s">
        <v>75</v>
      </c>
      <c r="C213" s="11">
        <v>1250</v>
      </c>
      <c r="D213" s="11" t="s">
        <v>11</v>
      </c>
      <c r="E213" s="11">
        <v>213</v>
      </c>
      <c r="F213" s="11">
        <v>212</v>
      </c>
      <c r="G213" s="34">
        <v>210</v>
      </c>
      <c r="H213" s="35">
        <v>0</v>
      </c>
      <c r="I213" s="8">
        <f t="shared" ref="I213" si="593">(IF(D213="SELL",E213-F213,IF(D213="BUY",F213-E213)))*C213</f>
        <v>1250</v>
      </c>
      <c r="J213" s="8">
        <f>C213*2</f>
        <v>2500</v>
      </c>
      <c r="K213" s="2">
        <v>0</v>
      </c>
      <c r="L213" s="8">
        <f t="shared" ref="L213" si="594">(J213+I213+K213)/C213</f>
        <v>3</v>
      </c>
      <c r="M213" s="8">
        <f t="shared" ref="M213" si="595">L213*C213</f>
        <v>3750</v>
      </c>
    </row>
    <row r="214" spans="1:13" ht="15.75" customHeight="1" x14ac:dyDescent="0.25">
      <c r="A214" s="24">
        <v>44166</v>
      </c>
      <c r="B214" s="29" t="s">
        <v>19</v>
      </c>
      <c r="C214" s="11">
        <v>100</v>
      </c>
      <c r="D214" s="11" t="s">
        <v>10</v>
      </c>
      <c r="E214" s="11">
        <v>48100</v>
      </c>
      <c r="F214" s="11">
        <v>48160</v>
      </c>
      <c r="G214" s="34">
        <v>48250</v>
      </c>
      <c r="H214" s="35">
        <v>0</v>
      </c>
      <c r="I214" s="8">
        <f t="shared" ref="I214" si="596">(IF(D214="SELL",E214-F214,IF(D214="BUY",F214-E214)))*C214</f>
        <v>6000</v>
      </c>
      <c r="J214" s="8">
        <f>C214*90</f>
        <v>9000</v>
      </c>
      <c r="K214" s="2">
        <v>0</v>
      </c>
      <c r="L214" s="8">
        <f t="shared" ref="L214" si="597">(J214+I214+K214)/C214</f>
        <v>150</v>
      </c>
      <c r="M214" s="8">
        <f t="shared" ref="M214" si="598">L214*C214</f>
        <v>15000</v>
      </c>
    </row>
    <row r="215" spans="1:13" ht="15.75" customHeight="1" x14ac:dyDescent="0.25">
      <c r="A215" s="24">
        <v>44166</v>
      </c>
      <c r="B215" s="29" t="s">
        <v>18</v>
      </c>
      <c r="C215" s="11">
        <v>2500</v>
      </c>
      <c r="D215" s="11" t="s">
        <v>11</v>
      </c>
      <c r="E215" s="11">
        <v>581.20000000000005</v>
      </c>
      <c r="F215" s="11">
        <v>583.5</v>
      </c>
      <c r="G215" s="34">
        <v>0</v>
      </c>
      <c r="H215" s="35">
        <v>0</v>
      </c>
      <c r="I215" s="8">
        <f t="shared" ref="I215" si="599">(IF(D215="SELL",E215-F215,IF(D215="BUY",F215-E215)))*C215</f>
        <v>-5749.9999999998863</v>
      </c>
      <c r="J215" s="8">
        <v>0</v>
      </c>
      <c r="K215" s="2">
        <v>0</v>
      </c>
      <c r="L215" s="8">
        <f t="shared" ref="L215" si="600">(J215+I215+K215)/C215</f>
        <v>-2.2999999999999545</v>
      </c>
      <c r="M215" s="8">
        <f t="shared" ref="M215" si="601">L215*C215</f>
        <v>-5749.9999999998863</v>
      </c>
    </row>
    <row r="216" spans="1:13" ht="15.75" customHeight="1" x14ac:dyDescent="0.25">
      <c r="A216" s="24">
        <v>44162</v>
      </c>
      <c r="B216" s="29" t="s">
        <v>19</v>
      </c>
      <c r="C216" s="11">
        <v>100</v>
      </c>
      <c r="D216" s="11" t="s">
        <v>10</v>
      </c>
      <c r="E216" s="11">
        <v>48380</v>
      </c>
      <c r="F216" s="11">
        <v>48300</v>
      </c>
      <c r="G216" s="34">
        <v>0</v>
      </c>
      <c r="H216" s="35">
        <v>0</v>
      </c>
      <c r="I216" s="8">
        <f t="shared" ref="I216" si="602">(IF(D216="SELL",E216-F216,IF(D216="BUY",F216-E216)))*C216</f>
        <v>-8000</v>
      </c>
      <c r="J216" s="8">
        <v>0</v>
      </c>
      <c r="K216" s="2">
        <v>0</v>
      </c>
      <c r="L216" s="8">
        <f t="shared" ref="L216" si="603">(J216+I216+K216)/C216</f>
        <v>-80</v>
      </c>
      <c r="M216" s="8">
        <f t="shared" ref="M216" si="604">L216*C216</f>
        <v>-8000</v>
      </c>
    </row>
    <row r="217" spans="1:13" ht="15.75" customHeight="1" x14ac:dyDescent="0.25">
      <c r="A217" s="24">
        <v>44162</v>
      </c>
      <c r="B217" s="29" t="s">
        <v>14</v>
      </c>
      <c r="C217" s="11">
        <v>30</v>
      </c>
      <c r="D217" s="11" t="s">
        <v>10</v>
      </c>
      <c r="E217" s="11">
        <v>59050</v>
      </c>
      <c r="F217" s="11">
        <v>58750</v>
      </c>
      <c r="G217" s="34">
        <v>0</v>
      </c>
      <c r="H217" s="35">
        <v>0</v>
      </c>
      <c r="I217" s="8">
        <f t="shared" ref="I217" si="605">(IF(D217="SELL",E217-F217,IF(D217="BUY",F217-E217)))*C217</f>
        <v>-9000</v>
      </c>
      <c r="J217" s="8">
        <v>0</v>
      </c>
      <c r="K217" s="2">
        <v>0</v>
      </c>
      <c r="L217" s="8">
        <f t="shared" ref="L217" si="606">(J217+I217+K217)/C217</f>
        <v>-300</v>
      </c>
      <c r="M217" s="8">
        <f t="shared" ref="M217" si="607">L217*C217</f>
        <v>-9000</v>
      </c>
    </row>
    <row r="218" spans="1:13" ht="15.75" customHeight="1" x14ac:dyDescent="0.25">
      <c r="A218" s="24">
        <v>44162</v>
      </c>
      <c r="B218" s="29" t="s">
        <v>21</v>
      </c>
      <c r="C218" s="11">
        <v>1500</v>
      </c>
      <c r="D218" s="11" t="s">
        <v>10</v>
      </c>
      <c r="E218" s="11">
        <v>1232.5</v>
      </c>
      <c r="F218" s="11">
        <v>1232</v>
      </c>
      <c r="G218" s="34">
        <v>0</v>
      </c>
      <c r="H218" s="35">
        <v>0</v>
      </c>
      <c r="I218" s="8">
        <f t="shared" ref="I218" si="608">(IF(D218="SELL",E218-F218,IF(D218="BUY",F218-E218)))*C218</f>
        <v>-750</v>
      </c>
      <c r="J218" s="8">
        <v>0</v>
      </c>
      <c r="K218" s="2">
        <v>0</v>
      </c>
      <c r="L218" s="8">
        <f t="shared" ref="L218" si="609">(J218+I218+K218)/C218</f>
        <v>-0.5</v>
      </c>
      <c r="M218" s="8">
        <f t="shared" ref="M218" si="610">L218*C218</f>
        <v>-750</v>
      </c>
    </row>
    <row r="219" spans="1:13" ht="15.75" customHeight="1" x14ac:dyDescent="0.25">
      <c r="A219" s="24">
        <v>44162</v>
      </c>
      <c r="B219" s="29" t="s">
        <v>79</v>
      </c>
      <c r="C219" s="11">
        <v>1250</v>
      </c>
      <c r="D219" s="11" t="s">
        <v>10</v>
      </c>
      <c r="E219" s="11">
        <v>217.8</v>
      </c>
      <c r="F219" s="11">
        <v>219</v>
      </c>
      <c r="G219" s="34">
        <v>0</v>
      </c>
      <c r="H219" s="35">
        <v>0</v>
      </c>
      <c r="I219" s="8">
        <f t="shared" ref="I219" si="611">(IF(D219="SELL",E219-F219,IF(D219="BUY",F219-E219)))*C219</f>
        <v>1499.9999999999859</v>
      </c>
      <c r="J219" s="8">
        <v>0</v>
      </c>
      <c r="K219" s="2">
        <v>0</v>
      </c>
      <c r="L219" s="8">
        <f t="shared" ref="L219" si="612">(J219+I219+K219)/C219</f>
        <v>1.1999999999999886</v>
      </c>
      <c r="M219" s="8">
        <f t="shared" ref="M219" si="613">L219*C219</f>
        <v>1499.9999999999859</v>
      </c>
    </row>
    <row r="220" spans="1:13" ht="15.75" customHeight="1" x14ac:dyDescent="0.25">
      <c r="A220" s="24">
        <v>44162</v>
      </c>
      <c r="B220" s="29" t="s">
        <v>18</v>
      </c>
      <c r="C220" s="11">
        <v>2500</v>
      </c>
      <c r="D220" s="11" t="s">
        <v>10</v>
      </c>
      <c r="E220" s="11">
        <v>576.5</v>
      </c>
      <c r="F220" s="11">
        <v>576.5</v>
      </c>
      <c r="G220" s="34">
        <v>0</v>
      </c>
      <c r="H220" s="35">
        <v>0</v>
      </c>
      <c r="I220" s="8">
        <f t="shared" ref="I220" si="614">(IF(D220="SELL",E220-F220,IF(D220="BUY",F220-E220)))*C220</f>
        <v>0</v>
      </c>
      <c r="J220" s="8">
        <v>0</v>
      </c>
      <c r="K220" s="2">
        <v>0</v>
      </c>
      <c r="L220" s="8">
        <f t="shared" ref="L220" si="615">(J220+I220+K220)/C220</f>
        <v>0</v>
      </c>
      <c r="M220" s="8">
        <f t="shared" ref="M220" si="616">L220*C220</f>
        <v>0</v>
      </c>
    </row>
    <row r="221" spans="1:13" ht="15.75" customHeight="1" x14ac:dyDescent="0.25">
      <c r="A221" s="24">
        <v>44162</v>
      </c>
      <c r="B221" s="29" t="s">
        <v>27</v>
      </c>
      <c r="C221" s="11">
        <v>5000</v>
      </c>
      <c r="D221" s="11" t="s">
        <v>10</v>
      </c>
      <c r="E221" s="11">
        <v>219.7</v>
      </c>
      <c r="F221" s="11">
        <v>220.2</v>
      </c>
      <c r="G221" s="34">
        <v>221.2</v>
      </c>
      <c r="H221" s="35">
        <v>0</v>
      </c>
      <c r="I221" s="8">
        <f t="shared" ref="I221" si="617">(IF(D221="SELL",E221-F221,IF(D221="BUY",F221-E221)))*C221</f>
        <v>2500</v>
      </c>
      <c r="J221" s="8">
        <f>C221*1</f>
        <v>5000</v>
      </c>
      <c r="K221" s="2">
        <v>0</v>
      </c>
      <c r="L221" s="8">
        <f t="shared" ref="L221" si="618">(J221+I221+K221)/C221</f>
        <v>1.5</v>
      </c>
      <c r="M221" s="8">
        <f t="shared" ref="M221" si="619">L221*C221</f>
        <v>7500</v>
      </c>
    </row>
    <row r="222" spans="1:13" ht="15.75" customHeight="1" x14ac:dyDescent="0.25">
      <c r="A222" s="24">
        <v>44161</v>
      </c>
      <c r="B222" s="29" t="s">
        <v>75</v>
      </c>
      <c r="C222" s="11">
        <v>1250</v>
      </c>
      <c r="D222" s="11" t="s">
        <v>10</v>
      </c>
      <c r="E222" s="11">
        <v>218</v>
      </c>
      <c r="F222" s="11">
        <v>217.2</v>
      </c>
      <c r="G222" s="34">
        <v>0</v>
      </c>
      <c r="H222" s="35">
        <v>0</v>
      </c>
      <c r="I222" s="8">
        <f t="shared" ref="I222" si="620">(IF(D222="SELL",E222-F222,IF(D222="BUY",F222-E222)))*C222</f>
        <v>-1000.0000000000142</v>
      </c>
      <c r="J222" s="8">
        <v>0</v>
      </c>
      <c r="K222" s="2">
        <v>0</v>
      </c>
      <c r="L222" s="8">
        <f t="shared" ref="L222" si="621">(J222+I222+K222)/C222</f>
        <v>-0.80000000000001137</v>
      </c>
      <c r="M222" s="8">
        <f t="shared" ref="M222" si="622">L222*C222</f>
        <v>-1000.0000000000142</v>
      </c>
    </row>
    <row r="223" spans="1:13" ht="15.75" customHeight="1" x14ac:dyDescent="0.25">
      <c r="A223" s="24">
        <v>44161</v>
      </c>
      <c r="B223" s="29" t="s">
        <v>16</v>
      </c>
      <c r="C223" s="11">
        <v>100</v>
      </c>
      <c r="D223" s="11" t="s">
        <v>11</v>
      </c>
      <c r="E223" s="11">
        <v>3335</v>
      </c>
      <c r="F223" s="11">
        <v>3315</v>
      </c>
      <c r="G223" s="34">
        <v>0</v>
      </c>
      <c r="H223" s="35">
        <v>0</v>
      </c>
      <c r="I223" s="8">
        <f t="shared" ref="I223" si="623">(IF(D223="SELL",E223-F223,IF(D223="BUY",F223-E223)))*C223</f>
        <v>2000</v>
      </c>
      <c r="J223" s="8">
        <v>0</v>
      </c>
      <c r="K223" s="2">
        <v>0</v>
      </c>
      <c r="L223" s="8">
        <f t="shared" ref="L223" si="624">(J223+I223+K223)/C223</f>
        <v>20</v>
      </c>
      <c r="M223" s="8">
        <f t="shared" ref="M223" si="625">L223*C223</f>
        <v>2000</v>
      </c>
    </row>
    <row r="224" spans="1:13" ht="15.75" customHeight="1" x14ac:dyDescent="0.25">
      <c r="A224" s="24">
        <v>44161</v>
      </c>
      <c r="B224" s="29" t="s">
        <v>19</v>
      </c>
      <c r="C224" s="11">
        <v>100</v>
      </c>
      <c r="D224" s="11" t="s">
        <v>10</v>
      </c>
      <c r="E224" s="11">
        <v>48680</v>
      </c>
      <c r="F224" s="11">
        <v>48730</v>
      </c>
      <c r="G224" s="34">
        <v>48830</v>
      </c>
      <c r="H224" s="35">
        <v>0</v>
      </c>
      <c r="I224" s="8">
        <f t="shared" ref="I224" si="626">(IF(D224="SELL",E224-F224,IF(D224="BUY",F224-E224)))*C224</f>
        <v>5000</v>
      </c>
      <c r="J224" s="8">
        <f>C224*100</f>
        <v>10000</v>
      </c>
      <c r="K224" s="2">
        <v>0</v>
      </c>
      <c r="L224" s="8">
        <f t="shared" ref="L224" si="627">(J224+I224+K224)/C224</f>
        <v>150</v>
      </c>
      <c r="M224" s="8">
        <f t="shared" ref="M224" si="628">L224*C224</f>
        <v>15000</v>
      </c>
    </row>
    <row r="225" spans="1:13" ht="15.75" customHeight="1" x14ac:dyDescent="0.25">
      <c r="A225" s="24">
        <v>44161</v>
      </c>
      <c r="B225" s="29" t="s">
        <v>17</v>
      </c>
      <c r="C225" s="11">
        <v>5000</v>
      </c>
      <c r="D225" s="11" t="s">
        <v>10</v>
      </c>
      <c r="E225" s="11">
        <v>219.1</v>
      </c>
      <c r="F225" s="11">
        <v>219.6</v>
      </c>
      <c r="G225" s="34">
        <v>0</v>
      </c>
      <c r="H225" s="35">
        <v>0</v>
      </c>
      <c r="I225" s="8">
        <f t="shared" ref="I225" si="629">(IF(D225="SELL",E225-F225,IF(D225="BUY",F225-E225)))*C225</f>
        <v>2500</v>
      </c>
      <c r="J225" s="8">
        <v>0</v>
      </c>
      <c r="K225" s="2">
        <v>0</v>
      </c>
      <c r="L225" s="8">
        <f t="shared" ref="L225" si="630">(J225+I225+K225)/C225</f>
        <v>0.5</v>
      </c>
      <c r="M225" s="8">
        <f t="shared" ref="M225" si="631">L225*C225</f>
        <v>2500</v>
      </c>
    </row>
    <row r="226" spans="1:13" ht="15.75" customHeight="1" x14ac:dyDescent="0.25">
      <c r="A226" s="24">
        <v>44161</v>
      </c>
      <c r="B226" s="29" t="s">
        <v>18</v>
      </c>
      <c r="C226" s="11">
        <v>2500</v>
      </c>
      <c r="D226" s="11" t="s">
        <v>10</v>
      </c>
      <c r="E226" s="11">
        <v>565.79999999999995</v>
      </c>
      <c r="F226" s="11">
        <v>566.79999999999995</v>
      </c>
      <c r="G226" s="34">
        <v>0</v>
      </c>
      <c r="H226" s="35">
        <v>0</v>
      </c>
      <c r="I226" s="8">
        <f t="shared" ref="I226" si="632">(IF(D226="SELL",E226-F226,IF(D226="BUY",F226-E226)))*C226</f>
        <v>2500</v>
      </c>
      <c r="J226" s="8">
        <v>0</v>
      </c>
      <c r="K226" s="2">
        <v>0</v>
      </c>
      <c r="L226" s="8">
        <f t="shared" ref="L226" si="633">(J226+I226+K226)/C226</f>
        <v>1</v>
      </c>
      <c r="M226" s="8">
        <f t="shared" ref="M226" si="634">L226*C226</f>
        <v>2500</v>
      </c>
    </row>
    <row r="227" spans="1:13" ht="15.75" customHeight="1" x14ac:dyDescent="0.25">
      <c r="A227" s="24">
        <v>44160</v>
      </c>
      <c r="B227" s="29" t="s">
        <v>14</v>
      </c>
      <c r="C227" s="11">
        <v>30</v>
      </c>
      <c r="D227" s="11" t="s">
        <v>10</v>
      </c>
      <c r="E227" s="11">
        <v>60260</v>
      </c>
      <c r="F227" s="11">
        <v>60360</v>
      </c>
      <c r="G227" s="34">
        <v>0</v>
      </c>
      <c r="H227" s="35">
        <v>0</v>
      </c>
      <c r="I227" s="8">
        <f t="shared" ref="I227" si="635">(IF(D227="SELL",E227-F227,IF(D227="BUY",F227-E227)))*C227</f>
        <v>3000</v>
      </c>
      <c r="J227" s="8">
        <v>0</v>
      </c>
      <c r="K227" s="2">
        <v>0</v>
      </c>
      <c r="L227" s="8">
        <f t="shared" ref="L227" si="636">(J227+I227+K227)/C227</f>
        <v>100</v>
      </c>
      <c r="M227" s="8">
        <f t="shared" ref="M227" si="637">L227*C227</f>
        <v>3000</v>
      </c>
    </row>
    <row r="228" spans="1:13" ht="15.75" customHeight="1" x14ac:dyDescent="0.25">
      <c r="A228" s="24">
        <v>44160</v>
      </c>
      <c r="B228" s="29" t="s">
        <v>19</v>
      </c>
      <c r="C228" s="11">
        <v>100</v>
      </c>
      <c r="D228" s="11" t="s">
        <v>10</v>
      </c>
      <c r="E228" s="11">
        <v>48770</v>
      </c>
      <c r="F228" s="11">
        <v>48820</v>
      </c>
      <c r="G228" s="34">
        <v>48880</v>
      </c>
      <c r="H228" s="35">
        <v>0</v>
      </c>
      <c r="I228" s="8">
        <f t="shared" ref="I228" si="638">(IF(D228="SELL",E228-F228,IF(D228="BUY",F228-E228)))*C228</f>
        <v>5000</v>
      </c>
      <c r="J228" s="8">
        <f>C228*60</f>
        <v>6000</v>
      </c>
      <c r="K228" s="2">
        <v>0</v>
      </c>
      <c r="L228" s="8">
        <f t="shared" ref="L228" si="639">(J228+I228+K228)/C228</f>
        <v>110</v>
      </c>
      <c r="M228" s="8">
        <f t="shared" ref="M228" si="640">L228*C228</f>
        <v>11000</v>
      </c>
    </row>
    <row r="229" spans="1:13" ht="15.75" customHeight="1" x14ac:dyDescent="0.25">
      <c r="A229" s="24">
        <v>44160</v>
      </c>
      <c r="B229" s="29" t="s">
        <v>17</v>
      </c>
      <c r="C229" s="11">
        <v>5000</v>
      </c>
      <c r="D229" s="11" t="s">
        <v>10</v>
      </c>
      <c r="E229" s="11">
        <v>217.6</v>
      </c>
      <c r="F229" s="11">
        <v>216.6</v>
      </c>
      <c r="G229" s="34">
        <v>0</v>
      </c>
      <c r="H229" s="35">
        <v>0</v>
      </c>
      <c r="I229" s="8">
        <f t="shared" ref="I229" si="641">(IF(D229="SELL",E229-F229,IF(D229="BUY",F229-E229)))*C229</f>
        <v>-5000</v>
      </c>
      <c r="J229" s="8">
        <v>0</v>
      </c>
      <c r="K229" s="2">
        <v>0</v>
      </c>
      <c r="L229" s="8">
        <f t="shared" ref="L229" si="642">(J229+I229+K229)/C229</f>
        <v>-1</v>
      </c>
      <c r="M229" s="8">
        <f t="shared" ref="M229" si="643">L229*C229</f>
        <v>-5000</v>
      </c>
    </row>
    <row r="230" spans="1:13" ht="15.75" customHeight="1" x14ac:dyDescent="0.25">
      <c r="A230" s="24">
        <v>44159</v>
      </c>
      <c r="B230" s="29" t="s">
        <v>17</v>
      </c>
      <c r="C230" s="11">
        <v>5000</v>
      </c>
      <c r="D230" s="11" t="s">
        <v>11</v>
      </c>
      <c r="E230" s="11">
        <v>217.8</v>
      </c>
      <c r="F230" s="11">
        <v>217.1</v>
      </c>
      <c r="G230" s="34">
        <v>0</v>
      </c>
      <c r="H230" s="35">
        <v>0</v>
      </c>
      <c r="I230" s="8">
        <f t="shared" ref="I230" si="644">(IF(D230="SELL",E230-F230,IF(D230="BUY",F230-E230)))*C230</f>
        <v>3500.0000000000855</v>
      </c>
      <c r="J230" s="8">
        <v>0</v>
      </c>
      <c r="K230" s="2">
        <v>0</v>
      </c>
      <c r="L230" s="8">
        <f t="shared" ref="L230" si="645">(J230+I230+K230)/C230</f>
        <v>0.70000000000001705</v>
      </c>
      <c r="M230" s="8">
        <f t="shared" ref="M230" si="646">L230*C230</f>
        <v>3500.0000000000855</v>
      </c>
    </row>
    <row r="231" spans="1:13" ht="15.75" customHeight="1" x14ac:dyDescent="0.25">
      <c r="A231" s="24">
        <v>44159</v>
      </c>
      <c r="B231" s="29" t="s">
        <v>14</v>
      </c>
      <c r="C231" s="11">
        <v>30</v>
      </c>
      <c r="D231" s="11" t="s">
        <v>11</v>
      </c>
      <c r="E231" s="11">
        <v>59390</v>
      </c>
      <c r="F231" s="11">
        <v>59290</v>
      </c>
      <c r="G231" s="34">
        <v>58800</v>
      </c>
      <c r="H231" s="35">
        <v>0</v>
      </c>
      <c r="I231" s="8">
        <f t="shared" ref="I231" si="647">(IF(D231="SELL",E231-F231,IF(D231="BUY",F231-E231)))*C231</f>
        <v>3000</v>
      </c>
      <c r="J231" s="8">
        <f>C231*490</f>
        <v>14700</v>
      </c>
      <c r="K231" s="2">
        <v>0</v>
      </c>
      <c r="L231" s="8">
        <f t="shared" ref="L231" si="648">(J231+I231+K231)/C231</f>
        <v>590</v>
      </c>
      <c r="M231" s="8">
        <f t="shared" ref="M231" si="649">L231*C231</f>
        <v>17700</v>
      </c>
    </row>
    <row r="232" spans="1:13" ht="15.75" customHeight="1" x14ac:dyDescent="0.25">
      <c r="A232" s="24">
        <v>44159</v>
      </c>
      <c r="B232" s="29" t="s">
        <v>18</v>
      </c>
      <c r="C232" s="11">
        <v>2500</v>
      </c>
      <c r="D232" s="11" t="s">
        <v>10</v>
      </c>
      <c r="E232" s="11">
        <v>562</v>
      </c>
      <c r="F232" s="11">
        <v>563</v>
      </c>
      <c r="G232" s="34">
        <v>0</v>
      </c>
      <c r="H232" s="35">
        <v>0</v>
      </c>
      <c r="I232" s="8">
        <f t="shared" ref="I232" si="650">(IF(D232="SELL",E232-F232,IF(D232="BUY",F232-E232)))*C232</f>
        <v>2500</v>
      </c>
      <c r="J232" s="8">
        <v>0</v>
      </c>
      <c r="K232" s="2">
        <v>0</v>
      </c>
      <c r="L232" s="8">
        <f t="shared" ref="L232" si="651">(J232+I232+K232)/C232</f>
        <v>1</v>
      </c>
      <c r="M232" s="8">
        <f t="shared" ref="M232" si="652">L232*C232</f>
        <v>2500</v>
      </c>
    </row>
    <row r="233" spans="1:13" ht="15.75" customHeight="1" x14ac:dyDescent="0.25">
      <c r="A233" s="24">
        <v>44159</v>
      </c>
      <c r="B233" s="29" t="s">
        <v>14</v>
      </c>
      <c r="C233" s="11">
        <v>30</v>
      </c>
      <c r="D233" s="11" t="s">
        <v>11</v>
      </c>
      <c r="E233" s="11">
        <v>59800</v>
      </c>
      <c r="F233" s="11">
        <v>59700</v>
      </c>
      <c r="G233" s="34">
        <v>59500</v>
      </c>
      <c r="H233" s="35">
        <v>0</v>
      </c>
      <c r="I233" s="8">
        <f t="shared" ref="I233" si="653">(IF(D233="SELL",E233-F233,IF(D233="BUY",F233-E233)))*C233</f>
        <v>3000</v>
      </c>
      <c r="J233" s="8">
        <f>C233*200</f>
        <v>6000</v>
      </c>
      <c r="K233" s="2">
        <v>0</v>
      </c>
      <c r="L233" s="8">
        <f t="shared" ref="L233" si="654">(J233+I233+K233)/C233</f>
        <v>300</v>
      </c>
      <c r="M233" s="8">
        <f t="shared" ref="M233" si="655">L233*C233</f>
        <v>9000</v>
      </c>
    </row>
    <row r="234" spans="1:13" ht="15.75" customHeight="1" x14ac:dyDescent="0.25">
      <c r="A234" s="24">
        <v>44159</v>
      </c>
      <c r="B234" s="29" t="s">
        <v>19</v>
      </c>
      <c r="C234" s="11">
        <v>100</v>
      </c>
      <c r="D234" s="11" t="s">
        <v>11</v>
      </c>
      <c r="E234" s="11">
        <v>48910</v>
      </c>
      <c r="F234" s="11">
        <v>48860</v>
      </c>
      <c r="G234" s="34">
        <v>48700</v>
      </c>
      <c r="H234" s="35">
        <v>0</v>
      </c>
      <c r="I234" s="8">
        <f t="shared" ref="I234" si="656">(IF(D234="SELL",E234-F234,IF(D234="BUY",F234-E234)))*C234</f>
        <v>5000</v>
      </c>
      <c r="J234" s="8">
        <f>C234*160</f>
        <v>16000</v>
      </c>
      <c r="K234" s="2">
        <v>0</v>
      </c>
      <c r="L234" s="8">
        <f t="shared" ref="L234" si="657">(J234+I234+K234)/C234</f>
        <v>210</v>
      </c>
      <c r="M234" s="8">
        <f t="shared" ref="M234" si="658">L234*C234</f>
        <v>21000</v>
      </c>
    </row>
    <row r="235" spans="1:13" ht="15.75" customHeight="1" x14ac:dyDescent="0.25">
      <c r="A235" s="24">
        <v>44159</v>
      </c>
      <c r="B235" s="29" t="s">
        <v>75</v>
      </c>
      <c r="C235" s="11">
        <v>1250</v>
      </c>
      <c r="D235" s="11" t="s">
        <v>10</v>
      </c>
      <c r="E235" s="11">
        <v>202.1</v>
      </c>
      <c r="F235" s="11">
        <v>203.1</v>
      </c>
      <c r="G235" s="34">
        <v>206.5</v>
      </c>
      <c r="H235" s="35">
        <v>0</v>
      </c>
      <c r="I235" s="8">
        <f t="shared" ref="I235" si="659">(IF(D235="SELL",E235-F235,IF(D235="BUY",F235-E235)))*C235</f>
        <v>1250</v>
      </c>
      <c r="J235" s="8">
        <f>C235*3.4</f>
        <v>4250</v>
      </c>
      <c r="K235" s="2">
        <v>0</v>
      </c>
      <c r="L235" s="8">
        <f t="shared" ref="L235" si="660">(J235+I235+K235)/C235</f>
        <v>4.4000000000000004</v>
      </c>
      <c r="M235" s="8">
        <f t="shared" ref="M235" si="661">L235*C235</f>
        <v>5500</v>
      </c>
    </row>
    <row r="236" spans="1:13" ht="15.75" customHeight="1" x14ac:dyDescent="0.25">
      <c r="A236" s="24">
        <v>44159</v>
      </c>
      <c r="B236" s="29" t="s">
        <v>16</v>
      </c>
      <c r="C236" s="11">
        <v>100</v>
      </c>
      <c r="D236" s="11" t="s">
        <v>10</v>
      </c>
      <c r="E236" s="11">
        <v>3238</v>
      </c>
      <c r="F236" s="11">
        <v>3258</v>
      </c>
      <c r="G236" s="34">
        <v>3280</v>
      </c>
      <c r="H236" s="35">
        <v>0</v>
      </c>
      <c r="I236" s="8">
        <f t="shared" ref="I236" si="662">(IF(D236="SELL",E236-F236,IF(D236="BUY",F236-E236)))*C236</f>
        <v>2000</v>
      </c>
      <c r="J236" s="8">
        <f>C236*22</f>
        <v>2200</v>
      </c>
      <c r="K236" s="2">
        <v>0</v>
      </c>
      <c r="L236" s="8">
        <f t="shared" ref="L236" si="663">(J236+I236+K236)/C236</f>
        <v>42</v>
      </c>
      <c r="M236" s="8">
        <f t="shared" ref="M236" si="664">L236*C236</f>
        <v>4200</v>
      </c>
    </row>
    <row r="237" spans="1:13" ht="15.75" customHeight="1" x14ac:dyDescent="0.25">
      <c r="A237" s="24">
        <v>44158</v>
      </c>
      <c r="B237" s="29" t="s">
        <v>19</v>
      </c>
      <c r="C237" s="11">
        <v>100</v>
      </c>
      <c r="D237" s="11" t="s">
        <v>11</v>
      </c>
      <c r="E237" s="11">
        <v>50060</v>
      </c>
      <c r="F237" s="11">
        <v>50010</v>
      </c>
      <c r="G237" s="34">
        <v>0</v>
      </c>
      <c r="H237" s="35">
        <v>0</v>
      </c>
      <c r="I237" s="8">
        <f t="shared" ref="I237" si="665">(IF(D237="SELL",E237-F237,IF(D237="BUY",F237-E237)))*C237</f>
        <v>5000</v>
      </c>
      <c r="J237" s="8">
        <v>0</v>
      </c>
      <c r="K237" s="2">
        <v>0</v>
      </c>
      <c r="L237" s="8">
        <f t="shared" ref="L237" si="666">(J237+I237+K237)/C237</f>
        <v>50</v>
      </c>
      <c r="M237" s="8">
        <f t="shared" ref="M237" si="667">L237*C237</f>
        <v>5000</v>
      </c>
    </row>
    <row r="238" spans="1:13" ht="15.75" customHeight="1" x14ac:dyDescent="0.25">
      <c r="A238" s="24">
        <v>44158</v>
      </c>
      <c r="B238" s="29" t="s">
        <v>14</v>
      </c>
      <c r="C238" s="11">
        <v>30</v>
      </c>
      <c r="D238" s="11" t="s">
        <v>11</v>
      </c>
      <c r="E238" s="11">
        <v>61200</v>
      </c>
      <c r="F238" s="11">
        <v>61450</v>
      </c>
      <c r="G238" s="34">
        <v>0</v>
      </c>
      <c r="H238" s="35">
        <v>0</v>
      </c>
      <c r="I238" s="8">
        <f t="shared" ref="I238" si="668">(IF(D238="SELL",E238-F238,IF(D238="BUY",F238-E238)))*C238</f>
        <v>-7500</v>
      </c>
      <c r="J238" s="8">
        <v>0</v>
      </c>
      <c r="K238" s="2">
        <v>0</v>
      </c>
      <c r="L238" s="8">
        <f t="shared" ref="L238" si="669">(J238+I238+K238)/C238</f>
        <v>-250</v>
      </c>
      <c r="M238" s="8">
        <f t="shared" ref="M238" si="670">L238*C238</f>
        <v>-7500</v>
      </c>
    </row>
    <row r="239" spans="1:13" ht="15.75" customHeight="1" x14ac:dyDescent="0.25">
      <c r="A239" s="24">
        <v>44158</v>
      </c>
      <c r="B239" s="29" t="s">
        <v>21</v>
      </c>
      <c r="C239" s="11">
        <v>1500</v>
      </c>
      <c r="D239" s="11" t="s">
        <v>11</v>
      </c>
      <c r="E239" s="11">
        <v>1210</v>
      </c>
      <c r="F239" s="11">
        <v>1207</v>
      </c>
      <c r="G239" s="34">
        <v>0</v>
      </c>
      <c r="H239" s="35">
        <v>0</v>
      </c>
      <c r="I239" s="8">
        <f t="shared" ref="I239" si="671">(IF(D239="SELL",E239-F239,IF(D239="BUY",F239-E239)))*C239</f>
        <v>4500</v>
      </c>
      <c r="J239" s="8">
        <v>0</v>
      </c>
      <c r="K239" s="2">
        <v>0</v>
      </c>
      <c r="L239" s="8">
        <f t="shared" ref="L239" si="672">(J239+I239+K239)/C239</f>
        <v>3</v>
      </c>
      <c r="M239" s="8">
        <f t="shared" ref="M239" si="673">L239*C239</f>
        <v>4500</v>
      </c>
    </row>
    <row r="240" spans="1:13" ht="15.75" customHeight="1" x14ac:dyDescent="0.25">
      <c r="A240" s="24">
        <v>44158</v>
      </c>
      <c r="B240" s="29" t="s">
        <v>16</v>
      </c>
      <c r="C240" s="11">
        <v>100</v>
      </c>
      <c r="D240" s="11" t="s">
        <v>11</v>
      </c>
      <c r="E240" s="11">
        <v>3187</v>
      </c>
      <c r="F240" s="11">
        <v>3167</v>
      </c>
      <c r="G240" s="34">
        <v>0</v>
      </c>
      <c r="H240" s="35">
        <v>0</v>
      </c>
      <c r="I240" s="8">
        <f t="shared" ref="I240" si="674">(IF(D240="SELL",E240-F240,IF(D240="BUY",F240-E240)))*C240</f>
        <v>2000</v>
      </c>
      <c r="J240" s="8">
        <v>0</v>
      </c>
      <c r="K240" s="2">
        <v>0</v>
      </c>
      <c r="L240" s="8">
        <f t="shared" ref="L240" si="675">(J240+I240+K240)/C240</f>
        <v>20</v>
      </c>
      <c r="M240" s="8">
        <f t="shared" ref="M240" si="676">L240*C240</f>
        <v>2000</v>
      </c>
    </row>
    <row r="241" spans="1:13" ht="15.75" customHeight="1" x14ac:dyDescent="0.25">
      <c r="A241" s="24">
        <v>44158</v>
      </c>
      <c r="B241" s="29" t="s">
        <v>14</v>
      </c>
      <c r="C241" s="11">
        <v>30</v>
      </c>
      <c r="D241" s="11" t="s">
        <v>11</v>
      </c>
      <c r="E241" s="11">
        <v>61530</v>
      </c>
      <c r="F241" s="11">
        <v>61400</v>
      </c>
      <c r="G241" s="34">
        <v>61150</v>
      </c>
      <c r="H241" s="35">
        <v>0</v>
      </c>
      <c r="I241" s="8">
        <f t="shared" ref="I241" si="677">(IF(D241="SELL",E241-F241,IF(D241="BUY",F241-E241)))*C241</f>
        <v>3900</v>
      </c>
      <c r="J241" s="8">
        <f>C241*250</f>
        <v>7500</v>
      </c>
      <c r="K241" s="2">
        <v>0</v>
      </c>
      <c r="L241" s="8">
        <f t="shared" ref="L241" si="678">(J241+I241+K241)/C241</f>
        <v>380</v>
      </c>
      <c r="M241" s="8">
        <f t="shared" ref="M241" si="679">L241*C241</f>
        <v>11400</v>
      </c>
    </row>
    <row r="242" spans="1:13" ht="15.75" customHeight="1" x14ac:dyDescent="0.25">
      <c r="A242" s="24">
        <v>44158</v>
      </c>
      <c r="B242" s="29" t="s">
        <v>17</v>
      </c>
      <c r="C242" s="11">
        <v>5000</v>
      </c>
      <c r="D242" s="11" t="s">
        <v>11</v>
      </c>
      <c r="E242" s="11">
        <v>219.6</v>
      </c>
      <c r="F242" s="11">
        <v>219.1</v>
      </c>
      <c r="G242" s="34">
        <v>218</v>
      </c>
      <c r="H242" s="35">
        <v>0</v>
      </c>
      <c r="I242" s="8">
        <f t="shared" ref="I242" si="680">(IF(D242="SELL",E242-F242,IF(D242="BUY",F242-E242)))*C242</f>
        <v>2500</v>
      </c>
      <c r="J242" s="8">
        <f>C242*1.1</f>
        <v>5500</v>
      </c>
      <c r="K242" s="2">
        <v>0</v>
      </c>
      <c r="L242" s="8">
        <f t="shared" ref="L242" si="681">(J242+I242+K242)/C242</f>
        <v>1.6</v>
      </c>
      <c r="M242" s="8">
        <f t="shared" ref="M242" si="682">L242*C242</f>
        <v>8000</v>
      </c>
    </row>
    <row r="243" spans="1:13" ht="15.75" customHeight="1" x14ac:dyDescent="0.25">
      <c r="A243" s="24">
        <v>44158</v>
      </c>
      <c r="B243" s="29" t="s">
        <v>75</v>
      </c>
      <c r="C243" s="11">
        <v>1250</v>
      </c>
      <c r="D243" s="11" t="s">
        <v>10</v>
      </c>
      <c r="E243" s="11">
        <v>201.5</v>
      </c>
      <c r="F243" s="11">
        <v>199</v>
      </c>
      <c r="G243" s="34">
        <v>0</v>
      </c>
      <c r="H243" s="35">
        <v>0</v>
      </c>
      <c r="I243" s="8">
        <f t="shared" ref="I243" si="683">(IF(D243="SELL",E243-F243,IF(D243="BUY",F243-E243)))*C243</f>
        <v>-3125</v>
      </c>
      <c r="J243" s="8">
        <v>0</v>
      </c>
      <c r="K243" s="2">
        <v>0</v>
      </c>
      <c r="L243" s="8">
        <f t="shared" ref="L243" si="684">(J243+I243+K243)/C243</f>
        <v>-2.5</v>
      </c>
      <c r="M243" s="8">
        <f t="shared" ref="M243" si="685">L243*C243</f>
        <v>-3125</v>
      </c>
    </row>
    <row r="244" spans="1:13" ht="15.75" customHeight="1" x14ac:dyDescent="0.25">
      <c r="A244" s="24">
        <v>44158</v>
      </c>
      <c r="B244" s="29" t="s">
        <v>18</v>
      </c>
      <c r="C244" s="11">
        <v>2500</v>
      </c>
      <c r="D244" s="11" t="s">
        <v>11</v>
      </c>
      <c r="E244" s="11">
        <v>557.5</v>
      </c>
      <c r="F244" s="11">
        <v>556.5</v>
      </c>
      <c r="G244" s="34">
        <v>554</v>
      </c>
      <c r="H244" s="35">
        <v>0</v>
      </c>
      <c r="I244" s="8">
        <f t="shared" ref="I244" si="686">(IF(D244="SELL",E244-F244,IF(D244="BUY",F244-E244)))*C244</f>
        <v>2500</v>
      </c>
      <c r="J244" s="8">
        <f>C244*2.5</f>
        <v>6250</v>
      </c>
      <c r="K244" s="2">
        <v>0</v>
      </c>
      <c r="L244" s="8">
        <f t="shared" ref="L244" si="687">(J244+I244+K244)/C244</f>
        <v>3.5</v>
      </c>
      <c r="M244" s="8">
        <f t="shared" ref="M244" si="688">L244*C244</f>
        <v>8750</v>
      </c>
    </row>
    <row r="245" spans="1:13" ht="15.75" customHeight="1" x14ac:dyDescent="0.25">
      <c r="A245" s="24">
        <v>44158</v>
      </c>
      <c r="B245" s="29" t="s">
        <v>19</v>
      </c>
      <c r="C245" s="11">
        <v>100</v>
      </c>
      <c r="D245" s="11" t="s">
        <v>10</v>
      </c>
      <c r="E245" s="11">
        <v>50330</v>
      </c>
      <c r="F245" s="11">
        <v>50250</v>
      </c>
      <c r="G245" s="34">
        <v>0</v>
      </c>
      <c r="H245" s="35">
        <v>0</v>
      </c>
      <c r="I245" s="8">
        <f t="shared" ref="I245" si="689">(IF(D245="SELL",E245-F245,IF(D245="BUY",F245-E245)))*C245</f>
        <v>-8000</v>
      </c>
      <c r="J245" s="8">
        <v>0</v>
      </c>
      <c r="K245" s="2">
        <v>0</v>
      </c>
      <c r="L245" s="8">
        <f t="shared" ref="L245" si="690">(J245+I245+K245)/C245</f>
        <v>-80</v>
      </c>
      <c r="M245" s="8">
        <f t="shared" ref="M245" si="691">L245*C245</f>
        <v>-8000</v>
      </c>
    </row>
    <row r="246" spans="1:13" ht="15.75" customHeight="1" x14ac:dyDescent="0.25">
      <c r="A246" s="24">
        <v>44155</v>
      </c>
      <c r="B246" s="29" t="s">
        <v>75</v>
      </c>
      <c r="C246" s="11">
        <v>1250</v>
      </c>
      <c r="D246" s="11" t="s">
        <v>10</v>
      </c>
      <c r="E246" s="11">
        <v>197.5</v>
      </c>
      <c r="F246" s="11">
        <v>198.5</v>
      </c>
      <c r="G246" s="34">
        <v>0</v>
      </c>
      <c r="H246" s="35">
        <v>0</v>
      </c>
      <c r="I246" s="8">
        <f t="shared" ref="I246" si="692">(IF(D246="SELL",E246-F246,IF(D246="BUY",F246-E246)))*C246</f>
        <v>1250</v>
      </c>
      <c r="J246" s="8">
        <v>0</v>
      </c>
      <c r="K246" s="2">
        <v>0</v>
      </c>
      <c r="L246" s="8">
        <f t="shared" ref="L246" si="693">(J246+I246+K246)/C246</f>
        <v>1</v>
      </c>
      <c r="M246" s="8">
        <f t="shared" ref="M246" si="694">L246*C246</f>
        <v>1250</v>
      </c>
    </row>
    <row r="247" spans="1:13" ht="15.75" customHeight="1" x14ac:dyDescent="0.25">
      <c r="A247" s="24">
        <v>44155</v>
      </c>
      <c r="B247" s="29" t="s">
        <v>19</v>
      </c>
      <c r="C247" s="11">
        <v>100</v>
      </c>
      <c r="D247" s="11" t="s">
        <v>10</v>
      </c>
      <c r="E247" s="11">
        <v>50120</v>
      </c>
      <c r="F247" s="11">
        <v>50170</v>
      </c>
      <c r="G247" s="34">
        <v>50400</v>
      </c>
      <c r="H247" s="35">
        <v>0</v>
      </c>
      <c r="I247" s="8">
        <f t="shared" ref="I247" si="695">(IF(D247="SELL",E247-F247,IF(D247="BUY",F247-E247)))*C247</f>
        <v>5000</v>
      </c>
      <c r="J247" s="8">
        <f>C247*230</f>
        <v>23000</v>
      </c>
      <c r="K247" s="2">
        <v>0</v>
      </c>
      <c r="L247" s="8">
        <f t="shared" ref="L247" si="696">(J247+I247+K247)/C247</f>
        <v>280</v>
      </c>
      <c r="M247" s="8">
        <f t="shared" ref="M247" si="697">L247*C247</f>
        <v>28000</v>
      </c>
    </row>
    <row r="248" spans="1:13" ht="15.75" customHeight="1" x14ac:dyDescent="0.25">
      <c r="A248" s="24">
        <v>44155</v>
      </c>
      <c r="B248" s="29" t="s">
        <v>14</v>
      </c>
      <c r="C248" s="11">
        <v>30</v>
      </c>
      <c r="D248" s="11" t="s">
        <v>10</v>
      </c>
      <c r="E248" s="11">
        <v>62050</v>
      </c>
      <c r="F248" s="11">
        <v>62150</v>
      </c>
      <c r="G248" s="34">
        <v>0</v>
      </c>
      <c r="H248" s="35">
        <v>0</v>
      </c>
      <c r="I248" s="8">
        <f t="shared" ref="I248" si="698">(IF(D248="SELL",E248-F248,IF(D248="BUY",F248-E248)))*C248</f>
        <v>3000</v>
      </c>
      <c r="J248" s="8">
        <v>0</v>
      </c>
      <c r="K248" s="2">
        <v>0</v>
      </c>
      <c r="L248" s="8">
        <f t="shared" ref="L248" si="699">(J248+I248+K248)/C248</f>
        <v>100</v>
      </c>
      <c r="M248" s="8">
        <f t="shared" ref="M248" si="700">L248*C248</f>
        <v>3000</v>
      </c>
    </row>
    <row r="249" spans="1:13" ht="15.75" customHeight="1" x14ac:dyDescent="0.25">
      <c r="A249" s="24">
        <v>44155</v>
      </c>
      <c r="B249" s="29" t="s">
        <v>21</v>
      </c>
      <c r="C249" s="11">
        <v>1500</v>
      </c>
      <c r="D249" s="11" t="s">
        <v>10</v>
      </c>
      <c r="E249" s="11">
        <v>1199</v>
      </c>
      <c r="F249" s="11">
        <v>1201</v>
      </c>
      <c r="G249" s="34">
        <v>0</v>
      </c>
      <c r="H249" s="35">
        <v>0</v>
      </c>
      <c r="I249" s="8">
        <f t="shared" ref="I249:I250" si="701">(IF(D249="SELL",E249-F249,IF(D249="BUY",F249-E249)))*C249</f>
        <v>3000</v>
      </c>
      <c r="J249" s="8">
        <v>0</v>
      </c>
      <c r="K249" s="2">
        <v>0</v>
      </c>
      <c r="L249" s="8">
        <f t="shared" ref="L249:L250" si="702">(J249+I249+K249)/C249</f>
        <v>2</v>
      </c>
      <c r="M249" s="8">
        <f t="shared" ref="M249:M250" si="703">L249*C249</f>
        <v>3000</v>
      </c>
    </row>
    <row r="250" spans="1:13" ht="15.75" customHeight="1" x14ac:dyDescent="0.25">
      <c r="A250" s="24">
        <v>44155</v>
      </c>
      <c r="B250" s="29" t="s">
        <v>18</v>
      </c>
      <c r="C250" s="11">
        <v>2500</v>
      </c>
      <c r="D250" s="11" t="s">
        <v>10</v>
      </c>
      <c r="E250" s="11">
        <v>550.5</v>
      </c>
      <c r="F250" s="11">
        <v>551.5</v>
      </c>
      <c r="G250" s="34">
        <v>553.5</v>
      </c>
      <c r="H250" s="35">
        <v>0</v>
      </c>
      <c r="I250" s="8">
        <f t="shared" si="701"/>
        <v>2500</v>
      </c>
      <c r="J250" s="8">
        <f>C250*2</f>
        <v>5000</v>
      </c>
      <c r="K250" s="2">
        <v>0</v>
      </c>
      <c r="L250" s="8">
        <f t="shared" si="702"/>
        <v>3</v>
      </c>
      <c r="M250" s="8">
        <f t="shared" si="703"/>
        <v>7500</v>
      </c>
    </row>
    <row r="251" spans="1:13" ht="15.75" customHeight="1" x14ac:dyDescent="0.25">
      <c r="A251" s="24">
        <v>44155</v>
      </c>
      <c r="B251" s="29" t="s">
        <v>17</v>
      </c>
      <c r="C251" s="11">
        <v>5000</v>
      </c>
      <c r="D251" s="11" t="s">
        <v>10</v>
      </c>
      <c r="E251" s="11">
        <v>223.7</v>
      </c>
      <c r="F251" s="11">
        <v>224.2</v>
      </c>
      <c r="G251" s="34">
        <v>225.2</v>
      </c>
      <c r="H251" s="35">
        <v>0</v>
      </c>
      <c r="I251" s="8">
        <f t="shared" ref="I251" si="704">(IF(D251="SELL",E251-F251,IF(D251="BUY",F251-E251)))*C251</f>
        <v>2500</v>
      </c>
      <c r="J251" s="8">
        <f>C251*1</f>
        <v>5000</v>
      </c>
      <c r="K251" s="2">
        <v>0</v>
      </c>
      <c r="L251" s="8">
        <f t="shared" ref="L251" si="705">(J251+I251+K251)/C251</f>
        <v>1.5</v>
      </c>
      <c r="M251" s="8">
        <f t="shared" ref="M251" si="706">L251*C251</f>
        <v>7500</v>
      </c>
    </row>
    <row r="252" spans="1:13" ht="15.75" customHeight="1" x14ac:dyDescent="0.25">
      <c r="A252" s="24">
        <v>44155</v>
      </c>
      <c r="B252" s="29" t="s">
        <v>79</v>
      </c>
      <c r="C252" s="11">
        <v>1250</v>
      </c>
      <c r="D252" s="11" t="s">
        <v>10</v>
      </c>
      <c r="E252" s="11">
        <v>195</v>
      </c>
      <c r="F252" s="11">
        <v>193</v>
      </c>
      <c r="G252" s="34">
        <v>0</v>
      </c>
      <c r="H252" s="35">
        <v>0</v>
      </c>
      <c r="I252" s="8">
        <f t="shared" ref="I252" si="707">(IF(D252="SELL",E252-F252,IF(D252="BUY",F252-E252)))*C252</f>
        <v>-2500</v>
      </c>
      <c r="J252" s="8">
        <v>0</v>
      </c>
      <c r="K252" s="2">
        <v>0</v>
      </c>
      <c r="L252" s="8">
        <f t="shared" ref="L252" si="708">(J252+I252+K252)/C252</f>
        <v>-2</v>
      </c>
      <c r="M252" s="8">
        <f t="shared" ref="M252" si="709">L252*C252</f>
        <v>-2500</v>
      </c>
    </row>
    <row r="253" spans="1:13" ht="15.75" customHeight="1" x14ac:dyDescent="0.25">
      <c r="A253" s="24">
        <v>44154</v>
      </c>
      <c r="B253" s="29" t="s">
        <v>18</v>
      </c>
      <c r="C253" s="11">
        <v>2500</v>
      </c>
      <c r="D253" s="11" t="s">
        <v>11</v>
      </c>
      <c r="E253" s="11">
        <v>540.6</v>
      </c>
      <c r="F253" s="11">
        <v>539.6</v>
      </c>
      <c r="G253" s="34">
        <v>0</v>
      </c>
      <c r="H253" s="35">
        <v>0</v>
      </c>
      <c r="I253" s="8">
        <f t="shared" ref="I253" si="710">(IF(D253="SELL",E253-F253,IF(D253="BUY",F253-E253)))*C253</f>
        <v>2500</v>
      </c>
      <c r="J253" s="8">
        <v>0</v>
      </c>
      <c r="K253" s="2">
        <v>0</v>
      </c>
      <c r="L253" s="8">
        <f t="shared" ref="L253" si="711">(J253+I253+K253)/C253</f>
        <v>1</v>
      </c>
      <c r="M253" s="8">
        <f t="shared" ref="M253" si="712">L253*C253</f>
        <v>2500</v>
      </c>
    </row>
    <row r="254" spans="1:13" ht="15.75" customHeight="1" x14ac:dyDescent="0.25">
      <c r="A254" s="24">
        <v>44154</v>
      </c>
      <c r="B254" s="29" t="s">
        <v>14</v>
      </c>
      <c r="C254" s="11">
        <v>30</v>
      </c>
      <c r="D254" s="11" t="s">
        <v>11</v>
      </c>
      <c r="E254" s="11">
        <v>61300</v>
      </c>
      <c r="F254" s="11">
        <v>61200</v>
      </c>
      <c r="G254" s="34">
        <v>60900</v>
      </c>
      <c r="H254" s="35">
        <v>0</v>
      </c>
      <c r="I254" s="8">
        <f t="shared" ref="I254" si="713">(IF(D254="SELL",E254-F254,IF(D254="BUY",F254-E254)))*C254</f>
        <v>3000</v>
      </c>
      <c r="J254" s="8">
        <f>C254*300</f>
        <v>9000</v>
      </c>
      <c r="K254" s="2">
        <v>0</v>
      </c>
      <c r="L254" s="8">
        <f t="shared" ref="L254" si="714">(J254+I254+K254)/C254</f>
        <v>400</v>
      </c>
      <c r="M254" s="8">
        <f t="shared" ref="M254" si="715">L254*C254</f>
        <v>12000</v>
      </c>
    </row>
    <row r="255" spans="1:13" ht="15.75" customHeight="1" x14ac:dyDescent="0.25">
      <c r="A255" s="24">
        <v>44154</v>
      </c>
      <c r="B255" s="29" t="s">
        <v>75</v>
      </c>
      <c r="C255" s="11">
        <v>1250</v>
      </c>
      <c r="D255" s="11" t="s">
        <v>11</v>
      </c>
      <c r="E255" s="11">
        <v>197.5</v>
      </c>
      <c r="F255" s="11">
        <v>196.5</v>
      </c>
      <c r="G255" s="34">
        <v>194</v>
      </c>
      <c r="H255" s="35">
        <v>0</v>
      </c>
      <c r="I255" s="8">
        <f t="shared" ref="I255" si="716">(IF(D255="SELL",E255-F255,IF(D255="BUY",F255-E255)))*C255</f>
        <v>1250</v>
      </c>
      <c r="J255" s="8">
        <f>C255*2.5</f>
        <v>3125</v>
      </c>
      <c r="K255" s="2">
        <v>0</v>
      </c>
      <c r="L255" s="8">
        <f t="shared" ref="L255" si="717">(J255+I255+K255)/C255</f>
        <v>3.5</v>
      </c>
      <c r="M255" s="8">
        <f t="shared" ref="M255" si="718">L255*C255</f>
        <v>4375</v>
      </c>
    </row>
    <row r="256" spans="1:13" ht="15.75" customHeight="1" x14ac:dyDescent="0.25">
      <c r="A256" s="24">
        <v>44154</v>
      </c>
      <c r="B256" s="29" t="s">
        <v>16</v>
      </c>
      <c r="C256" s="11">
        <v>100</v>
      </c>
      <c r="D256" s="11" t="s">
        <v>11</v>
      </c>
      <c r="E256" s="11">
        <v>3065</v>
      </c>
      <c r="F256" s="11">
        <v>3046</v>
      </c>
      <c r="G256" s="34">
        <v>0</v>
      </c>
      <c r="H256" s="35">
        <v>0</v>
      </c>
      <c r="I256" s="8">
        <f t="shared" ref="I256" si="719">(IF(D256="SELL",E256-F256,IF(D256="BUY",F256-E256)))*C256</f>
        <v>1900</v>
      </c>
      <c r="J256" s="8">
        <v>0</v>
      </c>
      <c r="K256" s="2">
        <v>0</v>
      </c>
      <c r="L256" s="8">
        <f t="shared" ref="L256" si="720">(J256+I256+K256)/C256</f>
        <v>19</v>
      </c>
      <c r="M256" s="8">
        <f t="shared" ref="M256" si="721">L256*C256</f>
        <v>1900</v>
      </c>
    </row>
    <row r="257" spans="1:13" ht="15.75" customHeight="1" x14ac:dyDescent="0.25">
      <c r="A257" s="24">
        <v>44154</v>
      </c>
      <c r="B257" s="29" t="s">
        <v>14</v>
      </c>
      <c r="C257" s="11">
        <v>30</v>
      </c>
      <c r="D257" s="11" t="s">
        <v>11</v>
      </c>
      <c r="E257" s="11">
        <v>61550</v>
      </c>
      <c r="F257" s="11">
        <v>61450</v>
      </c>
      <c r="G257" s="34">
        <v>61150</v>
      </c>
      <c r="H257" s="35">
        <v>0</v>
      </c>
      <c r="I257" s="8">
        <f t="shared" ref="I257" si="722">(IF(D257="SELL",E257-F257,IF(D257="BUY",F257-E257)))*C257</f>
        <v>3000</v>
      </c>
      <c r="J257" s="8">
        <f>C257*300</f>
        <v>9000</v>
      </c>
      <c r="K257" s="2">
        <v>0</v>
      </c>
      <c r="L257" s="8">
        <f t="shared" ref="L257" si="723">(J257+I257+K257)/C257</f>
        <v>400</v>
      </c>
      <c r="M257" s="8">
        <f t="shared" ref="M257" si="724">L257*C257</f>
        <v>12000</v>
      </c>
    </row>
    <row r="258" spans="1:13" ht="15.75" customHeight="1" x14ac:dyDescent="0.25">
      <c r="A258" s="24">
        <v>44154</v>
      </c>
      <c r="B258" s="29" t="s">
        <v>17</v>
      </c>
      <c r="C258" s="11">
        <v>5000</v>
      </c>
      <c r="D258" s="11" t="s">
        <v>10</v>
      </c>
      <c r="E258" s="11">
        <v>220.5</v>
      </c>
      <c r="F258" s="11">
        <v>221</v>
      </c>
      <c r="G258" s="34">
        <v>0</v>
      </c>
      <c r="H258" s="35">
        <v>0</v>
      </c>
      <c r="I258" s="8">
        <f t="shared" ref="I258" si="725">(IF(D258="SELL",E258-F258,IF(D258="BUY",F258-E258)))*C258</f>
        <v>2500</v>
      </c>
      <c r="J258" s="8">
        <v>0</v>
      </c>
      <c r="K258" s="2">
        <v>0</v>
      </c>
      <c r="L258" s="8">
        <f t="shared" ref="L258" si="726">(J258+I258+K258)/C258</f>
        <v>0.5</v>
      </c>
      <c r="M258" s="8">
        <f t="shared" ref="M258" si="727">L258*C258</f>
        <v>2500</v>
      </c>
    </row>
    <row r="259" spans="1:13" ht="15.75" customHeight="1" x14ac:dyDescent="0.25">
      <c r="A259" s="24">
        <v>44154</v>
      </c>
      <c r="B259" s="29" t="s">
        <v>19</v>
      </c>
      <c r="C259" s="11">
        <v>100</v>
      </c>
      <c r="D259" s="11" t="s">
        <v>11</v>
      </c>
      <c r="E259" s="11">
        <v>49950</v>
      </c>
      <c r="F259" s="11">
        <v>49900</v>
      </c>
      <c r="G259" s="34">
        <v>0</v>
      </c>
      <c r="H259" s="35">
        <v>0</v>
      </c>
      <c r="I259" s="8">
        <f t="shared" ref="I259" si="728">(IF(D259="SELL",E259-F259,IF(D259="BUY",F259-E259)))*C259</f>
        <v>5000</v>
      </c>
      <c r="J259" s="8">
        <v>0</v>
      </c>
      <c r="K259" s="2">
        <v>0</v>
      </c>
      <c r="L259" s="8">
        <f t="shared" ref="L259" si="729">(J259+I259+K259)/C259</f>
        <v>50</v>
      </c>
      <c r="M259" s="8">
        <f t="shared" ref="M259" si="730">L259*C259</f>
        <v>5000</v>
      </c>
    </row>
    <row r="260" spans="1:13" ht="15.75" customHeight="1" x14ac:dyDescent="0.25">
      <c r="A260" s="24">
        <v>44153</v>
      </c>
      <c r="B260" s="29" t="s">
        <v>18</v>
      </c>
      <c r="C260" s="11">
        <v>2500</v>
      </c>
      <c r="D260" s="11" t="s">
        <v>11</v>
      </c>
      <c r="E260" s="11">
        <v>543.6</v>
      </c>
      <c r="F260" s="11">
        <v>542.5</v>
      </c>
      <c r="G260" s="34">
        <v>0</v>
      </c>
      <c r="H260" s="35">
        <v>0</v>
      </c>
      <c r="I260" s="8">
        <f t="shared" ref="I260" si="731">(IF(D260="SELL",E260-F260,IF(D260="BUY",F260-E260)))*C260</f>
        <v>2750.0000000000568</v>
      </c>
      <c r="J260" s="8">
        <v>0</v>
      </c>
      <c r="K260" s="2">
        <v>0</v>
      </c>
      <c r="L260" s="8">
        <f t="shared" ref="L260" si="732">(J260+I260+K260)/C260</f>
        <v>1.1000000000000227</v>
      </c>
      <c r="M260" s="8">
        <f t="shared" ref="M260" si="733">L260*C260</f>
        <v>2750.0000000000568</v>
      </c>
    </row>
    <row r="261" spans="1:13" ht="15.75" customHeight="1" x14ac:dyDescent="0.25">
      <c r="A261" s="24">
        <v>44153</v>
      </c>
      <c r="B261" s="29" t="s">
        <v>16</v>
      </c>
      <c r="C261" s="11">
        <v>100</v>
      </c>
      <c r="D261" s="11" t="s">
        <v>10</v>
      </c>
      <c r="E261" s="11">
        <v>3135</v>
      </c>
      <c r="F261" s="11">
        <v>3095</v>
      </c>
      <c r="G261" s="34">
        <v>0</v>
      </c>
      <c r="H261" s="35">
        <v>0</v>
      </c>
      <c r="I261" s="8">
        <f t="shared" ref="I261" si="734">(IF(D261="SELL",E261-F261,IF(D261="BUY",F261-E261)))*C261</f>
        <v>-4000</v>
      </c>
      <c r="J261" s="8">
        <v>0</v>
      </c>
      <c r="K261" s="2">
        <v>0</v>
      </c>
      <c r="L261" s="8">
        <f t="shared" ref="L261" si="735">(J261+I261+K261)/C261</f>
        <v>-40</v>
      </c>
      <c r="M261" s="8">
        <f t="shared" ref="M261" si="736">L261*C261</f>
        <v>-4000</v>
      </c>
    </row>
    <row r="262" spans="1:13" ht="15.75" customHeight="1" x14ac:dyDescent="0.25">
      <c r="A262" s="24">
        <v>44153</v>
      </c>
      <c r="B262" s="29" t="s">
        <v>17</v>
      </c>
      <c r="C262" s="11">
        <v>5000</v>
      </c>
      <c r="D262" s="11" t="s">
        <v>11</v>
      </c>
      <c r="E262" s="11">
        <v>219.2</v>
      </c>
      <c r="F262" s="11">
        <v>218.7</v>
      </c>
      <c r="G262" s="34">
        <v>0</v>
      </c>
      <c r="H262" s="35">
        <v>0</v>
      </c>
      <c r="I262" s="8">
        <f t="shared" ref="I262" si="737">(IF(D262="SELL",E262-F262,IF(D262="BUY",F262-E262)))*C262</f>
        <v>2500</v>
      </c>
      <c r="J262" s="8">
        <v>0</v>
      </c>
      <c r="K262" s="2">
        <v>0</v>
      </c>
      <c r="L262" s="8">
        <f t="shared" ref="L262" si="738">(J262+I262+K262)/C262</f>
        <v>0.5</v>
      </c>
      <c r="M262" s="8">
        <f t="shared" ref="M262" si="739">L262*C262</f>
        <v>2500</v>
      </c>
    </row>
    <row r="263" spans="1:13" ht="15.75" customHeight="1" x14ac:dyDescent="0.25">
      <c r="A263" s="24">
        <v>44153</v>
      </c>
      <c r="B263" s="29" t="s">
        <v>75</v>
      </c>
      <c r="C263" s="11">
        <v>1250</v>
      </c>
      <c r="D263" s="11" t="s">
        <v>11</v>
      </c>
      <c r="E263" s="11">
        <v>205</v>
      </c>
      <c r="F263" s="11">
        <v>204</v>
      </c>
      <c r="G263" s="34">
        <v>201</v>
      </c>
      <c r="H263" s="35">
        <v>0</v>
      </c>
      <c r="I263" s="8">
        <f t="shared" ref="I263" si="740">(IF(D263="SELL",E263-F263,IF(D263="BUY",F263-E263)))*C263</f>
        <v>1250</v>
      </c>
      <c r="J263" s="8">
        <f>C263*3</f>
        <v>3750</v>
      </c>
      <c r="K263" s="2">
        <v>0</v>
      </c>
      <c r="L263" s="8">
        <f t="shared" ref="L263" si="741">(J263+I263+K263)/C263</f>
        <v>4</v>
      </c>
      <c r="M263" s="8">
        <f t="shared" ref="M263" si="742">L263*C263</f>
        <v>5000</v>
      </c>
    </row>
    <row r="264" spans="1:13" ht="15.75" customHeight="1" x14ac:dyDescent="0.25">
      <c r="A264" s="24">
        <v>44153</v>
      </c>
      <c r="B264" s="29" t="s">
        <v>19</v>
      </c>
      <c r="C264" s="11">
        <v>100</v>
      </c>
      <c r="D264" s="11" t="s">
        <v>11</v>
      </c>
      <c r="E264" s="11">
        <v>50400</v>
      </c>
      <c r="F264" s="11">
        <v>50350</v>
      </c>
      <c r="G264" s="34">
        <v>50150</v>
      </c>
      <c r="H264" s="35">
        <v>0</v>
      </c>
      <c r="I264" s="8">
        <f t="shared" ref="I264" si="743">(IF(D264="SELL",E264-F264,IF(D264="BUY",F264-E264)))*C264</f>
        <v>5000</v>
      </c>
      <c r="J264" s="8">
        <f>C264*200</f>
        <v>20000</v>
      </c>
      <c r="K264" s="2">
        <v>0</v>
      </c>
      <c r="L264" s="8">
        <f t="shared" ref="L264" si="744">(J264+I264+K264)/C264</f>
        <v>250</v>
      </c>
      <c r="M264" s="8">
        <f t="shared" ref="M264" si="745">L264*C264</f>
        <v>25000</v>
      </c>
    </row>
    <row r="265" spans="1:13" ht="15.75" customHeight="1" x14ac:dyDescent="0.25">
      <c r="A265" s="24">
        <v>44153</v>
      </c>
      <c r="B265" s="29" t="s">
        <v>14</v>
      </c>
      <c r="C265" s="11">
        <v>30</v>
      </c>
      <c r="D265" s="11" t="s">
        <v>11</v>
      </c>
      <c r="E265" s="11">
        <v>62770</v>
      </c>
      <c r="F265" s="11">
        <v>62670</v>
      </c>
      <c r="G265" s="34">
        <v>62400</v>
      </c>
      <c r="H265" s="35">
        <v>0</v>
      </c>
      <c r="I265" s="8">
        <f t="shared" ref="I265" si="746">(IF(D265="SELL",E265-F265,IF(D265="BUY",F265-E265)))*C265</f>
        <v>3000</v>
      </c>
      <c r="J265" s="8">
        <f>C265*270</f>
        <v>8100</v>
      </c>
      <c r="K265" s="2">
        <v>0</v>
      </c>
      <c r="L265" s="8">
        <f t="shared" ref="L265" si="747">(J265+I265+K265)/C265</f>
        <v>370</v>
      </c>
      <c r="M265" s="8">
        <f t="shared" ref="M265" si="748">L265*C265</f>
        <v>11100</v>
      </c>
    </row>
    <row r="266" spans="1:13" ht="15.75" customHeight="1" x14ac:dyDescent="0.25">
      <c r="A266" s="24">
        <v>44152</v>
      </c>
      <c r="B266" s="29" t="s">
        <v>14</v>
      </c>
      <c r="C266" s="11">
        <v>30</v>
      </c>
      <c r="D266" s="11" t="s">
        <v>10</v>
      </c>
      <c r="E266" s="11">
        <v>63600</v>
      </c>
      <c r="F266" s="11">
        <v>63350</v>
      </c>
      <c r="G266" s="34">
        <v>0</v>
      </c>
      <c r="H266" s="35">
        <v>0</v>
      </c>
      <c r="I266" s="8">
        <f t="shared" ref="I266" si="749">(IF(D266="SELL",E266-F266,IF(D266="BUY",F266-E266)))*C266</f>
        <v>-7500</v>
      </c>
      <c r="J266" s="8">
        <v>0</v>
      </c>
      <c r="K266" s="2">
        <v>0</v>
      </c>
      <c r="L266" s="8">
        <f t="shared" ref="L266" si="750">(J266+I266+K266)/C266</f>
        <v>-250</v>
      </c>
      <c r="M266" s="8">
        <f t="shared" ref="M266" si="751">L266*C266</f>
        <v>-7500</v>
      </c>
    </row>
    <row r="267" spans="1:13" ht="15.75" customHeight="1" x14ac:dyDescent="0.25">
      <c r="A267" s="24">
        <v>44152</v>
      </c>
      <c r="B267" s="29" t="s">
        <v>18</v>
      </c>
      <c r="C267" s="11">
        <v>2500</v>
      </c>
      <c r="D267" s="11" t="s">
        <v>11</v>
      </c>
      <c r="E267" s="11">
        <v>545</v>
      </c>
      <c r="F267" s="11">
        <v>544</v>
      </c>
      <c r="G267" s="34">
        <v>541</v>
      </c>
      <c r="H267" s="35">
        <v>0</v>
      </c>
      <c r="I267" s="8">
        <f t="shared" ref="I267" si="752">(IF(D267="SELL",E267-F267,IF(D267="BUY",F267-E267)))*C267</f>
        <v>2500</v>
      </c>
      <c r="J267" s="8">
        <f>C267*3</f>
        <v>7500</v>
      </c>
      <c r="K267" s="2">
        <v>0</v>
      </c>
      <c r="L267" s="8">
        <f t="shared" ref="L267" si="753">(J267+I267+K267)/C267</f>
        <v>4</v>
      </c>
      <c r="M267" s="8">
        <f t="shared" ref="M267" si="754">L267*C267</f>
        <v>10000</v>
      </c>
    </row>
    <row r="268" spans="1:13" ht="15.75" customHeight="1" x14ac:dyDescent="0.25">
      <c r="A268" s="24">
        <v>44152</v>
      </c>
      <c r="B268" s="29" t="s">
        <v>16</v>
      </c>
      <c r="C268" s="11">
        <v>100</v>
      </c>
      <c r="D268" s="11" t="s">
        <v>11</v>
      </c>
      <c r="E268" s="11">
        <v>3065</v>
      </c>
      <c r="F268" s="11">
        <v>3045</v>
      </c>
      <c r="G268" s="34">
        <v>0</v>
      </c>
      <c r="H268" s="35">
        <v>0</v>
      </c>
      <c r="I268" s="8">
        <f t="shared" ref="I268" si="755">(IF(D268="SELL",E268-F268,IF(D268="BUY",F268-E268)))*C268</f>
        <v>2000</v>
      </c>
      <c r="J268" s="8">
        <v>0</v>
      </c>
      <c r="K268" s="2">
        <v>0</v>
      </c>
      <c r="L268" s="8">
        <f t="shared" ref="L268" si="756">(J268+I268+K268)/C268</f>
        <v>20</v>
      </c>
      <c r="M268" s="8">
        <f t="shared" ref="M268" si="757">L268*C268</f>
        <v>2000</v>
      </c>
    </row>
    <row r="269" spans="1:13" ht="15.75" customHeight="1" x14ac:dyDescent="0.25">
      <c r="A269" s="24">
        <v>44152</v>
      </c>
      <c r="B269" s="29" t="s">
        <v>75</v>
      </c>
      <c r="C269" s="11">
        <v>1250</v>
      </c>
      <c r="D269" s="11" t="s">
        <v>11</v>
      </c>
      <c r="E269" s="11">
        <v>201.5</v>
      </c>
      <c r="F269" s="11">
        <v>200</v>
      </c>
      <c r="G269" s="34">
        <v>199</v>
      </c>
      <c r="H269" s="35">
        <v>0</v>
      </c>
      <c r="I269" s="8">
        <f t="shared" ref="I269" si="758">(IF(D269="SELL",E269-F269,IF(D269="BUY",F269-E269)))*C269</f>
        <v>1875</v>
      </c>
      <c r="J269" s="8">
        <f>C269*1</f>
        <v>1250</v>
      </c>
      <c r="K269" s="2">
        <v>0</v>
      </c>
      <c r="L269" s="8">
        <f t="shared" ref="L269" si="759">(J269+I269+K269)/C269</f>
        <v>2.5</v>
      </c>
      <c r="M269" s="8">
        <f t="shared" ref="M269" si="760">L269*C269</f>
        <v>3125</v>
      </c>
    </row>
    <row r="270" spans="1:13" ht="15.75" customHeight="1" x14ac:dyDescent="0.25">
      <c r="A270" s="24">
        <v>44152</v>
      </c>
      <c r="B270" s="29" t="s">
        <v>17</v>
      </c>
      <c r="C270" s="11">
        <v>5000</v>
      </c>
      <c r="D270" s="11" t="s">
        <v>10</v>
      </c>
      <c r="E270" s="11">
        <v>214.1</v>
      </c>
      <c r="F270" s="11">
        <v>214.6</v>
      </c>
      <c r="G270" s="34">
        <v>215.6</v>
      </c>
      <c r="H270" s="35">
        <v>0</v>
      </c>
      <c r="I270" s="8">
        <f t="shared" ref="I270" si="761">(IF(D270="SELL",E270-F270,IF(D270="BUY",F270-E270)))*C270</f>
        <v>2500</v>
      </c>
      <c r="J270" s="8">
        <f>C270*1</f>
        <v>5000</v>
      </c>
      <c r="K270" s="2">
        <v>0</v>
      </c>
      <c r="L270" s="8">
        <f t="shared" ref="L270" si="762">(J270+I270+K270)/C270</f>
        <v>1.5</v>
      </c>
      <c r="M270" s="8">
        <f t="shared" ref="M270" si="763">L270*C270</f>
        <v>7500</v>
      </c>
    </row>
    <row r="271" spans="1:13" ht="15.75" customHeight="1" x14ac:dyDescent="0.25">
      <c r="A271" s="24">
        <v>44147</v>
      </c>
      <c r="B271" s="29" t="s">
        <v>75</v>
      </c>
      <c r="C271" s="11">
        <v>1250</v>
      </c>
      <c r="D271" s="11" t="s">
        <v>11</v>
      </c>
      <c r="E271" s="11">
        <v>225</v>
      </c>
      <c r="F271" s="11">
        <v>224</v>
      </c>
      <c r="G271" s="34">
        <v>0</v>
      </c>
      <c r="H271" s="35">
        <v>0</v>
      </c>
      <c r="I271" s="8">
        <f t="shared" ref="I271" si="764">(IF(D271="SELL",E271-F271,IF(D271="BUY",F271-E271)))*C271</f>
        <v>1250</v>
      </c>
      <c r="J271" s="8">
        <v>0</v>
      </c>
      <c r="K271" s="2">
        <v>0</v>
      </c>
      <c r="L271" s="8">
        <f t="shared" ref="L271" si="765">(J271+I271+K271)/C271</f>
        <v>1</v>
      </c>
      <c r="M271" s="8">
        <f t="shared" ref="M271" si="766">L271*C271</f>
        <v>1250</v>
      </c>
    </row>
    <row r="272" spans="1:13" ht="15.75" customHeight="1" x14ac:dyDescent="0.25">
      <c r="A272" s="24">
        <v>44147</v>
      </c>
      <c r="B272" s="29" t="s">
        <v>17</v>
      </c>
      <c r="C272" s="11">
        <v>5000</v>
      </c>
      <c r="D272" s="11" t="s">
        <v>11</v>
      </c>
      <c r="E272" s="11">
        <v>208.6</v>
      </c>
      <c r="F272" s="11">
        <v>209.6</v>
      </c>
      <c r="G272" s="34">
        <v>3125</v>
      </c>
      <c r="H272" s="35">
        <v>0</v>
      </c>
      <c r="I272" s="8">
        <f t="shared" ref="I272" si="767">(IF(D272="SELL",E272-F272,IF(D272="BUY",F272-E272)))*C272</f>
        <v>-5000</v>
      </c>
      <c r="J272" s="8">
        <v>0</v>
      </c>
      <c r="K272" s="2">
        <v>0</v>
      </c>
      <c r="L272" s="8">
        <f t="shared" ref="L272" si="768">(J272+I272+K272)/C272</f>
        <v>-1</v>
      </c>
      <c r="M272" s="8">
        <f t="shared" ref="M272" si="769">L272*C272</f>
        <v>-5000</v>
      </c>
    </row>
    <row r="273" spans="1:17" ht="15.75" customHeight="1" x14ac:dyDescent="0.25">
      <c r="A273" s="24">
        <v>44146</v>
      </c>
      <c r="B273" s="29" t="s">
        <v>16</v>
      </c>
      <c r="C273" s="11">
        <v>100</v>
      </c>
      <c r="D273" s="11" t="s">
        <v>11</v>
      </c>
      <c r="E273" s="11">
        <v>3180</v>
      </c>
      <c r="F273" s="11">
        <v>3160</v>
      </c>
      <c r="G273" s="34">
        <v>3125</v>
      </c>
      <c r="H273" s="35">
        <v>0</v>
      </c>
      <c r="I273" s="8">
        <f t="shared" ref="I273" si="770">(IF(D273="SELL",E273-F273,IF(D273="BUY",F273-E273)))*C273</f>
        <v>2000</v>
      </c>
      <c r="J273" s="8">
        <f>C273*35</f>
        <v>3500</v>
      </c>
      <c r="K273" s="2">
        <v>0</v>
      </c>
      <c r="L273" s="8">
        <f t="shared" ref="L273" si="771">(J273+I273+K273)/C273</f>
        <v>55</v>
      </c>
      <c r="M273" s="8">
        <f t="shared" ref="M273" si="772">L273*C273</f>
        <v>5500</v>
      </c>
    </row>
    <row r="274" spans="1:17" ht="15.75" customHeight="1" x14ac:dyDescent="0.25">
      <c r="A274" s="24">
        <v>44146</v>
      </c>
      <c r="B274" s="29" t="s">
        <v>77</v>
      </c>
      <c r="C274" s="11">
        <v>30</v>
      </c>
      <c r="D274" s="11" t="s">
        <v>11</v>
      </c>
      <c r="E274" s="11">
        <v>62150</v>
      </c>
      <c r="F274" s="11">
        <v>62050</v>
      </c>
      <c r="G274" s="34">
        <v>61800</v>
      </c>
      <c r="H274" s="35">
        <v>0</v>
      </c>
      <c r="I274" s="8">
        <f t="shared" ref="I274" si="773">(IF(D274="SELL",E274-F274,IF(D274="BUY",F274-E274)))*C274</f>
        <v>3000</v>
      </c>
      <c r="J274" s="8">
        <f>C274*250</f>
        <v>7500</v>
      </c>
      <c r="K274" s="2">
        <v>0</v>
      </c>
      <c r="L274" s="8">
        <f t="shared" ref="L274" si="774">(J274+I274+K274)/C274</f>
        <v>350</v>
      </c>
      <c r="M274" s="8">
        <f t="shared" ref="M274" si="775">L274*C274</f>
        <v>10500</v>
      </c>
    </row>
    <row r="275" spans="1:17" ht="15.75" customHeight="1" x14ac:dyDescent="0.25">
      <c r="A275" s="24">
        <v>44146</v>
      </c>
      <c r="B275" s="29" t="s">
        <v>19</v>
      </c>
      <c r="C275" s="11">
        <v>100</v>
      </c>
      <c r="D275" s="11" t="s">
        <v>11</v>
      </c>
      <c r="E275" s="11">
        <v>50330</v>
      </c>
      <c r="F275" s="11">
        <v>50280</v>
      </c>
      <c r="G275" s="34">
        <v>0</v>
      </c>
      <c r="H275" s="35">
        <v>0</v>
      </c>
      <c r="I275" s="8">
        <f t="shared" ref="I275" si="776">(IF(D275="SELL",E275-F275,IF(D275="BUY",F275-E275)))*C275</f>
        <v>5000</v>
      </c>
      <c r="J275" s="8">
        <v>0</v>
      </c>
      <c r="K275" s="2">
        <v>0</v>
      </c>
      <c r="L275" s="8">
        <f t="shared" ref="L275" si="777">(J275+I275+K275)/C275</f>
        <v>50</v>
      </c>
      <c r="M275" s="8">
        <f t="shared" ref="M275" si="778">L275*C275</f>
        <v>5000</v>
      </c>
    </row>
    <row r="276" spans="1:17" ht="15.75" customHeight="1" x14ac:dyDescent="0.25">
      <c r="A276" s="24">
        <v>44146</v>
      </c>
      <c r="B276" s="29" t="s">
        <v>17</v>
      </c>
      <c r="C276" s="11">
        <v>5000</v>
      </c>
      <c r="D276" s="11" t="s">
        <v>10</v>
      </c>
      <c r="E276" s="11">
        <v>210.5</v>
      </c>
      <c r="F276" s="11">
        <v>211.1</v>
      </c>
      <c r="G276" s="34">
        <v>0</v>
      </c>
      <c r="H276" s="35">
        <v>0</v>
      </c>
      <c r="I276" s="8">
        <f t="shared" ref="I276" si="779">(IF(D276="SELL",E276-F276,IF(D276="BUY",F276-E276)))*C276</f>
        <v>2999.9999999999718</v>
      </c>
      <c r="J276" s="8">
        <v>0</v>
      </c>
      <c r="K276" s="2">
        <v>0</v>
      </c>
      <c r="L276" s="8">
        <f t="shared" ref="L276" si="780">(J276+I276+K276)/C276</f>
        <v>0.59999999999999432</v>
      </c>
      <c r="M276" s="8">
        <f t="shared" ref="M276" si="781">L276*C276</f>
        <v>2999.9999999999718</v>
      </c>
    </row>
    <row r="277" spans="1:17" ht="15.75" customHeight="1" x14ac:dyDescent="0.25">
      <c r="A277" s="24">
        <v>44146</v>
      </c>
      <c r="B277" s="29" t="s">
        <v>75</v>
      </c>
      <c r="C277" s="11">
        <v>1250</v>
      </c>
      <c r="D277" s="11" t="s">
        <v>11</v>
      </c>
      <c r="E277" s="11">
        <v>222</v>
      </c>
      <c r="F277" s="11">
        <v>220</v>
      </c>
      <c r="G277" s="34">
        <v>0</v>
      </c>
      <c r="H277" s="35">
        <v>0</v>
      </c>
      <c r="I277" s="8">
        <f t="shared" ref="I277" si="782">(IF(D277="SELL",E277-F277,IF(D277="BUY",F277-E277)))*C277</f>
        <v>2500</v>
      </c>
      <c r="J277" s="8">
        <v>0</v>
      </c>
      <c r="K277" s="2">
        <v>0</v>
      </c>
      <c r="L277" s="8">
        <f t="shared" ref="L277" si="783">(J277+I277+K277)/C277</f>
        <v>2</v>
      </c>
      <c r="M277" s="8">
        <f t="shared" ref="M277" si="784">L277*C277</f>
        <v>2500</v>
      </c>
    </row>
    <row r="278" spans="1:17" ht="15.75" customHeight="1" x14ac:dyDescent="0.25">
      <c r="A278" s="24">
        <v>44145</v>
      </c>
      <c r="B278" s="29" t="s">
        <v>16</v>
      </c>
      <c r="C278" s="11">
        <v>100</v>
      </c>
      <c r="D278" s="11" t="s">
        <v>11</v>
      </c>
      <c r="E278" s="11">
        <v>3020</v>
      </c>
      <c r="F278" s="11">
        <v>3055</v>
      </c>
      <c r="G278" s="34">
        <v>0</v>
      </c>
      <c r="H278" s="35">
        <v>0</v>
      </c>
      <c r="I278" s="8">
        <f t="shared" ref="I278" si="785">(IF(D278="SELL",E278-F278,IF(D278="BUY",F278-E278)))*C278</f>
        <v>-3500</v>
      </c>
      <c r="J278" s="8">
        <v>0</v>
      </c>
      <c r="K278" s="2">
        <v>0</v>
      </c>
      <c r="L278" s="8">
        <f t="shared" ref="L278" si="786">(J278+I278+K278)/C278</f>
        <v>-35</v>
      </c>
      <c r="M278" s="8">
        <f t="shared" ref="M278" si="787">L278*C278</f>
        <v>-3500</v>
      </c>
      <c r="N278" s="8"/>
      <c r="O278" s="2"/>
      <c r="P278" s="8" t="e">
        <f t="shared" ref="P278" si="788">(N278+M278+O278)/G278</f>
        <v>#DIV/0!</v>
      </c>
      <c r="Q278" s="8" t="e">
        <f t="shared" ref="Q278" si="789">P278*G278</f>
        <v>#DIV/0!</v>
      </c>
    </row>
    <row r="279" spans="1:17" ht="15.75" customHeight="1" x14ac:dyDescent="0.25">
      <c r="A279" s="24">
        <v>44145</v>
      </c>
      <c r="B279" s="29" t="s">
        <v>19</v>
      </c>
      <c r="C279" s="11">
        <v>100</v>
      </c>
      <c r="D279" s="11" t="s">
        <v>11</v>
      </c>
      <c r="E279" s="11">
        <v>50210</v>
      </c>
      <c r="F279" s="11">
        <v>50160</v>
      </c>
      <c r="G279" s="34">
        <v>0</v>
      </c>
      <c r="H279" s="35">
        <v>0</v>
      </c>
      <c r="I279" s="8">
        <f t="shared" ref="I279" si="790">(IF(D279="SELL",E279-F279,IF(D279="BUY",F279-E279)))*C279</f>
        <v>5000</v>
      </c>
      <c r="J279" s="8">
        <v>0</v>
      </c>
      <c r="K279" s="2">
        <v>0</v>
      </c>
      <c r="L279" s="8">
        <f t="shared" ref="L279" si="791">(J279+I279+K279)/C279</f>
        <v>50</v>
      </c>
      <c r="M279" s="8">
        <f t="shared" ref="M279" si="792">L279*C279</f>
        <v>5000</v>
      </c>
      <c r="N279" s="8"/>
      <c r="O279" s="2"/>
      <c r="P279" s="8" t="e">
        <f t="shared" ref="P279" si="793">(N279+M279+O279)/G279</f>
        <v>#DIV/0!</v>
      </c>
      <c r="Q279" s="8" t="e">
        <f t="shared" ref="Q279" si="794">P279*G279</f>
        <v>#DIV/0!</v>
      </c>
    </row>
    <row r="280" spans="1:17" ht="15.75" customHeight="1" x14ac:dyDescent="0.25">
      <c r="A280" s="24">
        <v>44145</v>
      </c>
      <c r="B280" s="29" t="s">
        <v>18</v>
      </c>
      <c r="C280" s="11">
        <v>2500</v>
      </c>
      <c r="D280" s="11" t="s">
        <v>11</v>
      </c>
      <c r="E280" s="11">
        <v>532</v>
      </c>
      <c r="F280" s="11">
        <v>531</v>
      </c>
      <c r="G280" s="34">
        <v>528</v>
      </c>
      <c r="H280" s="35">
        <v>0</v>
      </c>
      <c r="I280" s="8">
        <f t="shared" ref="I280" si="795">(IF(D280="SELL",E280-F280,IF(D280="BUY",F280-E280)))*C280</f>
        <v>2500</v>
      </c>
      <c r="J280" s="8">
        <f>C280*3</f>
        <v>7500</v>
      </c>
      <c r="K280" s="2">
        <v>0</v>
      </c>
      <c r="L280" s="8">
        <f t="shared" ref="L280" si="796">(J280+I280+K280)/C280</f>
        <v>4</v>
      </c>
      <c r="M280" s="8">
        <f t="shared" ref="M280" si="797">L280*C280</f>
        <v>10000</v>
      </c>
      <c r="N280" s="8"/>
      <c r="O280" s="2"/>
      <c r="P280" s="8">
        <f t="shared" ref="P280" si="798">(N280+M280+O280)/G280</f>
        <v>18.939393939393938</v>
      </c>
      <c r="Q280" s="8">
        <f t="shared" ref="Q280" si="799">P280*G280</f>
        <v>10000</v>
      </c>
    </row>
    <row r="281" spans="1:17" ht="15.75" customHeight="1" x14ac:dyDescent="0.25">
      <c r="A281" s="24">
        <v>44145</v>
      </c>
      <c r="B281" s="29" t="s">
        <v>17</v>
      </c>
      <c r="C281" s="11">
        <v>5000</v>
      </c>
      <c r="D281" s="11" t="s">
        <v>11</v>
      </c>
      <c r="E281" s="11">
        <v>209.2</v>
      </c>
      <c r="F281" s="11">
        <v>208.7</v>
      </c>
      <c r="G281" s="34">
        <v>0</v>
      </c>
      <c r="H281" s="35">
        <v>0</v>
      </c>
      <c r="I281" s="8">
        <f t="shared" ref="I281" si="800">(IF(D281="SELL",E281-F281,IF(D281="BUY",F281-E281)))*C281</f>
        <v>2500</v>
      </c>
      <c r="J281" s="8">
        <v>0</v>
      </c>
      <c r="K281" s="2">
        <v>0</v>
      </c>
      <c r="L281" s="8">
        <f t="shared" ref="L281" si="801">(J281+I281+K281)/C281</f>
        <v>0.5</v>
      </c>
      <c r="M281" s="8">
        <f t="shared" ref="M281" si="802">L281*C281</f>
        <v>2500</v>
      </c>
      <c r="N281" s="8"/>
      <c r="O281" s="2"/>
      <c r="P281" s="8" t="e">
        <f t="shared" ref="P281" si="803">(N281+M281+O281)/G281</f>
        <v>#DIV/0!</v>
      </c>
      <c r="Q281" s="8" t="e">
        <f t="shared" ref="Q281" si="804">P281*G281</f>
        <v>#DIV/0!</v>
      </c>
    </row>
    <row r="282" spans="1:17" ht="15.75" customHeight="1" x14ac:dyDescent="0.25">
      <c r="A282" s="24">
        <v>44145</v>
      </c>
      <c r="B282" s="11" t="s">
        <v>78</v>
      </c>
      <c r="C282" s="11">
        <v>30</v>
      </c>
      <c r="D282" s="11" t="s">
        <v>11</v>
      </c>
      <c r="E282" s="11">
        <v>61620</v>
      </c>
      <c r="F282" s="11">
        <v>61520</v>
      </c>
      <c r="G282" s="34">
        <v>0</v>
      </c>
      <c r="H282" s="35">
        <v>0</v>
      </c>
      <c r="I282" s="8">
        <f t="shared" ref="I282:I283" si="805">(IF(D282="SELL",E282-F282,IF(D282="BUY",F282-E282)))*C282</f>
        <v>3000</v>
      </c>
      <c r="J282" s="12">
        <v>0</v>
      </c>
      <c r="K282" s="12">
        <v>0</v>
      </c>
      <c r="L282" s="8">
        <f t="shared" ref="L282:L283" si="806">(J282+I282+K282)/C282</f>
        <v>100</v>
      </c>
      <c r="M282" s="8">
        <f t="shared" ref="M282:M283" si="807">L282*C282</f>
        <v>3000</v>
      </c>
    </row>
    <row r="283" spans="1:17" ht="15.75" customHeight="1" x14ac:dyDescent="0.25">
      <c r="A283" s="24">
        <v>44145</v>
      </c>
      <c r="B283" s="29" t="s">
        <v>75</v>
      </c>
      <c r="C283" s="11">
        <v>1250</v>
      </c>
      <c r="D283" s="11" t="s">
        <v>10</v>
      </c>
      <c r="E283" s="11">
        <v>216.2</v>
      </c>
      <c r="F283" s="11">
        <v>216.7</v>
      </c>
      <c r="G283" s="34">
        <v>0</v>
      </c>
      <c r="H283" s="35">
        <v>0</v>
      </c>
      <c r="I283" s="8">
        <f t="shared" si="805"/>
        <v>625</v>
      </c>
      <c r="J283" s="8">
        <v>0</v>
      </c>
      <c r="K283" s="2">
        <v>0</v>
      </c>
      <c r="L283" s="8">
        <f t="shared" si="806"/>
        <v>0.5</v>
      </c>
      <c r="M283" s="8">
        <f t="shared" si="807"/>
        <v>625</v>
      </c>
    </row>
    <row r="284" spans="1:17" ht="15.75" customHeight="1" x14ac:dyDescent="0.25">
      <c r="A284" s="24">
        <v>44144</v>
      </c>
      <c r="B284" s="29" t="s">
        <v>75</v>
      </c>
      <c r="C284" s="11">
        <v>1250</v>
      </c>
      <c r="D284" s="11" t="s">
        <v>11</v>
      </c>
      <c r="E284" s="11">
        <v>212</v>
      </c>
      <c r="F284" s="11">
        <v>211</v>
      </c>
      <c r="G284" s="34">
        <v>0</v>
      </c>
      <c r="H284" s="35">
        <v>0</v>
      </c>
      <c r="I284" s="8">
        <f t="shared" ref="I284" si="808">(IF(D284="SELL",E284-F284,IF(D284="BUY",F284-E284)))*C284</f>
        <v>1250</v>
      </c>
      <c r="J284" s="8">
        <v>0</v>
      </c>
      <c r="K284" s="2">
        <v>0</v>
      </c>
      <c r="L284" s="8">
        <f t="shared" ref="L284" si="809">(J284+I284+K284)/C284</f>
        <v>1</v>
      </c>
      <c r="M284" s="8">
        <f t="shared" ref="M284" si="810">L284*C284</f>
        <v>1250</v>
      </c>
    </row>
    <row r="285" spans="1:17" ht="15.75" customHeight="1" x14ac:dyDescent="0.25">
      <c r="A285" s="24">
        <v>44144</v>
      </c>
      <c r="B285" s="29" t="s">
        <v>27</v>
      </c>
      <c r="C285" s="11">
        <v>5000</v>
      </c>
      <c r="D285" s="11" t="s">
        <v>11</v>
      </c>
      <c r="E285" s="11">
        <v>210</v>
      </c>
      <c r="F285" s="11">
        <v>209.4</v>
      </c>
      <c r="G285" s="34">
        <v>0</v>
      </c>
      <c r="H285" s="35">
        <v>0</v>
      </c>
      <c r="I285" s="8">
        <f t="shared" ref="I285" si="811">(IF(D285="SELL",E285-F285,IF(D285="BUY",F285-E285)))*C285</f>
        <v>2999.9999999999718</v>
      </c>
      <c r="J285" s="8">
        <v>0</v>
      </c>
      <c r="K285" s="2">
        <v>0</v>
      </c>
      <c r="L285" s="8">
        <f t="shared" ref="L285" si="812">(J285+I285+K285)/C285</f>
        <v>0.59999999999999432</v>
      </c>
      <c r="M285" s="8">
        <f t="shared" ref="M285" si="813">L285*C285</f>
        <v>2999.9999999999718</v>
      </c>
    </row>
    <row r="286" spans="1:17" ht="15.75" customHeight="1" x14ac:dyDescent="0.25">
      <c r="A286" s="24">
        <v>44144</v>
      </c>
      <c r="B286" s="29" t="s">
        <v>14</v>
      </c>
      <c r="C286" s="11">
        <v>30</v>
      </c>
      <c r="D286" s="11" t="s">
        <v>11</v>
      </c>
      <c r="E286" s="11">
        <v>62850</v>
      </c>
      <c r="F286" s="11">
        <v>62750</v>
      </c>
      <c r="G286" s="34">
        <v>62000</v>
      </c>
      <c r="H286" s="35">
        <v>0</v>
      </c>
      <c r="I286" s="8">
        <f t="shared" ref="I286" si="814">(IF(D286="SELL",E286-F286,IF(D286="BUY",F286-E286)))*C286</f>
        <v>3000</v>
      </c>
      <c r="J286" s="8">
        <f>C286*750</f>
        <v>22500</v>
      </c>
      <c r="K286" s="2">
        <v>0</v>
      </c>
      <c r="L286" s="8">
        <f t="shared" ref="L286" si="815">(J286+I286+K286)/C286</f>
        <v>850</v>
      </c>
      <c r="M286" s="8">
        <f t="shared" ref="M286" si="816">L286*C286</f>
        <v>25500</v>
      </c>
    </row>
    <row r="287" spans="1:17" ht="15.75" customHeight="1" x14ac:dyDescent="0.25">
      <c r="A287" s="24">
        <v>44144</v>
      </c>
      <c r="B287" s="29" t="s">
        <v>14</v>
      </c>
      <c r="C287" s="11">
        <v>30</v>
      </c>
      <c r="D287" s="11" t="s">
        <v>10</v>
      </c>
      <c r="E287" s="11">
        <v>64320</v>
      </c>
      <c r="F287" s="11">
        <v>64100</v>
      </c>
      <c r="G287" s="34">
        <v>0</v>
      </c>
      <c r="H287" s="35">
        <v>0</v>
      </c>
      <c r="I287" s="8">
        <f t="shared" ref="I287" si="817">(IF(D287="SELL",E287-F287,IF(D287="BUY",F287-E287)))*C287</f>
        <v>-6600</v>
      </c>
      <c r="J287" s="8">
        <v>0</v>
      </c>
      <c r="K287" s="2">
        <v>0</v>
      </c>
      <c r="L287" s="8">
        <f t="shared" ref="L287" si="818">(J287+I287+K287)/C287</f>
        <v>-220</v>
      </c>
      <c r="M287" s="8">
        <f t="shared" ref="M287" si="819">L287*C287</f>
        <v>-6600</v>
      </c>
    </row>
    <row r="288" spans="1:17" ht="15.75" customHeight="1" x14ac:dyDescent="0.25">
      <c r="A288" s="24">
        <v>44144</v>
      </c>
      <c r="B288" s="29" t="s">
        <v>14</v>
      </c>
      <c r="C288" s="11">
        <v>30</v>
      </c>
      <c r="D288" s="11" t="s">
        <v>11</v>
      </c>
      <c r="E288" s="11">
        <v>65720</v>
      </c>
      <c r="F288" s="11">
        <v>65600</v>
      </c>
      <c r="G288" s="34">
        <v>65400</v>
      </c>
      <c r="H288" s="35">
        <v>0</v>
      </c>
      <c r="I288" s="8">
        <f t="shared" ref="I288" si="820">(IF(D288="SELL",E288-F288,IF(D288="BUY",F288-E288)))*C288</f>
        <v>3600</v>
      </c>
      <c r="J288" s="8">
        <f>C288*200</f>
        <v>6000</v>
      </c>
      <c r="K288" s="2">
        <v>0</v>
      </c>
      <c r="L288" s="8">
        <f t="shared" ref="L288" si="821">(J288+I288+K288)/C288</f>
        <v>320</v>
      </c>
      <c r="M288" s="8">
        <f t="shared" ref="M288" si="822">L288*C288</f>
        <v>9600</v>
      </c>
    </row>
    <row r="289" spans="1:13" ht="15.75" customHeight="1" x14ac:dyDescent="0.25">
      <c r="A289" s="24">
        <v>44144</v>
      </c>
      <c r="B289" s="29" t="s">
        <v>19</v>
      </c>
      <c r="C289" s="11">
        <v>100</v>
      </c>
      <c r="D289" s="11" t="s">
        <v>11</v>
      </c>
      <c r="E289" s="11">
        <v>52350</v>
      </c>
      <c r="F289" s="11">
        <v>52300</v>
      </c>
      <c r="G289" s="34">
        <v>0</v>
      </c>
      <c r="H289" s="35">
        <v>0</v>
      </c>
      <c r="I289" s="8">
        <f t="shared" ref="I289" si="823">(IF(D289="SELL",E289-F289,IF(D289="BUY",F289-E289)))*C289</f>
        <v>5000</v>
      </c>
      <c r="J289" s="8">
        <v>0</v>
      </c>
      <c r="K289" s="2">
        <v>0</v>
      </c>
      <c r="L289" s="8">
        <f t="shared" ref="L289" si="824">(J289+I289+K289)/C289</f>
        <v>50</v>
      </c>
      <c r="M289" s="8">
        <f t="shared" ref="M289" si="825">L289*C289</f>
        <v>5000</v>
      </c>
    </row>
    <row r="290" spans="1:13" ht="15.75" customHeight="1" x14ac:dyDescent="0.25">
      <c r="A290" s="24">
        <v>44144</v>
      </c>
      <c r="B290" s="29" t="s">
        <v>18</v>
      </c>
      <c r="C290" s="11">
        <v>2500</v>
      </c>
      <c r="D290" s="11" t="s">
        <v>11</v>
      </c>
      <c r="E290" s="11">
        <v>535</v>
      </c>
      <c r="F290" s="11">
        <v>534</v>
      </c>
      <c r="G290" s="34">
        <v>0</v>
      </c>
      <c r="H290" s="35">
        <v>0</v>
      </c>
      <c r="I290" s="8">
        <f t="shared" ref="I290" si="826">(IF(D290="SELL",E290-F290,IF(D290="BUY",F290-E290)))*C290</f>
        <v>2500</v>
      </c>
      <c r="J290" s="8">
        <v>0</v>
      </c>
      <c r="K290" s="2">
        <v>0</v>
      </c>
      <c r="L290" s="8">
        <f t="shared" ref="L290" si="827">(J290+I290+K290)/C290</f>
        <v>1</v>
      </c>
      <c r="M290" s="8">
        <f t="shared" ref="M290" si="828">L290*C290</f>
        <v>2500</v>
      </c>
    </row>
    <row r="291" spans="1:13" ht="15.75" customHeight="1" x14ac:dyDescent="0.25">
      <c r="A291" s="24">
        <v>44144</v>
      </c>
      <c r="B291" s="29" t="s">
        <v>16</v>
      </c>
      <c r="C291" s="11">
        <v>100</v>
      </c>
      <c r="D291" s="11" t="s">
        <v>10</v>
      </c>
      <c r="E291" s="11">
        <v>2980</v>
      </c>
      <c r="F291" s="11">
        <v>3000</v>
      </c>
      <c r="G291" s="34">
        <v>3040</v>
      </c>
      <c r="H291" s="35">
        <v>0</v>
      </c>
      <c r="I291" s="8">
        <f t="shared" ref="I291" si="829">(IF(D291="SELL",E291-F291,IF(D291="BUY",F291-E291)))*C291</f>
        <v>2000</v>
      </c>
      <c r="J291" s="8">
        <f>C291*40</f>
        <v>4000</v>
      </c>
      <c r="K291" s="2">
        <v>0</v>
      </c>
      <c r="L291" s="8">
        <f t="shared" ref="L291" si="830">(J291+I291+K291)/C291</f>
        <v>60</v>
      </c>
      <c r="M291" s="8">
        <f t="shared" ref="M291" si="831">L291*C291</f>
        <v>6000</v>
      </c>
    </row>
    <row r="292" spans="1:13" ht="15.75" customHeight="1" x14ac:dyDescent="0.25">
      <c r="A292" s="24">
        <v>44144</v>
      </c>
      <c r="B292" s="29" t="s">
        <v>19</v>
      </c>
      <c r="C292" s="11">
        <v>100</v>
      </c>
      <c r="D292" s="11" t="s">
        <v>10</v>
      </c>
      <c r="E292" s="11">
        <v>52420</v>
      </c>
      <c r="F292" s="11">
        <v>52470</v>
      </c>
      <c r="G292" s="34">
        <v>0</v>
      </c>
      <c r="H292" s="35">
        <v>0</v>
      </c>
      <c r="I292" s="8">
        <f t="shared" ref="I292" si="832">(IF(D292="SELL",E292-F292,IF(D292="BUY",F292-E292)))*C292</f>
        <v>5000</v>
      </c>
      <c r="J292" s="8">
        <v>0</v>
      </c>
      <c r="K292" s="2">
        <v>0</v>
      </c>
      <c r="L292" s="8">
        <f t="shared" ref="L292" si="833">(J292+I292+K292)/C292</f>
        <v>50</v>
      </c>
      <c r="M292" s="8">
        <f t="shared" ref="M292" si="834">L292*C292</f>
        <v>5000</v>
      </c>
    </row>
    <row r="293" spans="1:13" ht="15.75" customHeight="1" x14ac:dyDescent="0.25">
      <c r="A293" s="24">
        <v>44144</v>
      </c>
      <c r="B293" s="29" t="s">
        <v>14</v>
      </c>
      <c r="C293" s="11">
        <v>30</v>
      </c>
      <c r="D293" s="11" t="s">
        <v>10</v>
      </c>
      <c r="E293" s="11">
        <v>66470</v>
      </c>
      <c r="F293" s="11">
        <v>66220</v>
      </c>
      <c r="G293" s="34">
        <v>0</v>
      </c>
      <c r="H293" s="35">
        <v>0</v>
      </c>
      <c r="I293" s="8">
        <f t="shared" ref="I293" si="835">(IF(D293="SELL",E293-F293,IF(D293="BUY",F293-E293)))*C293</f>
        <v>-7500</v>
      </c>
      <c r="J293" s="8">
        <v>0</v>
      </c>
      <c r="K293" s="2">
        <v>0</v>
      </c>
      <c r="L293" s="8">
        <f t="shared" ref="L293" si="836">(J293+I293+K293)/C293</f>
        <v>-250</v>
      </c>
      <c r="M293" s="8">
        <f t="shared" ref="M293" si="837">L293*C293</f>
        <v>-7500</v>
      </c>
    </row>
    <row r="294" spans="1:13" ht="15.75" customHeight="1" x14ac:dyDescent="0.25">
      <c r="A294" s="24">
        <v>44144</v>
      </c>
      <c r="B294" s="29" t="s">
        <v>17</v>
      </c>
      <c r="C294" s="11">
        <v>5000</v>
      </c>
      <c r="D294" s="11" t="s">
        <v>10</v>
      </c>
      <c r="E294" s="11">
        <v>211.5</v>
      </c>
      <c r="F294" s="11">
        <v>210.5</v>
      </c>
      <c r="G294" s="34">
        <v>0</v>
      </c>
      <c r="H294" s="35">
        <v>0</v>
      </c>
      <c r="I294" s="8">
        <f t="shared" ref="I294" si="838">(IF(D294="SELL",E294-F294,IF(D294="BUY",F294-E294)))*C294</f>
        <v>-5000</v>
      </c>
      <c r="J294" s="8">
        <v>0</v>
      </c>
      <c r="K294" s="2">
        <v>0</v>
      </c>
      <c r="L294" s="8">
        <f t="shared" ref="L294" si="839">(J294+I294+K294)/C294</f>
        <v>-1</v>
      </c>
      <c r="M294" s="8">
        <f t="shared" ref="M294" si="840">L294*C294</f>
        <v>-5000</v>
      </c>
    </row>
    <row r="295" spans="1:13" ht="15.75" customHeight="1" x14ac:dyDescent="0.25">
      <c r="A295" s="24">
        <v>44144</v>
      </c>
      <c r="B295" s="29" t="s">
        <v>75</v>
      </c>
      <c r="C295" s="11">
        <v>1250</v>
      </c>
      <c r="D295" s="11" t="s">
        <v>10</v>
      </c>
      <c r="E295" s="11">
        <v>212.5</v>
      </c>
      <c r="F295" s="11">
        <v>213.5</v>
      </c>
      <c r="G295" s="34">
        <v>216.5</v>
      </c>
      <c r="H295" s="35">
        <v>0</v>
      </c>
      <c r="I295" s="8">
        <f t="shared" ref="I295" si="841">(IF(D295="SELL",E295-F295,IF(D295="BUY",F295-E295)))*C295</f>
        <v>1250</v>
      </c>
      <c r="J295" s="8">
        <f>C295*3</f>
        <v>3750</v>
      </c>
      <c r="K295" s="2">
        <v>0</v>
      </c>
      <c r="L295" s="8">
        <f t="shared" ref="L295" si="842">(J295+I295+K295)/C295</f>
        <v>4</v>
      </c>
      <c r="M295" s="8">
        <f t="shared" ref="M295" si="843">L295*C295</f>
        <v>5000</v>
      </c>
    </row>
    <row r="296" spans="1:13" ht="15.75" customHeight="1" x14ac:dyDescent="0.25">
      <c r="A296" s="24">
        <v>44141</v>
      </c>
      <c r="B296" s="29" t="s">
        <v>75</v>
      </c>
      <c r="C296" s="11">
        <v>1250</v>
      </c>
      <c r="D296" s="11" t="s">
        <v>11</v>
      </c>
      <c r="E296" s="11">
        <v>216.5</v>
      </c>
      <c r="F296" s="11">
        <v>215.5</v>
      </c>
      <c r="G296" s="34">
        <v>212</v>
      </c>
      <c r="H296" s="35">
        <v>0</v>
      </c>
      <c r="I296" s="8">
        <f t="shared" ref="I296" si="844">(IF(D296="SELL",E296-F296,IF(D296="BUY",F296-E296)))*C296</f>
        <v>1250</v>
      </c>
      <c r="J296" s="8">
        <f>C296*3.5</f>
        <v>4375</v>
      </c>
      <c r="K296" s="2">
        <v>0</v>
      </c>
      <c r="L296" s="8">
        <f t="shared" ref="L296" si="845">(J296+I296+K296)/C296</f>
        <v>4.5</v>
      </c>
      <c r="M296" s="8">
        <f t="shared" ref="M296" si="846">L296*C296</f>
        <v>5625</v>
      </c>
    </row>
    <row r="297" spans="1:13" ht="15.75" customHeight="1" x14ac:dyDescent="0.25">
      <c r="A297" s="24">
        <v>44141</v>
      </c>
      <c r="B297" s="29" t="s">
        <v>14</v>
      </c>
      <c r="C297" s="11">
        <v>30</v>
      </c>
      <c r="D297" s="11" t="s">
        <v>10</v>
      </c>
      <c r="E297" s="11">
        <v>65210</v>
      </c>
      <c r="F297" s="11">
        <v>65310</v>
      </c>
      <c r="G297" s="34">
        <v>65610</v>
      </c>
      <c r="H297" s="35">
        <v>0</v>
      </c>
      <c r="I297" s="8">
        <f t="shared" ref="I297" si="847">(IF(D297="SELL",E297-F297,IF(D297="BUY",F297-E297)))*C297</f>
        <v>3000</v>
      </c>
      <c r="J297" s="8">
        <f>C297*300</f>
        <v>9000</v>
      </c>
      <c r="K297" s="2">
        <v>0</v>
      </c>
      <c r="L297" s="8">
        <f t="shared" ref="L297" si="848">(J297+I297+K297)/C297</f>
        <v>400</v>
      </c>
      <c r="M297" s="8">
        <f t="shared" ref="M297" si="849">L297*C297</f>
        <v>12000</v>
      </c>
    </row>
    <row r="298" spans="1:13" ht="15.75" customHeight="1" x14ac:dyDescent="0.25">
      <c r="A298" s="24">
        <v>44141</v>
      </c>
      <c r="B298" s="29" t="s">
        <v>14</v>
      </c>
      <c r="C298" s="11">
        <v>30</v>
      </c>
      <c r="D298" s="11" t="s">
        <v>10</v>
      </c>
      <c r="E298" s="11">
        <v>65270</v>
      </c>
      <c r="F298" s="11">
        <v>65370</v>
      </c>
      <c r="G298" s="34">
        <v>0</v>
      </c>
      <c r="H298" s="35">
        <v>0</v>
      </c>
      <c r="I298" s="8">
        <f t="shared" ref="I298" si="850">(IF(D298="SELL",E298-F298,IF(D298="BUY",F298-E298)))*C298</f>
        <v>3000</v>
      </c>
      <c r="J298" s="8">
        <v>0</v>
      </c>
      <c r="K298" s="2">
        <v>0</v>
      </c>
      <c r="L298" s="8">
        <f t="shared" ref="L298" si="851">(J298+I298+K298)/C298</f>
        <v>100</v>
      </c>
      <c r="M298" s="8">
        <f t="shared" ref="M298" si="852">L298*C298</f>
        <v>3000</v>
      </c>
    </row>
    <row r="299" spans="1:13" ht="15.75" customHeight="1" x14ac:dyDescent="0.25">
      <c r="A299" s="24">
        <v>44141</v>
      </c>
      <c r="B299" s="29" t="s">
        <v>18</v>
      </c>
      <c r="C299" s="11">
        <v>2500</v>
      </c>
      <c r="D299" s="11" t="s">
        <v>10</v>
      </c>
      <c r="E299" s="11">
        <v>535.5</v>
      </c>
      <c r="F299" s="11">
        <v>536.5</v>
      </c>
      <c r="G299" s="34">
        <v>0</v>
      </c>
      <c r="H299" s="35">
        <v>0</v>
      </c>
      <c r="I299" s="8">
        <f t="shared" ref="I299" si="853">(IF(D299="SELL",E299-F299,IF(D299="BUY",F299-E299)))*C299</f>
        <v>2500</v>
      </c>
      <c r="J299" s="8">
        <v>0</v>
      </c>
      <c r="K299" s="2">
        <v>0</v>
      </c>
      <c r="L299" s="8">
        <f t="shared" ref="L299" si="854">(J299+I299+K299)/C299</f>
        <v>1</v>
      </c>
      <c r="M299" s="8">
        <f t="shared" ref="M299" si="855">L299*C299</f>
        <v>2500</v>
      </c>
    </row>
    <row r="300" spans="1:13" ht="15.75" customHeight="1" x14ac:dyDescent="0.25">
      <c r="A300" s="24">
        <v>44141</v>
      </c>
      <c r="B300" s="29" t="s">
        <v>14</v>
      </c>
      <c r="C300" s="11">
        <v>30</v>
      </c>
      <c r="D300" s="11" t="s">
        <v>11</v>
      </c>
      <c r="E300" s="11">
        <v>64100</v>
      </c>
      <c r="F300" s="11">
        <v>64350</v>
      </c>
      <c r="G300" s="34">
        <v>0</v>
      </c>
      <c r="H300" s="35">
        <v>0</v>
      </c>
      <c r="I300" s="8">
        <f t="shared" ref="I300" si="856">(IF(D300="SELL",E300-F300,IF(D300="BUY",F300-E300)))*C300</f>
        <v>-7500</v>
      </c>
      <c r="J300" s="8">
        <v>0</v>
      </c>
      <c r="K300" s="2">
        <v>0</v>
      </c>
      <c r="L300" s="8">
        <f t="shared" ref="L300" si="857">(J300+I300+K300)/C300</f>
        <v>-250</v>
      </c>
      <c r="M300" s="8">
        <f t="shared" ref="M300" si="858">L300*C300</f>
        <v>-7500</v>
      </c>
    </row>
    <row r="301" spans="1:13" ht="15.75" customHeight="1" x14ac:dyDescent="0.25">
      <c r="A301" s="24">
        <v>44141</v>
      </c>
      <c r="B301" s="29" t="s">
        <v>19</v>
      </c>
      <c r="C301" s="11">
        <v>100</v>
      </c>
      <c r="D301" s="11" t="s">
        <v>10</v>
      </c>
      <c r="E301" s="11">
        <v>52270</v>
      </c>
      <c r="F301" s="11">
        <v>52320</v>
      </c>
      <c r="G301" s="34">
        <v>52420</v>
      </c>
      <c r="H301" s="35">
        <v>0</v>
      </c>
      <c r="I301" s="8">
        <f t="shared" ref="I301" si="859">(IF(D301="SELL",E301-F301,IF(D301="BUY",F301-E301)))*C301</f>
        <v>5000</v>
      </c>
      <c r="J301" s="8">
        <f>C301*100</f>
        <v>10000</v>
      </c>
      <c r="K301" s="2">
        <v>0</v>
      </c>
      <c r="L301" s="8">
        <f t="shared" ref="L301" si="860">(J301+I301+K301)/C301</f>
        <v>150</v>
      </c>
      <c r="M301" s="8">
        <f t="shared" ref="M301" si="861">L301*C301</f>
        <v>15000</v>
      </c>
    </row>
    <row r="302" spans="1:13" ht="15.75" customHeight="1" x14ac:dyDescent="0.25">
      <c r="A302" s="24">
        <v>44141</v>
      </c>
      <c r="B302" s="29" t="s">
        <v>16</v>
      </c>
      <c r="C302" s="11">
        <v>100</v>
      </c>
      <c r="D302" s="11" t="s">
        <v>11</v>
      </c>
      <c r="E302" s="11">
        <v>2805</v>
      </c>
      <c r="F302" s="11">
        <v>2785</v>
      </c>
      <c r="G302" s="34">
        <v>2750</v>
      </c>
      <c r="H302" s="35">
        <v>0</v>
      </c>
      <c r="I302" s="8">
        <f t="shared" ref="I302" si="862">(IF(D302="SELL",E302-F302,IF(D302="BUY",F302-E302)))*C302</f>
        <v>2000</v>
      </c>
      <c r="J302" s="8">
        <f>C302*35</f>
        <v>3500</v>
      </c>
      <c r="K302" s="2">
        <v>0</v>
      </c>
      <c r="L302" s="8">
        <f t="shared" ref="L302" si="863">(J302+I302+K302)/C302</f>
        <v>55</v>
      </c>
      <c r="M302" s="8">
        <f t="shared" ref="M302" si="864">L302*C302</f>
        <v>5500</v>
      </c>
    </row>
    <row r="303" spans="1:13" ht="15.75" customHeight="1" x14ac:dyDescent="0.25">
      <c r="A303" s="24">
        <v>44141</v>
      </c>
      <c r="B303" s="29" t="s">
        <v>17</v>
      </c>
      <c r="C303" s="11">
        <v>5000</v>
      </c>
      <c r="D303" s="11" t="s">
        <v>10</v>
      </c>
      <c r="E303" s="11">
        <v>207.7</v>
      </c>
      <c r="F303" s="11">
        <v>208.2</v>
      </c>
      <c r="G303" s="34">
        <v>0</v>
      </c>
      <c r="H303" s="35">
        <v>0</v>
      </c>
      <c r="I303" s="8">
        <f t="shared" ref="I303" si="865">(IF(D303="SELL",E303-F303,IF(D303="BUY",F303-E303)))*C303</f>
        <v>2500</v>
      </c>
      <c r="J303" s="8">
        <v>0</v>
      </c>
      <c r="K303" s="2">
        <v>0</v>
      </c>
      <c r="L303" s="8">
        <f t="shared" ref="L303" si="866">(J303+I303+K303)/C303</f>
        <v>0.5</v>
      </c>
      <c r="M303" s="8">
        <f t="shared" ref="M303" si="867">L303*C303</f>
        <v>2500</v>
      </c>
    </row>
    <row r="304" spans="1:13" ht="15.75" customHeight="1" x14ac:dyDescent="0.25">
      <c r="A304" s="24">
        <v>44141</v>
      </c>
      <c r="B304" s="29" t="s">
        <v>75</v>
      </c>
      <c r="C304" s="11">
        <v>1250</v>
      </c>
      <c r="D304" s="11" t="s">
        <v>10</v>
      </c>
      <c r="E304" s="11">
        <v>219</v>
      </c>
      <c r="F304" s="11">
        <v>220</v>
      </c>
      <c r="G304" s="34">
        <v>0</v>
      </c>
      <c r="H304" s="35">
        <v>0</v>
      </c>
      <c r="I304" s="8">
        <f t="shared" ref="I304" si="868">(IF(D304="SELL",E304-F304,IF(D304="BUY",F304-E304)))*C304</f>
        <v>1250</v>
      </c>
      <c r="J304" s="8">
        <v>0</v>
      </c>
      <c r="K304" s="2">
        <v>0</v>
      </c>
      <c r="L304" s="8">
        <f t="shared" ref="L304" si="869">(J304+I304+K304)/C304</f>
        <v>1</v>
      </c>
      <c r="M304" s="8">
        <f t="shared" ref="M304" si="870">L304*C304</f>
        <v>1250</v>
      </c>
    </row>
    <row r="305" spans="1:13" ht="15.75" customHeight="1" x14ac:dyDescent="0.25">
      <c r="A305" s="24">
        <v>44140</v>
      </c>
      <c r="B305" s="29" t="s">
        <v>75</v>
      </c>
      <c r="C305" s="11">
        <v>1250</v>
      </c>
      <c r="D305" s="11" t="s">
        <v>11</v>
      </c>
      <c r="E305" s="11">
        <v>226.7</v>
      </c>
      <c r="F305" s="11">
        <v>225.7</v>
      </c>
      <c r="G305" s="34">
        <v>221</v>
      </c>
      <c r="H305" s="35">
        <v>0</v>
      </c>
      <c r="I305" s="8">
        <f t="shared" ref="I305" si="871">(IF(D305="SELL",E305-F305,IF(D305="BUY",F305-E305)))*C305</f>
        <v>1250</v>
      </c>
      <c r="J305" s="8">
        <f>C305*4.7</f>
        <v>5875</v>
      </c>
      <c r="K305" s="2">
        <v>0</v>
      </c>
      <c r="L305" s="8">
        <f t="shared" ref="L305" si="872">(J305+I305+K305)/C305</f>
        <v>5.7</v>
      </c>
      <c r="M305" s="8">
        <f t="shared" ref="M305" si="873">L305*C305</f>
        <v>7125</v>
      </c>
    </row>
    <row r="306" spans="1:13" ht="15.75" customHeight="1" x14ac:dyDescent="0.25">
      <c r="A306" s="24">
        <v>44140</v>
      </c>
      <c r="B306" s="29" t="s">
        <v>17</v>
      </c>
      <c r="C306" s="11">
        <v>5000</v>
      </c>
      <c r="D306" s="11" t="s">
        <v>10</v>
      </c>
      <c r="E306" s="11">
        <v>206.2</v>
      </c>
      <c r="F306" s="11">
        <v>206.4</v>
      </c>
      <c r="G306" s="34">
        <v>0</v>
      </c>
      <c r="H306" s="35">
        <v>0</v>
      </c>
      <c r="I306" s="8">
        <f t="shared" ref="I306" si="874">(IF(D306="SELL",E306-F306,IF(D306="BUY",F306-E306)))*C306</f>
        <v>1000.0000000000853</v>
      </c>
      <c r="J306" s="8">
        <v>0</v>
      </c>
      <c r="K306" s="2">
        <v>0</v>
      </c>
      <c r="L306" s="8">
        <f t="shared" ref="L306" si="875">(J306+I306+K306)/C306</f>
        <v>0.20000000000001705</v>
      </c>
      <c r="M306" s="8">
        <f t="shared" ref="M306" si="876">L306*C306</f>
        <v>1000.0000000000853</v>
      </c>
    </row>
    <row r="307" spans="1:13" ht="15.75" customHeight="1" x14ac:dyDescent="0.25">
      <c r="A307" s="24">
        <v>44140</v>
      </c>
      <c r="B307" s="29" t="s">
        <v>14</v>
      </c>
      <c r="C307" s="11">
        <v>30</v>
      </c>
      <c r="D307" s="11" t="s">
        <v>10</v>
      </c>
      <c r="E307" s="11">
        <v>63250</v>
      </c>
      <c r="F307" s="11">
        <v>63350</v>
      </c>
      <c r="G307" s="34">
        <v>63650</v>
      </c>
      <c r="H307" s="35">
        <v>0</v>
      </c>
      <c r="I307" s="8">
        <f t="shared" ref="I307" si="877">(IF(D307="SELL",E307-F307,IF(D307="BUY",F307-E307)))*C307</f>
        <v>3000</v>
      </c>
      <c r="J307" s="8">
        <f>C307*300</f>
        <v>9000</v>
      </c>
      <c r="K307" s="2">
        <v>0</v>
      </c>
      <c r="L307" s="8">
        <f t="shared" ref="L307" si="878">(J307+I307+K307)/C307</f>
        <v>400</v>
      </c>
      <c r="M307" s="8">
        <f t="shared" ref="M307" si="879">L307*C307</f>
        <v>12000</v>
      </c>
    </row>
    <row r="308" spans="1:13" ht="15.75" customHeight="1" x14ac:dyDescent="0.25">
      <c r="A308" s="24">
        <v>44140</v>
      </c>
      <c r="B308" s="29" t="s">
        <v>18</v>
      </c>
      <c r="C308" s="11">
        <v>2500</v>
      </c>
      <c r="D308" s="11" t="s">
        <v>10</v>
      </c>
      <c r="E308" s="11">
        <v>526.79999999999995</v>
      </c>
      <c r="F308" s="11">
        <v>528</v>
      </c>
      <c r="G308" s="34">
        <v>0</v>
      </c>
      <c r="H308" s="35">
        <v>0</v>
      </c>
      <c r="I308" s="8">
        <f t="shared" ref="I308" si="880">(IF(D308="SELL",E308-F308,IF(D308="BUY",F308-E308)))*C308</f>
        <v>3000.0000000001137</v>
      </c>
      <c r="J308" s="8">
        <v>0</v>
      </c>
      <c r="K308" s="2">
        <v>0</v>
      </c>
      <c r="L308" s="8">
        <f t="shared" ref="L308" si="881">(J308+I308+K308)/C308</f>
        <v>1.2000000000000455</v>
      </c>
      <c r="M308" s="8">
        <f t="shared" ref="M308" si="882">L308*C308</f>
        <v>3000.0000000001137</v>
      </c>
    </row>
    <row r="309" spans="1:13" ht="15.75" customHeight="1" x14ac:dyDescent="0.25">
      <c r="A309" s="24">
        <v>44140</v>
      </c>
      <c r="B309" s="29" t="s">
        <v>19</v>
      </c>
      <c r="C309" s="11">
        <v>100</v>
      </c>
      <c r="D309" s="11" t="s">
        <v>10</v>
      </c>
      <c r="E309" s="11">
        <v>51460</v>
      </c>
      <c r="F309" s="11">
        <v>51510</v>
      </c>
      <c r="G309" s="34">
        <v>51610</v>
      </c>
      <c r="H309" s="35">
        <v>0</v>
      </c>
      <c r="I309" s="8">
        <f t="shared" ref="I309" si="883">(IF(D309="SELL",E309-F309,IF(D309="BUY",F309-E309)))*C309</f>
        <v>5000</v>
      </c>
      <c r="J309" s="8">
        <f>C309*100</f>
        <v>10000</v>
      </c>
      <c r="K309" s="2">
        <v>0</v>
      </c>
      <c r="L309" s="8">
        <f t="shared" ref="L309" si="884">(J309+I309+K309)/C309</f>
        <v>150</v>
      </c>
      <c r="M309" s="8">
        <f t="shared" ref="M309" si="885">L309*C309</f>
        <v>15000</v>
      </c>
    </row>
    <row r="310" spans="1:13" ht="15.75" customHeight="1" x14ac:dyDescent="0.25">
      <c r="A310" s="24">
        <v>44140</v>
      </c>
      <c r="B310" s="29" t="s">
        <v>16</v>
      </c>
      <c r="C310" s="11">
        <v>100</v>
      </c>
      <c r="D310" s="11" t="s">
        <v>10</v>
      </c>
      <c r="E310" s="11">
        <v>2895</v>
      </c>
      <c r="F310" s="11">
        <v>2855</v>
      </c>
      <c r="G310" s="34">
        <v>0</v>
      </c>
      <c r="H310" s="35">
        <v>0</v>
      </c>
      <c r="I310" s="8">
        <f t="shared" ref="I310" si="886">(IF(D310="SELL",E310-F310,IF(D310="BUY",F310-E310)))*C310</f>
        <v>-4000</v>
      </c>
      <c r="J310" s="8">
        <v>0</v>
      </c>
      <c r="K310" s="2">
        <v>0</v>
      </c>
      <c r="L310" s="8">
        <f t="shared" ref="L310" si="887">(J310+I310+K310)/C310</f>
        <v>-40</v>
      </c>
      <c r="M310" s="8">
        <f t="shared" ref="M310" si="888">L310*C310</f>
        <v>-4000</v>
      </c>
    </row>
    <row r="311" spans="1:13" ht="15.75" customHeight="1" x14ac:dyDescent="0.25">
      <c r="A311" s="24">
        <v>44140</v>
      </c>
      <c r="B311" s="29" t="s">
        <v>14</v>
      </c>
      <c r="C311" s="11">
        <v>30</v>
      </c>
      <c r="D311" s="11" t="s">
        <v>10</v>
      </c>
      <c r="E311" s="11">
        <v>62800</v>
      </c>
      <c r="F311" s="11">
        <v>62900</v>
      </c>
      <c r="G311" s="34">
        <v>63200</v>
      </c>
      <c r="H311" s="35">
        <v>0</v>
      </c>
      <c r="I311" s="8">
        <f t="shared" ref="I311" si="889">(IF(D311="SELL",E311-F311,IF(D311="BUY",F311-E311)))*C311</f>
        <v>3000</v>
      </c>
      <c r="J311" s="8">
        <f>C311*300</f>
        <v>9000</v>
      </c>
      <c r="K311" s="2">
        <v>0</v>
      </c>
      <c r="L311" s="8">
        <f t="shared" ref="L311" si="890">(J311+I311+K311)/C311</f>
        <v>400</v>
      </c>
      <c r="M311" s="8">
        <f t="shared" ref="M311" si="891">L311*C311</f>
        <v>12000</v>
      </c>
    </row>
    <row r="312" spans="1:13" ht="15.75" customHeight="1" x14ac:dyDescent="0.25">
      <c r="A312" s="24">
        <v>44140</v>
      </c>
      <c r="B312" s="29" t="s">
        <v>75</v>
      </c>
      <c r="C312" s="11">
        <v>1250</v>
      </c>
      <c r="D312" s="11" t="s">
        <v>11</v>
      </c>
      <c r="E312" s="11">
        <v>226</v>
      </c>
      <c r="F312" s="11">
        <v>229</v>
      </c>
      <c r="G312" s="34">
        <v>0</v>
      </c>
      <c r="H312" s="35">
        <v>0</v>
      </c>
      <c r="I312" s="8">
        <f t="shared" ref="I312" si="892">(IF(D312="SELL",E312-F312,IF(D312="BUY",F312-E312)))*C312</f>
        <v>-3750</v>
      </c>
      <c r="J312" s="8">
        <v>0</v>
      </c>
      <c r="K312" s="2">
        <v>0</v>
      </c>
      <c r="L312" s="8">
        <f t="shared" ref="L312" si="893">(J312+I312+K312)/C312</f>
        <v>-3</v>
      </c>
      <c r="M312" s="8">
        <f t="shared" ref="M312" si="894">L312*C312</f>
        <v>-3750</v>
      </c>
    </row>
    <row r="313" spans="1:13" ht="15.75" customHeight="1" x14ac:dyDescent="0.25">
      <c r="A313" s="24">
        <v>44139</v>
      </c>
      <c r="B313" s="29" t="s">
        <v>19</v>
      </c>
      <c r="C313" s="11">
        <v>100</v>
      </c>
      <c r="D313" s="11" t="s">
        <v>10</v>
      </c>
      <c r="E313" s="11">
        <v>51410</v>
      </c>
      <c r="F313" s="11">
        <v>51280</v>
      </c>
      <c r="G313" s="34">
        <v>0</v>
      </c>
      <c r="H313" s="35">
        <v>0</v>
      </c>
      <c r="I313" s="8">
        <f t="shared" ref="I313" si="895">(IF(D313="SELL",E313-F313,IF(D313="BUY",F313-E313)))*C313</f>
        <v>-13000</v>
      </c>
      <c r="J313" s="8">
        <v>0</v>
      </c>
      <c r="K313" s="2">
        <v>0</v>
      </c>
      <c r="L313" s="8">
        <f t="shared" ref="L313" si="896">(J313+I313+K313)/C313</f>
        <v>-130</v>
      </c>
      <c r="M313" s="8">
        <f t="shared" ref="M313" si="897">L313*C313</f>
        <v>-13000</v>
      </c>
    </row>
    <row r="314" spans="1:13" ht="15.75" customHeight="1" x14ac:dyDescent="0.25">
      <c r="A314" s="24">
        <v>44139</v>
      </c>
      <c r="B314" s="29" t="s">
        <v>18</v>
      </c>
      <c r="C314" s="11">
        <v>2500</v>
      </c>
      <c r="D314" s="11" t="s">
        <v>10</v>
      </c>
      <c r="E314" s="11">
        <v>525.5</v>
      </c>
      <c r="F314" s="11">
        <v>526.5</v>
      </c>
      <c r="G314" s="34">
        <v>530.5</v>
      </c>
      <c r="H314" s="35">
        <v>0</v>
      </c>
      <c r="I314" s="8">
        <f t="shared" ref="I314" si="898">(IF(D314="SELL",E314-F314,IF(D314="BUY",F314-E314)))*C314</f>
        <v>2500</v>
      </c>
      <c r="J314" s="8">
        <f>C314*4</f>
        <v>10000</v>
      </c>
      <c r="K314" s="2">
        <v>0</v>
      </c>
      <c r="L314" s="8">
        <f t="shared" ref="L314" si="899">(J314+I314+K314)/C314</f>
        <v>5</v>
      </c>
      <c r="M314" s="8">
        <f t="shared" ref="M314" si="900">L314*C314</f>
        <v>12500</v>
      </c>
    </row>
    <row r="315" spans="1:13" ht="15.75" customHeight="1" x14ac:dyDescent="0.25">
      <c r="A315" s="24">
        <v>44139</v>
      </c>
      <c r="B315" s="29" t="s">
        <v>17</v>
      </c>
      <c r="C315" s="11">
        <v>5000</v>
      </c>
      <c r="D315" s="11" t="s">
        <v>10</v>
      </c>
      <c r="E315" s="11">
        <v>203.3</v>
      </c>
      <c r="F315" s="11">
        <v>203.9</v>
      </c>
      <c r="G315" s="34">
        <v>205</v>
      </c>
      <c r="H315" s="35">
        <v>0</v>
      </c>
      <c r="I315" s="8">
        <f t="shared" ref="I315" si="901">(IF(D315="SELL",E315-F315,IF(D315="BUY",F315-E315)))*C315</f>
        <v>2999.9999999999718</v>
      </c>
      <c r="J315" s="8">
        <f>C315*1.1</f>
        <v>5500</v>
      </c>
      <c r="K315" s="2">
        <v>0</v>
      </c>
      <c r="L315" s="8">
        <f t="shared" ref="L315" si="902">(J315+I315+K315)/C315</f>
        <v>1.6999999999999942</v>
      </c>
      <c r="M315" s="8">
        <f t="shared" ref="M315" si="903">L315*C315</f>
        <v>8499.9999999999709</v>
      </c>
    </row>
    <row r="316" spans="1:13" ht="15.75" customHeight="1" x14ac:dyDescent="0.25">
      <c r="A316" s="24">
        <v>44139</v>
      </c>
      <c r="B316" s="29" t="s">
        <v>77</v>
      </c>
      <c r="C316" s="11">
        <v>30</v>
      </c>
      <c r="D316" s="11" t="s">
        <v>10</v>
      </c>
      <c r="E316" s="11">
        <v>61600</v>
      </c>
      <c r="F316" s="11">
        <v>61750</v>
      </c>
      <c r="G316" s="34">
        <v>62250</v>
      </c>
      <c r="H316" s="35">
        <v>0</v>
      </c>
      <c r="I316" s="8">
        <f t="shared" ref="I316" si="904">(IF(D316="SELL",E316-F316,IF(D316="BUY",F316-E316)))*C316</f>
        <v>4500</v>
      </c>
      <c r="J316" s="8">
        <f>C316*500</f>
        <v>15000</v>
      </c>
      <c r="K316" s="2">
        <v>0</v>
      </c>
      <c r="L316" s="8">
        <f t="shared" ref="L316" si="905">(J316+I316+K316)/C316</f>
        <v>650</v>
      </c>
      <c r="M316" s="8">
        <f t="shared" ref="M316" si="906">L316*C316</f>
        <v>19500</v>
      </c>
    </row>
    <row r="317" spans="1:13" ht="15.75" customHeight="1" x14ac:dyDescent="0.25">
      <c r="A317" s="24">
        <v>44139</v>
      </c>
      <c r="B317" s="29" t="s">
        <v>19</v>
      </c>
      <c r="C317" s="11">
        <v>100</v>
      </c>
      <c r="D317" s="11" t="s">
        <v>10</v>
      </c>
      <c r="E317" s="11">
        <v>51090</v>
      </c>
      <c r="F317" s="11">
        <v>51140</v>
      </c>
      <c r="G317" s="34">
        <v>51250</v>
      </c>
      <c r="H317" s="35">
        <v>0</v>
      </c>
      <c r="I317" s="8">
        <f t="shared" ref="I317" si="907">(IF(D317="SELL",E317-F317,IF(D317="BUY",F317-E317)))*C317</f>
        <v>5000</v>
      </c>
      <c r="J317" s="8">
        <f>C317*110</f>
        <v>11000</v>
      </c>
      <c r="K317" s="2">
        <v>0</v>
      </c>
      <c r="L317" s="8">
        <f t="shared" ref="L317" si="908">(J317+I317+K317)/C317</f>
        <v>160</v>
      </c>
      <c r="M317" s="8">
        <f t="shared" ref="M317" si="909">L317*C317</f>
        <v>16000</v>
      </c>
    </row>
    <row r="318" spans="1:13" ht="15.75" customHeight="1" x14ac:dyDescent="0.25">
      <c r="A318" s="24">
        <v>44139</v>
      </c>
      <c r="B318" s="29" t="s">
        <v>16</v>
      </c>
      <c r="C318" s="11">
        <v>100</v>
      </c>
      <c r="D318" s="11" t="s">
        <v>10</v>
      </c>
      <c r="E318" s="11">
        <v>2890</v>
      </c>
      <c r="F318" s="11">
        <v>2910</v>
      </c>
      <c r="G318" s="34">
        <v>2960</v>
      </c>
      <c r="H318" s="35">
        <v>0</v>
      </c>
      <c r="I318" s="8">
        <f t="shared" ref="I318" si="910">(IF(D318="SELL",E318-F318,IF(D318="BUY",F318-E318)))*C318</f>
        <v>2000</v>
      </c>
      <c r="J318" s="8">
        <f>C318*50</f>
        <v>5000</v>
      </c>
      <c r="K318" s="2">
        <v>0</v>
      </c>
      <c r="L318" s="8">
        <f t="shared" ref="L318" si="911">(J318+I318+K318)/C318</f>
        <v>70</v>
      </c>
      <c r="M318" s="8">
        <f t="shared" ref="M318" si="912">L318*C318</f>
        <v>7000</v>
      </c>
    </row>
    <row r="319" spans="1:13" ht="15.75" customHeight="1" x14ac:dyDescent="0.25">
      <c r="A319" s="24">
        <v>44139</v>
      </c>
      <c r="B319" s="29" t="s">
        <v>14</v>
      </c>
      <c r="C319" s="11">
        <v>30</v>
      </c>
      <c r="D319" s="11" t="s">
        <v>10</v>
      </c>
      <c r="E319" s="11">
        <v>61500</v>
      </c>
      <c r="F319" s="11">
        <v>61170</v>
      </c>
      <c r="G319" s="34">
        <v>0</v>
      </c>
      <c r="H319" s="35">
        <v>0</v>
      </c>
      <c r="I319" s="8">
        <f t="shared" ref="I319" si="913">(IF(D319="SELL",E319-F319,IF(D319="BUY",F319-E319)))*C319</f>
        <v>-9900</v>
      </c>
      <c r="J319" s="8">
        <v>0</v>
      </c>
      <c r="K319" s="2">
        <v>0</v>
      </c>
      <c r="L319" s="8">
        <f t="shared" ref="L319" si="914">(J319+I319+K319)/C319</f>
        <v>-330</v>
      </c>
      <c r="M319" s="8">
        <f t="shared" ref="M319" si="915">L319*C319</f>
        <v>-9900</v>
      </c>
    </row>
    <row r="320" spans="1:13" ht="15.75" customHeight="1" x14ac:dyDescent="0.25">
      <c r="A320" s="24">
        <v>44139</v>
      </c>
      <c r="B320" s="29" t="s">
        <v>75</v>
      </c>
      <c r="C320" s="11">
        <v>1250</v>
      </c>
      <c r="D320" s="11" t="s">
        <v>10</v>
      </c>
      <c r="E320" s="11">
        <v>51170</v>
      </c>
      <c r="F320" s="11">
        <v>51220</v>
      </c>
      <c r="G320" s="34">
        <v>51270</v>
      </c>
      <c r="H320" s="35">
        <v>0</v>
      </c>
      <c r="I320" s="8">
        <f t="shared" ref="I320" si="916">(IF(D320="SELL",E320-F320,IF(D320="BUY",F320-E320)))*C320</f>
        <v>62500</v>
      </c>
      <c r="J320" s="8">
        <f>C320*50</f>
        <v>62500</v>
      </c>
      <c r="K320" s="2">
        <v>0</v>
      </c>
      <c r="L320" s="8">
        <f t="shared" ref="L320" si="917">(J320+I320+K320)/C320</f>
        <v>100</v>
      </c>
      <c r="M320" s="8">
        <f t="shared" ref="M320" si="918">L320*C320</f>
        <v>125000</v>
      </c>
    </row>
    <row r="321" spans="1:13" ht="15.75" customHeight="1" x14ac:dyDescent="0.25">
      <c r="A321" s="24">
        <v>44138</v>
      </c>
      <c r="B321" s="29" t="s">
        <v>19</v>
      </c>
      <c r="C321" s="11">
        <v>100</v>
      </c>
      <c r="D321" s="11" t="s">
        <v>10</v>
      </c>
      <c r="E321" s="11">
        <v>51170</v>
      </c>
      <c r="F321" s="11">
        <v>51220</v>
      </c>
      <c r="G321" s="34">
        <v>51270</v>
      </c>
      <c r="H321" s="35">
        <v>0</v>
      </c>
      <c r="I321" s="8">
        <f t="shared" ref="I321" si="919">(IF(D321="SELL",E321-F321,IF(D321="BUY",F321-E321)))*C321</f>
        <v>5000</v>
      </c>
      <c r="J321" s="8">
        <f>C321*50</f>
        <v>5000</v>
      </c>
      <c r="K321" s="2">
        <v>0</v>
      </c>
      <c r="L321" s="8">
        <f t="shared" ref="L321" si="920">(J321+I321+K321)/C321</f>
        <v>100</v>
      </c>
      <c r="M321" s="8">
        <f t="shared" ref="M321" si="921">L321*C321</f>
        <v>10000</v>
      </c>
    </row>
    <row r="322" spans="1:13" ht="15.75" customHeight="1" x14ac:dyDescent="0.25">
      <c r="A322" s="24">
        <v>44138</v>
      </c>
      <c r="B322" s="29" t="s">
        <v>77</v>
      </c>
      <c r="C322" s="11">
        <v>30</v>
      </c>
      <c r="D322" s="11" t="s">
        <v>10</v>
      </c>
      <c r="E322" s="11">
        <v>62530</v>
      </c>
      <c r="F322" s="11">
        <v>62650</v>
      </c>
      <c r="G322" s="34">
        <v>0</v>
      </c>
      <c r="H322" s="35">
        <v>0</v>
      </c>
      <c r="I322" s="8">
        <f t="shared" ref="I322" si="922">(IF(D322="SELL",E322-F322,IF(D322="BUY",F322-E322)))*C322</f>
        <v>3600</v>
      </c>
      <c r="J322" s="8">
        <v>0</v>
      </c>
      <c r="K322" s="2">
        <v>0</v>
      </c>
      <c r="L322" s="8">
        <f t="shared" ref="L322" si="923">(J322+I322+K322)/C322</f>
        <v>120</v>
      </c>
      <c r="M322" s="8">
        <f t="shared" ref="M322" si="924">L322*C322</f>
        <v>3600</v>
      </c>
    </row>
    <row r="323" spans="1:13" ht="15.75" customHeight="1" x14ac:dyDescent="0.25">
      <c r="A323" s="24">
        <v>44138</v>
      </c>
      <c r="B323" s="29" t="s">
        <v>16</v>
      </c>
      <c r="C323" s="11">
        <v>100</v>
      </c>
      <c r="D323" s="11" t="s">
        <v>10</v>
      </c>
      <c r="E323" s="11">
        <v>2825</v>
      </c>
      <c r="F323" s="11">
        <v>2845</v>
      </c>
      <c r="G323" s="34">
        <v>0</v>
      </c>
      <c r="H323" s="35">
        <v>0</v>
      </c>
      <c r="I323" s="8">
        <f t="shared" ref="I323" si="925">(IF(D323="SELL",E323-F323,IF(D323="BUY",F323-E323)))*C323</f>
        <v>2000</v>
      </c>
      <c r="J323" s="8">
        <v>0</v>
      </c>
      <c r="K323" s="2">
        <v>0</v>
      </c>
      <c r="L323" s="8">
        <f t="shared" ref="L323" si="926">(J323+I323+K323)/C323</f>
        <v>20</v>
      </c>
      <c r="M323" s="8">
        <f t="shared" ref="M323" si="927">L323*C323</f>
        <v>2000</v>
      </c>
    </row>
    <row r="324" spans="1:13" ht="15.75" customHeight="1" x14ac:dyDescent="0.25">
      <c r="A324" s="24">
        <v>44138</v>
      </c>
      <c r="B324" s="29" t="s">
        <v>14</v>
      </c>
      <c r="C324" s="11">
        <v>30</v>
      </c>
      <c r="D324" s="11" t="s">
        <v>10</v>
      </c>
      <c r="E324" s="11">
        <v>62300</v>
      </c>
      <c r="F324" s="11">
        <v>62400</v>
      </c>
      <c r="G324" s="34">
        <v>62600</v>
      </c>
      <c r="H324" s="35">
        <v>0</v>
      </c>
      <c r="I324" s="8">
        <f t="shared" ref="I324" si="928">(IF(D324="SELL",E324-F324,IF(D324="BUY",F324-E324)))*C324</f>
        <v>3000</v>
      </c>
      <c r="J324" s="8">
        <f>C324*200</f>
        <v>6000</v>
      </c>
      <c r="K324" s="2">
        <v>0</v>
      </c>
      <c r="L324" s="8">
        <f t="shared" ref="L324" si="929">(J324+I324+K324)/C324</f>
        <v>300</v>
      </c>
      <c r="M324" s="8">
        <f t="shared" ref="M324" si="930">L324*C324</f>
        <v>9000</v>
      </c>
    </row>
    <row r="325" spans="1:13" ht="15.75" customHeight="1" x14ac:dyDescent="0.25">
      <c r="A325" s="24">
        <v>44138</v>
      </c>
      <c r="B325" s="29" t="s">
        <v>18</v>
      </c>
      <c r="C325" s="11">
        <v>2500</v>
      </c>
      <c r="D325" s="11" t="s">
        <v>10</v>
      </c>
      <c r="E325" s="11">
        <v>529</v>
      </c>
      <c r="F325" s="11">
        <v>530</v>
      </c>
      <c r="G325" s="34">
        <v>0</v>
      </c>
      <c r="H325" s="35">
        <v>0</v>
      </c>
      <c r="I325" s="8">
        <f t="shared" ref="I325" si="931">(IF(D325="SELL",E325-F325,IF(D325="BUY",F325-E325)))*C325</f>
        <v>2500</v>
      </c>
      <c r="J325" s="8">
        <v>0</v>
      </c>
      <c r="K325" s="2">
        <v>0</v>
      </c>
      <c r="L325" s="8">
        <f t="shared" ref="L325" si="932">(J325+I325+K325)/C325</f>
        <v>1</v>
      </c>
      <c r="M325" s="8">
        <f t="shared" ref="M325" si="933">L325*C325</f>
        <v>2500</v>
      </c>
    </row>
    <row r="326" spans="1:13" ht="15.75" customHeight="1" x14ac:dyDescent="0.25">
      <c r="A326" s="24">
        <v>44138</v>
      </c>
      <c r="B326" s="29" t="s">
        <v>75</v>
      </c>
      <c r="C326" s="11">
        <v>1250</v>
      </c>
      <c r="D326" s="11" t="s">
        <v>11</v>
      </c>
      <c r="E326" s="11">
        <v>235.5</v>
      </c>
      <c r="F326" s="11">
        <v>234</v>
      </c>
      <c r="G326" s="34">
        <v>229</v>
      </c>
      <c r="H326" s="35">
        <v>0</v>
      </c>
      <c r="I326" s="8">
        <f t="shared" ref="I326" si="934">(IF(D326="SELL",E326-F326,IF(D326="BUY",F326-E326)))*C326</f>
        <v>1875</v>
      </c>
      <c r="J326" s="8">
        <f>C326*5</f>
        <v>6250</v>
      </c>
      <c r="K326" s="2">
        <v>0</v>
      </c>
      <c r="L326" s="8">
        <f t="shared" ref="L326" si="935">(J326+I326+K326)/C326</f>
        <v>6.5</v>
      </c>
      <c r="M326" s="8">
        <f t="shared" ref="M326" si="936">L326*C326</f>
        <v>8125</v>
      </c>
    </row>
    <row r="327" spans="1:13" ht="15.75" customHeight="1" x14ac:dyDescent="0.25">
      <c r="A327" s="24">
        <v>44138</v>
      </c>
      <c r="B327" s="29" t="s">
        <v>17</v>
      </c>
      <c r="C327" s="11">
        <v>5000</v>
      </c>
      <c r="D327" s="11" t="s">
        <v>10</v>
      </c>
      <c r="E327" s="11">
        <v>203.7</v>
      </c>
      <c r="F327" s="11">
        <v>204.2</v>
      </c>
      <c r="G327" s="34">
        <v>205</v>
      </c>
      <c r="H327" s="35">
        <v>0</v>
      </c>
      <c r="I327" s="8">
        <f t="shared" ref="I327" si="937">(IF(D327="SELL",E327-F327,IF(D327="BUY",F327-E327)))*C327</f>
        <v>2500</v>
      </c>
      <c r="J327" s="8">
        <f>C327*0.8</f>
        <v>4000</v>
      </c>
      <c r="K327" s="2">
        <v>0</v>
      </c>
      <c r="L327" s="8">
        <f t="shared" ref="L327" si="938">(J327+I327+K327)/C327</f>
        <v>1.3</v>
      </c>
      <c r="M327" s="8">
        <f t="shared" ref="M327" si="939">L327*C327</f>
        <v>6500</v>
      </c>
    </row>
    <row r="328" spans="1:13" ht="15.75" customHeight="1" x14ac:dyDescent="0.25">
      <c r="A328" s="24">
        <v>44138</v>
      </c>
      <c r="B328" s="29" t="s">
        <v>19</v>
      </c>
      <c r="C328" s="11">
        <v>100</v>
      </c>
      <c r="D328" s="11" t="s">
        <v>11</v>
      </c>
      <c r="E328" s="11">
        <v>50850</v>
      </c>
      <c r="F328" s="11">
        <v>50800</v>
      </c>
      <c r="G328" s="34">
        <v>0</v>
      </c>
      <c r="H328" s="35">
        <v>0</v>
      </c>
      <c r="I328" s="8">
        <f t="shared" ref="I328" si="940">(IF(D328="SELL",E328-F328,IF(D328="BUY",F328-E328)))*C328</f>
        <v>5000</v>
      </c>
      <c r="J328" s="8">
        <v>0</v>
      </c>
      <c r="K328" s="2">
        <v>0</v>
      </c>
      <c r="L328" s="8">
        <f t="shared" ref="L328" si="941">(J328+I328+K328)/C328</f>
        <v>50</v>
      </c>
      <c r="M328" s="8">
        <f t="shared" ref="M328" si="942">L328*C328</f>
        <v>5000</v>
      </c>
    </row>
    <row r="329" spans="1:13" ht="15.75" customHeight="1" x14ac:dyDescent="0.25">
      <c r="A329" s="24">
        <v>44137</v>
      </c>
      <c r="B329" s="29" t="s">
        <v>14</v>
      </c>
      <c r="C329" s="11">
        <v>30</v>
      </c>
      <c r="D329" s="11" t="s">
        <v>10</v>
      </c>
      <c r="E329" s="11">
        <v>61730</v>
      </c>
      <c r="F329" s="11">
        <v>61830</v>
      </c>
      <c r="G329" s="34">
        <v>62000</v>
      </c>
      <c r="H329" s="35">
        <v>0</v>
      </c>
      <c r="I329" s="8">
        <f t="shared" ref="I329" si="943">(IF(D329="SELL",E329-F329,IF(D329="BUY",F329-E329)))*C329</f>
        <v>3000</v>
      </c>
      <c r="J329" s="8">
        <f>C329*170</f>
        <v>5100</v>
      </c>
      <c r="K329" s="2">
        <v>0</v>
      </c>
      <c r="L329" s="8">
        <f t="shared" ref="L329" si="944">(J329+I329+K329)/C329</f>
        <v>270</v>
      </c>
      <c r="M329" s="8">
        <f t="shared" ref="M329" si="945">L329*C329</f>
        <v>8100</v>
      </c>
    </row>
    <row r="330" spans="1:13" ht="15.75" customHeight="1" x14ac:dyDescent="0.25">
      <c r="A330" s="24">
        <v>44137</v>
      </c>
      <c r="B330" s="29" t="s">
        <v>14</v>
      </c>
      <c r="C330" s="11">
        <v>30</v>
      </c>
      <c r="D330" s="11" t="s">
        <v>10</v>
      </c>
      <c r="E330" s="11">
        <v>62070</v>
      </c>
      <c r="F330" s="11">
        <v>62170</v>
      </c>
      <c r="G330" s="34">
        <v>0</v>
      </c>
      <c r="H330" s="35">
        <v>0</v>
      </c>
      <c r="I330" s="8">
        <f t="shared" ref="I330" si="946">(IF(D330="SELL",E330-F330,IF(D330="BUY",F330-E330)))*C330</f>
        <v>3000</v>
      </c>
      <c r="J330" s="8">
        <v>0</v>
      </c>
      <c r="K330" s="2">
        <v>0</v>
      </c>
      <c r="L330" s="8">
        <f t="shared" ref="L330" si="947">(J330+I330+K330)/C330</f>
        <v>100</v>
      </c>
      <c r="M330" s="8">
        <f t="shared" ref="M330" si="948">L330*C330</f>
        <v>3000</v>
      </c>
    </row>
    <row r="331" spans="1:13" ht="15.75" customHeight="1" x14ac:dyDescent="0.25">
      <c r="A331" s="24">
        <v>44137</v>
      </c>
      <c r="B331" s="29" t="s">
        <v>16</v>
      </c>
      <c r="C331" s="11">
        <v>100</v>
      </c>
      <c r="D331" s="11" t="s">
        <v>10</v>
      </c>
      <c r="E331" s="11">
        <v>2620</v>
      </c>
      <c r="F331" s="11">
        <v>2640</v>
      </c>
      <c r="G331" s="34">
        <v>2680</v>
      </c>
      <c r="H331" s="35">
        <v>0</v>
      </c>
      <c r="I331" s="8">
        <f t="shared" ref="I331" si="949">(IF(D331="SELL",E331-F331,IF(D331="BUY",F331-E331)))*C331</f>
        <v>2000</v>
      </c>
      <c r="J331" s="8">
        <f>C331*40</f>
        <v>4000</v>
      </c>
      <c r="K331" s="2">
        <v>0</v>
      </c>
      <c r="L331" s="8">
        <f t="shared" ref="L331" si="950">(J331+I331+K331)/C331</f>
        <v>60</v>
      </c>
      <c r="M331" s="8">
        <f t="shared" ref="M331" si="951">L331*C331</f>
        <v>6000</v>
      </c>
    </row>
    <row r="332" spans="1:13" ht="15.75" customHeight="1" x14ac:dyDescent="0.25">
      <c r="A332" s="24">
        <v>44137</v>
      </c>
      <c r="B332" s="29" t="s">
        <v>75</v>
      </c>
      <c r="C332" s="11">
        <v>1250</v>
      </c>
      <c r="D332" s="11" t="s">
        <v>11</v>
      </c>
      <c r="E332" s="11">
        <v>245</v>
      </c>
      <c r="F332" s="11">
        <v>244</v>
      </c>
      <c r="G332" s="34">
        <v>241</v>
      </c>
      <c r="H332" s="35">
        <v>0</v>
      </c>
      <c r="I332" s="8">
        <f t="shared" ref="I332" si="952">(IF(D332="SELL",E332-F332,IF(D332="BUY",F332-E332)))*C332</f>
        <v>1250</v>
      </c>
      <c r="J332" s="8">
        <f>C332*3</f>
        <v>3750</v>
      </c>
      <c r="K332" s="2">
        <v>0</v>
      </c>
      <c r="L332" s="8">
        <f t="shared" ref="L332" si="953">(J332+I332+K332)/C332</f>
        <v>4</v>
      </c>
      <c r="M332" s="8">
        <f t="shared" ref="M332" si="954">L332*C332</f>
        <v>5000</v>
      </c>
    </row>
    <row r="333" spans="1:13" ht="15.75" customHeight="1" x14ac:dyDescent="0.25">
      <c r="A333" s="24">
        <v>44137</v>
      </c>
      <c r="B333" s="29" t="s">
        <v>17</v>
      </c>
      <c r="C333" s="11">
        <v>5000</v>
      </c>
      <c r="D333" s="11" t="s">
        <v>10</v>
      </c>
      <c r="E333" s="11">
        <v>202.6</v>
      </c>
      <c r="F333" s="11">
        <v>203.1</v>
      </c>
      <c r="G333" s="34">
        <v>204</v>
      </c>
      <c r="H333" s="35">
        <v>0</v>
      </c>
      <c r="I333" s="8">
        <f t="shared" ref="I333" si="955">(IF(D333="SELL",E333-F333,IF(D333="BUY",F333-E333)))*C333</f>
        <v>2500</v>
      </c>
      <c r="J333" s="8">
        <f>C333*0.9</f>
        <v>4500</v>
      </c>
      <c r="K333" s="2">
        <v>0</v>
      </c>
      <c r="L333" s="8">
        <f t="shared" ref="L333" si="956">(J333+I333+K333)/C333</f>
        <v>1.4</v>
      </c>
      <c r="M333" s="8">
        <f t="shared" ref="M333" si="957">L333*C333</f>
        <v>7000</v>
      </c>
    </row>
    <row r="334" spans="1:13" ht="15.75" customHeight="1" x14ac:dyDescent="0.25">
      <c r="A334" s="24">
        <v>44137</v>
      </c>
      <c r="B334" s="29" t="s">
        <v>19</v>
      </c>
      <c r="C334" s="11">
        <v>100</v>
      </c>
      <c r="D334" s="11" t="s">
        <v>10</v>
      </c>
      <c r="E334" s="11">
        <v>50790</v>
      </c>
      <c r="F334" s="11">
        <v>50710</v>
      </c>
      <c r="G334" s="34">
        <v>0</v>
      </c>
      <c r="H334" s="35">
        <v>0</v>
      </c>
      <c r="I334" s="8">
        <f t="shared" ref="I334" si="958">(IF(D334="SELL",E334-F334,IF(D334="BUY",F334-E334)))*C334</f>
        <v>-8000</v>
      </c>
      <c r="J334" s="8">
        <v>0</v>
      </c>
      <c r="K334" s="2">
        <v>0</v>
      </c>
      <c r="L334" s="8">
        <f t="shared" ref="L334" si="959">(J334+I334+K334)/C334</f>
        <v>-80</v>
      </c>
      <c r="M334" s="8">
        <f t="shared" ref="M334" si="960">L334*C334</f>
        <v>-8000</v>
      </c>
    </row>
    <row r="335" spans="1:13" ht="15.75" customHeight="1" x14ac:dyDescent="0.25">
      <c r="A335" s="24">
        <v>44134</v>
      </c>
      <c r="B335" s="29" t="s">
        <v>14</v>
      </c>
      <c r="C335" s="11">
        <v>30</v>
      </c>
      <c r="D335" s="11" t="s">
        <v>11</v>
      </c>
      <c r="E335" s="11">
        <v>60750</v>
      </c>
      <c r="F335" s="11">
        <v>60650</v>
      </c>
      <c r="G335" s="34">
        <v>0</v>
      </c>
      <c r="H335" s="35">
        <v>0</v>
      </c>
      <c r="I335" s="8">
        <f t="shared" ref="I335" si="961">(IF(D335="SELL",E335-F335,IF(D335="BUY",F335-E335)))*C335</f>
        <v>3000</v>
      </c>
      <c r="J335" s="8">
        <v>0</v>
      </c>
      <c r="K335" s="2">
        <v>0</v>
      </c>
      <c r="L335" s="8">
        <f t="shared" ref="L335" si="962">(J335+I335+K335)/C335</f>
        <v>100</v>
      </c>
      <c r="M335" s="8">
        <f t="shared" ref="M335" si="963">L335*C335</f>
        <v>3000</v>
      </c>
    </row>
    <row r="336" spans="1:13" ht="15.75" customHeight="1" x14ac:dyDescent="0.25">
      <c r="A336" s="24">
        <v>44134</v>
      </c>
      <c r="B336" s="29" t="s">
        <v>19</v>
      </c>
      <c r="C336" s="11">
        <v>100</v>
      </c>
      <c r="D336" s="11" t="s">
        <v>11</v>
      </c>
      <c r="E336" s="11">
        <v>50640</v>
      </c>
      <c r="F336" s="11">
        <v>50720</v>
      </c>
      <c r="G336" s="34">
        <v>0</v>
      </c>
      <c r="H336" s="35">
        <v>0</v>
      </c>
      <c r="I336" s="8">
        <f t="shared" ref="I336" si="964">(IF(D336="SELL",E336-F336,IF(D336="BUY",F336-E336)))*C336</f>
        <v>-8000</v>
      </c>
      <c r="J336" s="8">
        <v>0</v>
      </c>
      <c r="K336" s="2">
        <v>0</v>
      </c>
      <c r="L336" s="8">
        <f t="shared" ref="L336" si="965">(J336+I336+K336)/C336</f>
        <v>-80</v>
      </c>
      <c r="M336" s="8">
        <f t="shared" ref="M336" si="966">L336*C336</f>
        <v>-8000</v>
      </c>
    </row>
    <row r="337" spans="1:13" ht="15.75" customHeight="1" x14ac:dyDescent="0.25">
      <c r="A337" s="24">
        <v>44134</v>
      </c>
      <c r="B337" s="29" t="s">
        <v>14</v>
      </c>
      <c r="C337" s="11">
        <v>30</v>
      </c>
      <c r="D337" s="11" t="s">
        <v>10</v>
      </c>
      <c r="E337" s="11">
        <v>60600</v>
      </c>
      <c r="F337" s="11">
        <v>60700</v>
      </c>
      <c r="G337" s="34">
        <v>61000</v>
      </c>
      <c r="H337" s="35">
        <v>0</v>
      </c>
      <c r="I337" s="8">
        <f t="shared" ref="I337" si="967">(IF(D337="SELL",E337-F337,IF(D337="BUY",F337-E337)))*C337</f>
        <v>3000</v>
      </c>
      <c r="J337" s="8">
        <f>C337*300</f>
        <v>9000</v>
      </c>
      <c r="K337" s="2">
        <v>0</v>
      </c>
      <c r="L337" s="8">
        <f t="shared" ref="L337" si="968">(J337+I337+K337)/C337</f>
        <v>400</v>
      </c>
      <c r="M337" s="8">
        <f t="shared" ref="M337" si="969">L337*C337</f>
        <v>12000</v>
      </c>
    </row>
    <row r="338" spans="1:13" ht="15.75" customHeight="1" x14ac:dyDescent="0.25">
      <c r="A338" s="24">
        <v>44134</v>
      </c>
      <c r="B338" s="29" t="s">
        <v>21</v>
      </c>
      <c r="C338" s="11">
        <v>1500</v>
      </c>
      <c r="D338" s="11" t="s">
        <v>11</v>
      </c>
      <c r="E338" s="11">
        <v>1146</v>
      </c>
      <c r="F338" s="11">
        <v>1150</v>
      </c>
      <c r="G338" s="34">
        <v>0</v>
      </c>
      <c r="H338" s="35">
        <v>0</v>
      </c>
      <c r="I338" s="8">
        <f t="shared" ref="I338" si="970">(IF(D338="SELL",E338-F338,IF(D338="BUY",F338-E338)))*C338</f>
        <v>-6000</v>
      </c>
      <c r="J338" s="8">
        <v>0</v>
      </c>
      <c r="K338" s="2">
        <v>0</v>
      </c>
      <c r="L338" s="8">
        <f t="shared" ref="L338" si="971">(J338+I338+K338)/C338</f>
        <v>-4</v>
      </c>
      <c r="M338" s="8">
        <f t="shared" ref="M338" si="972">L338*C338</f>
        <v>-6000</v>
      </c>
    </row>
    <row r="339" spans="1:13" ht="15.75" customHeight="1" x14ac:dyDescent="0.25">
      <c r="A339" s="24">
        <v>44134</v>
      </c>
      <c r="B339" s="29" t="s">
        <v>16</v>
      </c>
      <c r="C339" s="11">
        <v>100</v>
      </c>
      <c r="D339" s="11" t="s">
        <v>11</v>
      </c>
      <c r="E339" s="11">
        <v>2690</v>
      </c>
      <c r="F339" s="11">
        <v>2665</v>
      </c>
      <c r="G339" s="34">
        <v>2645</v>
      </c>
      <c r="H339" s="35">
        <v>0</v>
      </c>
      <c r="I339" s="8">
        <f t="shared" ref="I339" si="973">(IF(D339="SELL",E339-F339,IF(D339="BUY",F339-E339)))*C339</f>
        <v>2500</v>
      </c>
      <c r="J339" s="8">
        <f>C339*20</f>
        <v>2000</v>
      </c>
      <c r="K339" s="2">
        <v>0</v>
      </c>
      <c r="L339" s="8">
        <f t="shared" ref="L339" si="974">(J339+I339+K339)/C339</f>
        <v>45</v>
      </c>
      <c r="M339" s="8">
        <f t="shared" ref="M339" si="975">L339*C339</f>
        <v>4500</v>
      </c>
    </row>
    <row r="340" spans="1:13" ht="15.75" customHeight="1" x14ac:dyDescent="0.25">
      <c r="A340" s="24">
        <v>44134</v>
      </c>
      <c r="B340" s="29" t="s">
        <v>18</v>
      </c>
      <c r="C340" s="11">
        <v>2500</v>
      </c>
      <c r="D340" s="11" t="s">
        <v>11</v>
      </c>
      <c r="E340" s="11">
        <v>527.5</v>
      </c>
      <c r="F340" s="11">
        <v>526.5</v>
      </c>
      <c r="G340" s="34">
        <v>0</v>
      </c>
      <c r="H340" s="35">
        <v>0</v>
      </c>
      <c r="I340" s="8">
        <f t="shared" ref="I340" si="976">(IF(D340="SELL",E340-F340,IF(D340="BUY",F340-E340)))*C340</f>
        <v>2500</v>
      </c>
      <c r="J340" s="8">
        <v>0</v>
      </c>
      <c r="K340" s="2">
        <v>0</v>
      </c>
      <c r="L340" s="8">
        <f t="shared" ref="L340" si="977">(J340+I340+K340)/C340</f>
        <v>1</v>
      </c>
      <c r="M340" s="8">
        <f t="shared" ref="M340" si="978">L340*C340</f>
        <v>2500</v>
      </c>
    </row>
    <row r="341" spans="1:13" ht="15.75" customHeight="1" x14ac:dyDescent="0.25">
      <c r="A341" s="24">
        <v>44134</v>
      </c>
      <c r="B341" s="29" t="s">
        <v>76</v>
      </c>
      <c r="C341" s="11">
        <v>1250</v>
      </c>
      <c r="D341" s="11" t="s">
        <v>11</v>
      </c>
      <c r="E341" s="11">
        <v>246.5</v>
      </c>
      <c r="F341" s="11">
        <v>245.5</v>
      </c>
      <c r="G341" s="34">
        <v>0</v>
      </c>
      <c r="H341" s="35">
        <v>0</v>
      </c>
      <c r="I341" s="8">
        <f t="shared" ref="I341" si="979">(IF(D341="SELL",E341-F341,IF(D341="BUY",F341-E341)))*C341</f>
        <v>1250</v>
      </c>
      <c r="J341" s="8">
        <v>0</v>
      </c>
      <c r="K341" s="2">
        <v>0</v>
      </c>
      <c r="L341" s="8">
        <f t="shared" ref="L341" si="980">(J341+I341+K341)/C341</f>
        <v>1</v>
      </c>
      <c r="M341" s="8">
        <f t="shared" ref="M341" si="981">L341*C341</f>
        <v>1250</v>
      </c>
    </row>
    <row r="342" spans="1:13" ht="15.75" customHeight="1" x14ac:dyDescent="0.25">
      <c r="A342" s="24">
        <v>44134</v>
      </c>
      <c r="B342" s="29" t="s">
        <v>14</v>
      </c>
      <c r="C342" s="11">
        <v>30</v>
      </c>
      <c r="D342" s="11" t="s">
        <v>11</v>
      </c>
      <c r="E342" s="11">
        <v>60050</v>
      </c>
      <c r="F342" s="11">
        <v>60300</v>
      </c>
      <c r="G342" s="34">
        <v>0</v>
      </c>
      <c r="H342" s="35">
        <v>0</v>
      </c>
      <c r="I342" s="8">
        <f t="shared" ref="I342" si="982">(IF(D342="SELL",E342-F342,IF(D342="BUY",F342-E342)))*C342</f>
        <v>-7500</v>
      </c>
      <c r="J342" s="8">
        <v>0</v>
      </c>
      <c r="K342" s="2">
        <v>0</v>
      </c>
      <c r="L342" s="8">
        <f t="shared" ref="L342" si="983">(J342+I342+K342)/C342</f>
        <v>-250</v>
      </c>
      <c r="M342" s="8">
        <f t="shared" ref="M342" si="984">L342*C342</f>
        <v>-7500</v>
      </c>
    </row>
    <row r="343" spans="1:13" ht="15.75" customHeight="1" x14ac:dyDescent="0.25">
      <c r="A343" s="24">
        <v>44133</v>
      </c>
      <c r="B343" s="29" t="s">
        <v>14</v>
      </c>
      <c r="C343" s="11">
        <v>30</v>
      </c>
      <c r="D343" s="11" t="s">
        <v>11</v>
      </c>
      <c r="E343" s="11">
        <v>58600</v>
      </c>
      <c r="F343" s="11">
        <v>58870</v>
      </c>
      <c r="G343" s="34">
        <v>0</v>
      </c>
      <c r="H343" s="35">
        <v>0</v>
      </c>
      <c r="I343" s="8">
        <f t="shared" ref="I343" si="985">(IF(D343="SELL",E343-F343,IF(D343="BUY",F343-E343)))*C343</f>
        <v>-8100</v>
      </c>
      <c r="J343" s="8">
        <v>0</v>
      </c>
      <c r="K343" s="2">
        <v>0</v>
      </c>
      <c r="L343" s="8">
        <f t="shared" ref="L343" si="986">(J343+I343+K343)/C343</f>
        <v>-270</v>
      </c>
      <c r="M343" s="8">
        <f t="shared" ref="M343" si="987">L343*C343</f>
        <v>-8100</v>
      </c>
    </row>
    <row r="344" spans="1:13" ht="15.75" customHeight="1" x14ac:dyDescent="0.25">
      <c r="A344" s="24">
        <v>44133</v>
      </c>
      <c r="B344" s="29" t="s">
        <v>19</v>
      </c>
      <c r="C344" s="11">
        <v>100</v>
      </c>
      <c r="D344" s="11" t="s">
        <v>11</v>
      </c>
      <c r="E344" s="11">
        <v>50220</v>
      </c>
      <c r="F344" s="11">
        <v>50160</v>
      </c>
      <c r="G344" s="34">
        <v>0</v>
      </c>
      <c r="H344" s="35">
        <v>0</v>
      </c>
      <c r="I344" s="8">
        <f t="shared" ref="I344" si="988">(IF(D344="SELL",E344-F344,IF(D344="BUY",F344-E344)))*C344</f>
        <v>6000</v>
      </c>
      <c r="J344" s="8">
        <v>0</v>
      </c>
      <c r="K344" s="2">
        <v>0</v>
      </c>
      <c r="L344" s="8">
        <f t="shared" ref="L344" si="989">(J344+I344+K344)/C344</f>
        <v>60</v>
      </c>
      <c r="M344" s="8">
        <f t="shared" ref="M344" si="990">L344*C344</f>
        <v>6000</v>
      </c>
    </row>
    <row r="345" spans="1:13" ht="15.75" customHeight="1" x14ac:dyDescent="0.25">
      <c r="A345" s="24">
        <v>44133</v>
      </c>
      <c r="B345" s="29" t="s">
        <v>16</v>
      </c>
      <c r="C345" s="11">
        <v>100</v>
      </c>
      <c r="D345" s="11" t="s">
        <v>11</v>
      </c>
      <c r="E345" s="11">
        <v>2675</v>
      </c>
      <c r="F345" s="11">
        <v>2655</v>
      </c>
      <c r="G345" s="34">
        <v>2625</v>
      </c>
      <c r="H345" s="35">
        <v>0</v>
      </c>
      <c r="I345" s="8">
        <f t="shared" ref="I345" si="991">(IF(D345="SELL",E345-F345,IF(D345="BUY",F345-E345)))*C345</f>
        <v>2000</v>
      </c>
      <c r="J345" s="8">
        <f>C345*30</f>
        <v>3000</v>
      </c>
      <c r="K345" s="2">
        <v>0</v>
      </c>
      <c r="L345" s="8">
        <f t="shared" ref="L345" si="992">(J345+I345+K345)/C345</f>
        <v>50</v>
      </c>
      <c r="M345" s="8">
        <f t="shared" ref="M345" si="993">L345*C345</f>
        <v>5000</v>
      </c>
    </row>
    <row r="346" spans="1:13" ht="15.75" customHeight="1" x14ac:dyDescent="0.25">
      <c r="A346" s="24">
        <v>44133</v>
      </c>
      <c r="B346" s="29" t="s">
        <v>21</v>
      </c>
      <c r="C346" s="11">
        <v>1500</v>
      </c>
      <c r="D346" s="11" t="s">
        <v>10</v>
      </c>
      <c r="E346" s="11">
        <v>1173.2</v>
      </c>
      <c r="F346" s="11">
        <v>1169</v>
      </c>
      <c r="G346" s="34">
        <v>0</v>
      </c>
      <c r="H346" s="35">
        <v>0</v>
      </c>
      <c r="I346" s="8">
        <f t="shared" ref="I346" si="994">(IF(D346="SELL",E346-F346,IF(D346="BUY",F346-E346)))*C346</f>
        <v>-6300.0000000000682</v>
      </c>
      <c r="J346" s="8">
        <v>0</v>
      </c>
      <c r="K346" s="2">
        <v>0</v>
      </c>
      <c r="L346" s="8">
        <f t="shared" ref="L346" si="995">(J346+I346+K346)/C346</f>
        <v>-4.2000000000000455</v>
      </c>
      <c r="M346" s="8">
        <f t="shared" ref="M346" si="996">L346*C346</f>
        <v>-6300.0000000000682</v>
      </c>
    </row>
    <row r="347" spans="1:13" ht="15.75" customHeight="1" x14ac:dyDescent="0.25">
      <c r="A347" s="24">
        <v>44133</v>
      </c>
      <c r="B347" s="29" t="s">
        <v>14</v>
      </c>
      <c r="C347" s="11">
        <v>30</v>
      </c>
      <c r="D347" s="11" t="s">
        <v>11</v>
      </c>
      <c r="E347" s="11">
        <v>59550</v>
      </c>
      <c r="F347" s="11">
        <v>59450</v>
      </c>
      <c r="G347" s="34">
        <v>0</v>
      </c>
      <c r="H347" s="35">
        <v>0</v>
      </c>
      <c r="I347" s="8">
        <f t="shared" ref="I347" si="997">(IF(D347="SELL",E347-F347,IF(D347="BUY",F347-E347)))*C347</f>
        <v>3000</v>
      </c>
      <c r="J347" s="8">
        <v>0</v>
      </c>
      <c r="K347" s="2">
        <v>0</v>
      </c>
      <c r="L347" s="8">
        <f t="shared" ref="L347" si="998">(J347+I347+K347)/C347</f>
        <v>100</v>
      </c>
      <c r="M347" s="8">
        <f t="shared" ref="M347" si="999">L347*C347</f>
        <v>3000</v>
      </c>
    </row>
    <row r="348" spans="1:13" ht="15.75" customHeight="1" x14ac:dyDescent="0.25">
      <c r="A348" s="24">
        <v>44133</v>
      </c>
      <c r="B348" s="29" t="s">
        <v>75</v>
      </c>
      <c r="C348" s="11">
        <v>1250</v>
      </c>
      <c r="D348" s="11" t="s">
        <v>11</v>
      </c>
      <c r="E348" s="11">
        <v>242.6</v>
      </c>
      <c r="F348" s="11">
        <v>241.5</v>
      </c>
      <c r="G348" s="34">
        <v>238</v>
      </c>
      <c r="H348" s="35">
        <v>0</v>
      </c>
      <c r="I348" s="8">
        <f t="shared" ref="I348" si="1000">(IF(D348="SELL",E348-F348,IF(D348="BUY",F348-E348)))*C348</f>
        <v>1374.999999999993</v>
      </c>
      <c r="J348" s="8">
        <f>C348*3.5</f>
        <v>4375</v>
      </c>
      <c r="K348" s="2">
        <v>0</v>
      </c>
      <c r="L348" s="8">
        <f t="shared" ref="L348" si="1001">(J348+I348+K348)/C348</f>
        <v>4.5999999999999943</v>
      </c>
      <c r="M348" s="8">
        <f t="shared" ref="M348" si="1002">L348*C348</f>
        <v>5749.9999999999927</v>
      </c>
    </row>
    <row r="349" spans="1:13" ht="15.75" customHeight="1" x14ac:dyDescent="0.25">
      <c r="A349" s="24">
        <v>44133</v>
      </c>
      <c r="B349" s="29" t="s">
        <v>17</v>
      </c>
      <c r="C349" s="11">
        <v>5000</v>
      </c>
      <c r="D349" s="11" t="s">
        <v>10</v>
      </c>
      <c r="E349" s="11">
        <v>202.2</v>
      </c>
      <c r="F349" s="11">
        <v>200.7</v>
      </c>
      <c r="G349" s="34">
        <v>0</v>
      </c>
      <c r="H349" s="35">
        <v>0</v>
      </c>
      <c r="I349" s="8">
        <f t="shared" ref="I349" si="1003">(IF(D349="SELL",E349-F349,IF(D349="BUY",F349-E349)))*C349</f>
        <v>-7500</v>
      </c>
      <c r="J349" s="8">
        <v>0</v>
      </c>
      <c r="K349" s="2">
        <v>0</v>
      </c>
      <c r="L349" s="8">
        <f t="shared" ref="L349" si="1004">(J349+I349+K349)/C349</f>
        <v>-1.5</v>
      </c>
      <c r="M349" s="8">
        <f t="shared" ref="M349" si="1005">L349*C349</f>
        <v>-7500</v>
      </c>
    </row>
    <row r="350" spans="1:13" ht="15.75" customHeight="1" x14ac:dyDescent="0.25">
      <c r="A350" s="24">
        <v>44132</v>
      </c>
      <c r="B350" s="29" t="s">
        <v>17</v>
      </c>
      <c r="C350" s="11">
        <v>5000</v>
      </c>
      <c r="D350" s="11" t="s">
        <v>11</v>
      </c>
      <c r="E350" s="11">
        <v>200.7</v>
      </c>
      <c r="F350" s="11">
        <v>200.1</v>
      </c>
      <c r="G350" s="34">
        <v>0</v>
      </c>
      <c r="H350" s="35">
        <v>0</v>
      </c>
      <c r="I350" s="8">
        <f t="shared" ref="I350" si="1006">(IF(D350="SELL",E350-F350,IF(D350="BUY",F350-E350)))*C350</f>
        <v>2999.9999999999718</v>
      </c>
      <c r="J350" s="8">
        <v>0</v>
      </c>
      <c r="K350" s="2">
        <v>0</v>
      </c>
      <c r="L350" s="8">
        <f t="shared" ref="L350" si="1007">(J350+I350+K350)/C350</f>
        <v>0.59999999999999432</v>
      </c>
      <c r="M350" s="8">
        <f t="shared" ref="M350" si="1008">L350*C350</f>
        <v>2999.9999999999718</v>
      </c>
    </row>
    <row r="351" spans="1:13" ht="15.75" customHeight="1" x14ac:dyDescent="0.25">
      <c r="A351" s="24">
        <v>44132</v>
      </c>
      <c r="B351" s="29" t="s">
        <v>21</v>
      </c>
      <c r="C351" s="11">
        <v>1500</v>
      </c>
      <c r="D351" s="11" t="s">
        <v>11</v>
      </c>
      <c r="E351" s="11">
        <v>1191.5</v>
      </c>
      <c r="F351" s="11">
        <v>1188</v>
      </c>
      <c r="G351" s="34">
        <v>1180</v>
      </c>
      <c r="H351" s="35">
        <v>0</v>
      </c>
      <c r="I351" s="8">
        <f t="shared" ref="I351" si="1009">(IF(D351="SELL",E351-F351,IF(D351="BUY",F351-E351)))*C351</f>
        <v>5250</v>
      </c>
      <c r="J351" s="8">
        <f>C351*8</f>
        <v>12000</v>
      </c>
      <c r="K351" s="2">
        <v>0</v>
      </c>
      <c r="L351" s="8">
        <f t="shared" ref="L351" si="1010">(J351+I351+K351)/C351</f>
        <v>11.5</v>
      </c>
      <c r="M351" s="8">
        <f t="shared" ref="M351" si="1011">L351*C351</f>
        <v>17250</v>
      </c>
    </row>
    <row r="352" spans="1:13" ht="15.75" customHeight="1" x14ac:dyDescent="0.25">
      <c r="A352" s="24">
        <v>44132</v>
      </c>
      <c r="B352" s="29" t="s">
        <v>75</v>
      </c>
      <c r="C352" s="11">
        <v>1250</v>
      </c>
      <c r="D352" s="11" t="s">
        <v>11</v>
      </c>
      <c r="E352" s="11">
        <v>242.5</v>
      </c>
      <c r="F352" s="11">
        <v>220.5</v>
      </c>
      <c r="G352" s="34">
        <v>0</v>
      </c>
      <c r="H352" s="35">
        <v>0</v>
      </c>
      <c r="I352" s="8">
        <f t="shared" ref="I352" si="1012">(IF(D352="SELL",E352-F352,IF(D352="BUY",F352-E352)))*C352</f>
        <v>27500</v>
      </c>
      <c r="J352" s="8">
        <v>0</v>
      </c>
      <c r="K352" s="2">
        <v>0</v>
      </c>
      <c r="L352" s="8">
        <f t="shared" ref="L352" si="1013">(J352+I352+K352)/C352</f>
        <v>22</v>
      </c>
      <c r="M352" s="8">
        <f t="shared" ref="M352" si="1014">L352*C352</f>
        <v>27500</v>
      </c>
    </row>
    <row r="353" spans="1:13" ht="15.75" customHeight="1" x14ac:dyDescent="0.25">
      <c r="A353" s="24">
        <v>44132</v>
      </c>
      <c r="B353" s="29" t="s">
        <v>18</v>
      </c>
      <c r="C353" s="11">
        <v>2500</v>
      </c>
      <c r="D353" s="11" t="s">
        <v>11</v>
      </c>
      <c r="E353" s="11">
        <v>529</v>
      </c>
      <c r="F353" s="11">
        <v>528</v>
      </c>
      <c r="G353" s="34">
        <v>525</v>
      </c>
      <c r="H353" s="35">
        <v>0</v>
      </c>
      <c r="I353" s="8">
        <f t="shared" ref="I353" si="1015">(IF(D353="SELL",E353-F353,IF(D353="BUY",F353-E353)))*C353</f>
        <v>2500</v>
      </c>
      <c r="J353" s="8">
        <f>C353*3</f>
        <v>7500</v>
      </c>
      <c r="K353" s="2">
        <v>0</v>
      </c>
      <c r="L353" s="8">
        <f t="shared" ref="L353" si="1016">(J353+I353+K353)/C353</f>
        <v>4</v>
      </c>
      <c r="M353" s="8">
        <f t="shared" ref="M353" si="1017">L353*C353</f>
        <v>10000</v>
      </c>
    </row>
    <row r="354" spans="1:13" ht="15.75" customHeight="1" x14ac:dyDescent="0.25">
      <c r="A354" s="24">
        <v>44132</v>
      </c>
      <c r="B354" s="29" t="s">
        <v>19</v>
      </c>
      <c r="C354" s="11">
        <v>100</v>
      </c>
      <c r="D354" s="11" t="s">
        <v>11</v>
      </c>
      <c r="E354" s="11">
        <v>50745</v>
      </c>
      <c r="F354" s="11">
        <v>50690</v>
      </c>
      <c r="G354" s="34">
        <v>50600</v>
      </c>
      <c r="H354" s="35">
        <v>0</v>
      </c>
      <c r="I354" s="8">
        <f t="shared" ref="I354" si="1018">(IF(D354="SELL",E354-F354,IF(D354="BUY",F354-E354)))*C354</f>
        <v>5500</v>
      </c>
      <c r="J354" s="8">
        <f>C354*90</f>
        <v>9000</v>
      </c>
      <c r="K354" s="2">
        <v>0</v>
      </c>
      <c r="L354" s="8">
        <f t="shared" ref="L354" si="1019">(J354+I354+K354)/C354</f>
        <v>145</v>
      </c>
      <c r="M354" s="8">
        <f t="shared" ref="M354" si="1020">L354*C354</f>
        <v>14500</v>
      </c>
    </row>
    <row r="355" spans="1:13" ht="15.75" customHeight="1" x14ac:dyDescent="0.25">
      <c r="A355" s="24">
        <v>44132</v>
      </c>
      <c r="B355" s="29" t="s">
        <v>16</v>
      </c>
      <c r="C355" s="11">
        <v>100</v>
      </c>
      <c r="D355" s="11" t="s">
        <v>11</v>
      </c>
      <c r="E355" s="11">
        <v>2809</v>
      </c>
      <c r="F355" s="11">
        <v>2789</v>
      </c>
      <c r="G355" s="34">
        <v>2755</v>
      </c>
      <c r="H355" s="35">
        <v>0</v>
      </c>
      <c r="I355" s="8">
        <f t="shared" ref="I355" si="1021">(IF(D355="SELL",E355-F355,IF(D355="BUY",F355-E355)))*C355</f>
        <v>2000</v>
      </c>
      <c r="J355" s="8">
        <f>C355*34</f>
        <v>3400</v>
      </c>
      <c r="K355" s="2">
        <v>0</v>
      </c>
      <c r="L355" s="8">
        <f t="shared" ref="L355" si="1022">(J355+I355+K355)/C355</f>
        <v>54</v>
      </c>
      <c r="M355" s="8">
        <f t="shared" ref="M355" si="1023">L355*C355</f>
        <v>5400</v>
      </c>
    </row>
    <row r="356" spans="1:13" ht="15.75" customHeight="1" x14ac:dyDescent="0.25">
      <c r="A356" s="24">
        <v>44132</v>
      </c>
      <c r="B356" s="29" t="s">
        <v>14</v>
      </c>
      <c r="C356" s="11">
        <v>30</v>
      </c>
      <c r="D356" s="11" t="s">
        <v>11</v>
      </c>
      <c r="E356" s="11">
        <v>61850</v>
      </c>
      <c r="F356" s="11">
        <v>61750</v>
      </c>
      <c r="G356" s="34">
        <v>61450</v>
      </c>
      <c r="H356" s="35">
        <v>0</v>
      </c>
      <c r="I356" s="8">
        <f t="shared" ref="I356" si="1024">(IF(D356="SELL",E356-F356,IF(D356="BUY",F356-E356)))*C356</f>
        <v>3000</v>
      </c>
      <c r="J356" s="8">
        <f>C356*300</f>
        <v>9000</v>
      </c>
      <c r="K356" s="2">
        <v>0</v>
      </c>
      <c r="L356" s="8">
        <f t="shared" ref="L356" si="1025">(J356+I356+K356)/C356</f>
        <v>400</v>
      </c>
      <c r="M356" s="8">
        <f t="shared" ref="M356" si="1026">L356*C356</f>
        <v>12000</v>
      </c>
    </row>
    <row r="357" spans="1:13" ht="15.75" customHeight="1" x14ac:dyDescent="0.25">
      <c r="A357" s="24">
        <v>44132</v>
      </c>
      <c r="B357" s="29" t="s">
        <v>18</v>
      </c>
      <c r="C357" s="11">
        <v>2500</v>
      </c>
      <c r="D357" s="11" t="s">
        <v>10</v>
      </c>
      <c r="E357" s="11">
        <v>532.5</v>
      </c>
      <c r="F357" s="11">
        <v>530.5</v>
      </c>
      <c r="G357" s="34">
        <v>0</v>
      </c>
      <c r="H357" s="35">
        <v>0</v>
      </c>
      <c r="I357" s="8">
        <f t="shared" ref="I357" si="1027">(IF(D357="SELL",E357-F357,IF(D357="BUY",F357-E357)))*C357</f>
        <v>-5000</v>
      </c>
      <c r="J357" s="8">
        <v>0</v>
      </c>
      <c r="K357" s="2">
        <v>0</v>
      </c>
      <c r="L357" s="8">
        <f t="shared" ref="L357" si="1028">(J357+I357+K357)/C357</f>
        <v>-2</v>
      </c>
      <c r="M357" s="8">
        <f t="shared" ref="M357" si="1029">L357*C357</f>
        <v>-5000</v>
      </c>
    </row>
    <row r="358" spans="1:13" ht="15.75" customHeight="1" x14ac:dyDescent="0.25">
      <c r="A358" s="24">
        <v>44132</v>
      </c>
      <c r="B358" s="29" t="s">
        <v>21</v>
      </c>
      <c r="C358" s="11">
        <v>1500</v>
      </c>
      <c r="D358" s="11" t="s">
        <v>10</v>
      </c>
      <c r="E358" s="11">
        <v>1200</v>
      </c>
      <c r="F358" s="11">
        <v>1203</v>
      </c>
      <c r="G358" s="34">
        <v>1208</v>
      </c>
      <c r="H358" s="35">
        <v>0</v>
      </c>
      <c r="I358" s="8">
        <f t="shared" ref="I358" si="1030">(IF(D358="SELL",E358-F358,IF(D358="BUY",F358-E358)))*C358</f>
        <v>4500</v>
      </c>
      <c r="J358" s="8">
        <f>C358*4.5</f>
        <v>6750</v>
      </c>
      <c r="K358" s="2">
        <v>0</v>
      </c>
      <c r="L358" s="8">
        <f t="shared" ref="L358" si="1031">(J358+I358+K358)/C358</f>
        <v>7.5</v>
      </c>
      <c r="M358" s="8">
        <f t="shared" ref="M358" si="1032">L358*C358</f>
        <v>11250</v>
      </c>
    </row>
    <row r="359" spans="1:13" ht="15.75" customHeight="1" x14ac:dyDescent="0.25">
      <c r="A359" s="24">
        <v>44132</v>
      </c>
      <c r="B359" s="29" t="s">
        <v>14</v>
      </c>
      <c r="C359" s="11">
        <v>30</v>
      </c>
      <c r="D359" s="11" t="s">
        <v>10</v>
      </c>
      <c r="E359" s="11">
        <v>62300</v>
      </c>
      <c r="F359" s="11">
        <v>62420</v>
      </c>
      <c r="G359" s="34">
        <v>0</v>
      </c>
      <c r="H359" s="35">
        <v>0</v>
      </c>
      <c r="I359" s="8">
        <f t="shared" ref="I359" si="1033">(IF(D359="SELL",E359-F359,IF(D359="BUY",F359-E359)))*C359</f>
        <v>3600</v>
      </c>
      <c r="J359" s="8">
        <v>0</v>
      </c>
      <c r="K359" s="2">
        <v>0</v>
      </c>
      <c r="L359" s="8">
        <f t="shared" ref="L359" si="1034">(J359+I359+K359)/C359</f>
        <v>120</v>
      </c>
      <c r="M359" s="8">
        <f t="shared" ref="M359" si="1035">L359*C359</f>
        <v>3600</v>
      </c>
    </row>
    <row r="360" spans="1:13" ht="15.75" customHeight="1" x14ac:dyDescent="0.25">
      <c r="A360" s="24">
        <v>44132</v>
      </c>
      <c r="B360" s="29" t="s">
        <v>17</v>
      </c>
      <c r="C360" s="11">
        <v>5000</v>
      </c>
      <c r="D360" s="11" t="s">
        <v>10</v>
      </c>
      <c r="E360" s="11">
        <v>202.2</v>
      </c>
      <c r="F360" s="11">
        <v>200.7</v>
      </c>
      <c r="G360" s="34">
        <v>203.5</v>
      </c>
      <c r="H360" s="35">
        <v>0</v>
      </c>
      <c r="I360" s="8">
        <f t="shared" ref="I360" si="1036">(IF(D360="SELL",E360-F360,IF(D360="BUY",F360-E360)))*C360</f>
        <v>-7500</v>
      </c>
      <c r="J360" s="8">
        <v>0</v>
      </c>
      <c r="K360" s="2">
        <v>0</v>
      </c>
      <c r="L360" s="8">
        <f t="shared" ref="L360" si="1037">(J360+I360+K360)/C360</f>
        <v>-1.5</v>
      </c>
      <c r="M360" s="8">
        <f t="shared" ref="M360" si="1038">L360*C360</f>
        <v>-7500</v>
      </c>
    </row>
    <row r="361" spans="1:13" ht="15.75" customHeight="1" x14ac:dyDescent="0.25">
      <c r="A361" s="24">
        <v>44131</v>
      </c>
      <c r="B361" s="29" t="s">
        <v>75</v>
      </c>
      <c r="C361" s="11">
        <v>1250</v>
      </c>
      <c r="D361" s="11" t="s">
        <v>11</v>
      </c>
      <c r="E361" s="11">
        <v>222.1</v>
      </c>
      <c r="F361" s="11">
        <v>220.5</v>
      </c>
      <c r="G361" s="34">
        <v>0</v>
      </c>
      <c r="H361" s="35">
        <v>0</v>
      </c>
      <c r="I361" s="8">
        <f t="shared" ref="I361" si="1039">(IF(D361="SELL",E361-F361,IF(D361="BUY",F361-E361)))*C361</f>
        <v>1999.999999999993</v>
      </c>
      <c r="J361" s="8">
        <v>0</v>
      </c>
      <c r="K361" s="2">
        <v>0</v>
      </c>
      <c r="L361" s="8">
        <f t="shared" ref="L361" si="1040">(J361+I361+K361)/C361</f>
        <v>1.5999999999999943</v>
      </c>
      <c r="M361" s="8">
        <f t="shared" ref="M361" si="1041">L361*C361</f>
        <v>1999.999999999993</v>
      </c>
    </row>
    <row r="362" spans="1:13" ht="15.75" customHeight="1" x14ac:dyDescent="0.25">
      <c r="A362" s="24">
        <v>44131</v>
      </c>
      <c r="B362" s="29" t="s">
        <v>16</v>
      </c>
      <c r="C362" s="11">
        <v>100</v>
      </c>
      <c r="D362" s="11" t="s">
        <v>11</v>
      </c>
      <c r="E362" s="11">
        <v>2852</v>
      </c>
      <c r="F362" s="11">
        <v>2892</v>
      </c>
      <c r="G362" s="34">
        <v>0</v>
      </c>
      <c r="H362" s="35">
        <v>0</v>
      </c>
      <c r="I362" s="8">
        <f t="shared" ref="I362" si="1042">(IF(D362="SELL",E362-F362,IF(D362="BUY",F362-E362)))*C362</f>
        <v>-4000</v>
      </c>
      <c r="J362" s="8">
        <v>0</v>
      </c>
      <c r="K362" s="2">
        <v>0</v>
      </c>
      <c r="L362" s="8">
        <f t="shared" ref="L362" si="1043">(J362+I362+K362)/C362</f>
        <v>-40</v>
      </c>
      <c r="M362" s="8">
        <f t="shared" ref="M362" si="1044">L362*C362</f>
        <v>-4000</v>
      </c>
    </row>
    <row r="363" spans="1:13" ht="15.75" customHeight="1" x14ac:dyDescent="0.25">
      <c r="A363" s="24">
        <v>44131</v>
      </c>
      <c r="B363" s="29" t="s">
        <v>19</v>
      </c>
      <c r="C363" s="11">
        <v>100</v>
      </c>
      <c r="D363" s="11" t="s">
        <v>11</v>
      </c>
      <c r="E363" s="11">
        <v>50810</v>
      </c>
      <c r="F363" s="11">
        <v>50760</v>
      </c>
      <c r="G363" s="34">
        <v>0</v>
      </c>
      <c r="H363" s="35">
        <v>0</v>
      </c>
      <c r="I363" s="8">
        <f t="shared" ref="I363" si="1045">(IF(D363="SELL",E363-F363,IF(D363="BUY",F363-E363)))*C363</f>
        <v>5000</v>
      </c>
      <c r="J363" s="8">
        <v>0</v>
      </c>
      <c r="K363" s="2">
        <v>0</v>
      </c>
      <c r="L363" s="8">
        <f t="shared" ref="L363" si="1046">(J363+I363+K363)/C363</f>
        <v>50</v>
      </c>
      <c r="M363" s="8">
        <f t="shared" ref="M363" si="1047">L363*C363</f>
        <v>5000</v>
      </c>
    </row>
    <row r="364" spans="1:13" ht="15.75" customHeight="1" x14ac:dyDescent="0.25">
      <c r="A364" s="24">
        <v>44131</v>
      </c>
      <c r="B364" s="29" t="s">
        <v>19</v>
      </c>
      <c r="C364" s="11">
        <v>100</v>
      </c>
      <c r="D364" s="11" t="s">
        <v>11</v>
      </c>
      <c r="E364" s="11">
        <v>50810</v>
      </c>
      <c r="F364" s="11">
        <v>50760</v>
      </c>
      <c r="G364" s="34">
        <v>0</v>
      </c>
      <c r="H364" s="35">
        <v>0</v>
      </c>
      <c r="I364" s="8">
        <f t="shared" ref="I364" si="1048">(IF(D364="SELL",E364-F364,IF(D364="BUY",F364-E364)))*C364</f>
        <v>5000</v>
      </c>
      <c r="J364" s="8">
        <v>0</v>
      </c>
      <c r="K364" s="2">
        <v>0</v>
      </c>
      <c r="L364" s="8">
        <f t="shared" ref="L364" si="1049">(J364+I364+K364)/C364</f>
        <v>50</v>
      </c>
      <c r="M364" s="8">
        <f t="shared" ref="M364" si="1050">L364*C364</f>
        <v>5000</v>
      </c>
    </row>
    <row r="365" spans="1:13" ht="15.75" customHeight="1" x14ac:dyDescent="0.25">
      <c r="A365" s="24">
        <v>44131</v>
      </c>
      <c r="B365" s="29" t="s">
        <v>14</v>
      </c>
      <c r="C365" s="11">
        <v>30</v>
      </c>
      <c r="D365" s="11" t="s">
        <v>11</v>
      </c>
      <c r="E365" s="11">
        <v>62300</v>
      </c>
      <c r="F365" s="11">
        <v>62150</v>
      </c>
      <c r="G365" s="34">
        <v>61900</v>
      </c>
      <c r="H365" s="35">
        <v>0</v>
      </c>
      <c r="I365" s="8">
        <f t="shared" ref="I365" si="1051">(IF(D365="SELL",E365-F365,IF(D365="BUY",F365-E365)))*C365</f>
        <v>4500</v>
      </c>
      <c r="J365" s="8">
        <f>C365*250</f>
        <v>7500</v>
      </c>
      <c r="K365" s="2">
        <v>0</v>
      </c>
      <c r="L365" s="8">
        <f t="shared" ref="L365" si="1052">(J365+I365+K365)/C365</f>
        <v>400</v>
      </c>
      <c r="M365" s="8">
        <f t="shared" ref="M365" si="1053">L365*C365</f>
        <v>12000</v>
      </c>
    </row>
    <row r="366" spans="1:13" ht="15.75" customHeight="1" x14ac:dyDescent="0.25">
      <c r="A366" s="24">
        <v>44131</v>
      </c>
      <c r="B366" s="29" t="s">
        <v>17</v>
      </c>
      <c r="C366" s="11">
        <v>5000</v>
      </c>
      <c r="D366" s="11" t="s">
        <v>10</v>
      </c>
      <c r="E366" s="11">
        <v>201.7</v>
      </c>
      <c r="F366" s="11">
        <v>201.7</v>
      </c>
      <c r="G366" s="34">
        <v>0</v>
      </c>
      <c r="H366" s="35">
        <v>0</v>
      </c>
      <c r="I366" s="8">
        <f t="shared" ref="I366" si="1054">(IF(D366="SELL",E366-F366,IF(D366="BUY",F366-E366)))*C366</f>
        <v>0</v>
      </c>
      <c r="J366" s="8">
        <v>0</v>
      </c>
      <c r="K366" s="2">
        <v>0</v>
      </c>
      <c r="L366" s="8">
        <f t="shared" ref="L366" si="1055">(J366+I366+K366)/C366</f>
        <v>0</v>
      </c>
      <c r="M366" s="8">
        <f t="shared" ref="M366" si="1056">L366*C366</f>
        <v>0</v>
      </c>
    </row>
    <row r="367" spans="1:13" ht="15.75" customHeight="1" x14ac:dyDescent="0.25">
      <c r="A367" s="24">
        <v>44130</v>
      </c>
      <c r="B367" s="29" t="s">
        <v>19</v>
      </c>
      <c r="C367" s="11">
        <v>100</v>
      </c>
      <c r="D367" s="11" t="s">
        <v>11</v>
      </c>
      <c r="E367" s="11">
        <v>50920</v>
      </c>
      <c r="F367" s="11">
        <v>50870</v>
      </c>
      <c r="G367" s="34">
        <v>0</v>
      </c>
      <c r="H367" s="35">
        <v>0</v>
      </c>
      <c r="I367" s="8">
        <f t="shared" ref="I367" si="1057">(IF(D367="SELL",E367-F367,IF(D367="BUY",F367-E367)))*C367</f>
        <v>5000</v>
      </c>
      <c r="J367" s="8">
        <v>0</v>
      </c>
      <c r="K367" s="2">
        <v>0</v>
      </c>
      <c r="L367" s="8">
        <f t="shared" ref="L367" si="1058">(J367+I367+K367)/C367</f>
        <v>50</v>
      </c>
      <c r="M367" s="8">
        <f t="shared" ref="M367" si="1059">L367*C367</f>
        <v>5000</v>
      </c>
    </row>
    <row r="368" spans="1:13" ht="15.75" customHeight="1" x14ac:dyDescent="0.25">
      <c r="A368" s="24">
        <v>44130</v>
      </c>
      <c r="B368" s="29" t="s">
        <v>18</v>
      </c>
      <c r="C368" s="11">
        <v>2500</v>
      </c>
      <c r="D368" s="11" t="s">
        <v>11</v>
      </c>
      <c r="E368" s="11">
        <v>530</v>
      </c>
      <c r="F368" s="11">
        <v>529</v>
      </c>
      <c r="G368" s="34">
        <v>0</v>
      </c>
      <c r="H368" s="35">
        <v>0</v>
      </c>
      <c r="I368" s="8">
        <f t="shared" ref="I368" si="1060">(IF(D368="SELL",E368-F368,IF(D368="BUY",F368-E368)))*C368</f>
        <v>2500</v>
      </c>
      <c r="J368" s="8">
        <v>0</v>
      </c>
      <c r="K368" s="2">
        <v>0</v>
      </c>
      <c r="L368" s="8">
        <f t="shared" ref="L368" si="1061">(J368+I368+K368)/C368</f>
        <v>1</v>
      </c>
      <c r="M368" s="8">
        <f t="shared" ref="M368" si="1062">L368*C368</f>
        <v>2500</v>
      </c>
    </row>
    <row r="369" spans="1:13" ht="15.75" customHeight="1" x14ac:dyDescent="0.25">
      <c r="A369" s="24">
        <v>44130</v>
      </c>
      <c r="B369" s="29" t="s">
        <v>16</v>
      </c>
      <c r="C369" s="11">
        <v>100</v>
      </c>
      <c r="D369" s="11" t="s">
        <v>11</v>
      </c>
      <c r="E369" s="11">
        <v>2875</v>
      </c>
      <c r="F369" s="11">
        <v>2855</v>
      </c>
      <c r="G369" s="34">
        <v>0</v>
      </c>
      <c r="H369" s="35">
        <v>0</v>
      </c>
      <c r="I369" s="8">
        <f t="shared" ref="I369" si="1063">(IF(D369="SELL",E369-F369,IF(D369="BUY",F369-E369)))*C369</f>
        <v>2000</v>
      </c>
      <c r="J369" s="8">
        <v>0</v>
      </c>
      <c r="K369" s="2">
        <v>0</v>
      </c>
      <c r="L369" s="8">
        <f t="shared" ref="L369" si="1064">(J369+I369+K369)/C369</f>
        <v>20</v>
      </c>
      <c r="M369" s="8">
        <f t="shared" ref="M369" si="1065">L369*C369</f>
        <v>2000</v>
      </c>
    </row>
    <row r="370" spans="1:13" ht="15.75" customHeight="1" x14ac:dyDescent="0.25">
      <c r="A370" s="24">
        <v>44130</v>
      </c>
      <c r="B370" s="29" t="s">
        <v>21</v>
      </c>
      <c r="C370" s="11">
        <v>1500</v>
      </c>
      <c r="D370" s="11" t="s">
        <v>11</v>
      </c>
      <c r="E370" s="11">
        <v>1152</v>
      </c>
      <c r="F370" s="11">
        <v>1149</v>
      </c>
      <c r="G370" s="34">
        <v>0</v>
      </c>
      <c r="H370" s="35">
        <v>0</v>
      </c>
      <c r="I370" s="8">
        <f t="shared" ref="I370" si="1066">(IF(D370="SELL",E370-F370,IF(D370="BUY",F370-E370)))*C370</f>
        <v>4500</v>
      </c>
      <c r="J370" s="8">
        <v>0</v>
      </c>
      <c r="K370" s="2">
        <v>0</v>
      </c>
      <c r="L370" s="8">
        <f t="shared" ref="L370" si="1067">(J370+I370+K370)/C370</f>
        <v>3</v>
      </c>
      <c r="M370" s="8">
        <f t="shared" ref="M370" si="1068">L370*C370</f>
        <v>4500</v>
      </c>
    </row>
    <row r="371" spans="1:13" ht="15.75" customHeight="1" x14ac:dyDescent="0.25">
      <c r="A371" s="24">
        <v>44130</v>
      </c>
      <c r="B371" s="29" t="s">
        <v>75</v>
      </c>
      <c r="C371" s="11">
        <v>1250</v>
      </c>
      <c r="D371" s="11" t="s">
        <v>10</v>
      </c>
      <c r="E371" s="11">
        <v>221.5</v>
      </c>
      <c r="F371" s="11">
        <v>222.5</v>
      </c>
      <c r="G371" s="34">
        <v>224.5</v>
      </c>
      <c r="H371" s="35">
        <v>0</v>
      </c>
      <c r="I371" s="8">
        <f t="shared" ref="I371" si="1069">(IF(D371="SELL",E371-F371,IF(D371="BUY",F371-E371)))*C371</f>
        <v>1250</v>
      </c>
      <c r="J371" s="8">
        <f>C371*2.5</f>
        <v>3125</v>
      </c>
      <c r="K371" s="2">
        <v>0</v>
      </c>
      <c r="L371" s="8">
        <f t="shared" ref="L371" si="1070">(J371+I371+K371)/C371</f>
        <v>3.5</v>
      </c>
      <c r="M371" s="8">
        <f t="shared" ref="M371" si="1071">L371*C371</f>
        <v>4375</v>
      </c>
    </row>
    <row r="372" spans="1:13" ht="15.75" customHeight="1" x14ac:dyDescent="0.25">
      <c r="A372" s="24">
        <v>44130</v>
      </c>
      <c r="B372" s="29" t="s">
        <v>14</v>
      </c>
      <c r="C372" s="11">
        <v>30</v>
      </c>
      <c r="D372" s="11" t="s">
        <v>10</v>
      </c>
      <c r="E372" s="11">
        <v>61750</v>
      </c>
      <c r="F372" s="11">
        <v>61850</v>
      </c>
      <c r="G372" s="34">
        <v>0</v>
      </c>
      <c r="H372" s="35">
        <v>0</v>
      </c>
      <c r="I372" s="8">
        <f t="shared" ref="I372" si="1072">(IF(D372="SELL",E372-F372,IF(D372="BUY",F372-E372)))*C372</f>
        <v>3000</v>
      </c>
      <c r="J372" s="8">
        <v>0</v>
      </c>
      <c r="K372" s="2">
        <v>0</v>
      </c>
      <c r="L372" s="8">
        <f t="shared" ref="L372" si="1073">(J372+I372+K372)/C372</f>
        <v>100</v>
      </c>
      <c r="M372" s="8">
        <f t="shared" ref="M372" si="1074">L372*C372</f>
        <v>3000</v>
      </c>
    </row>
    <row r="373" spans="1:13" ht="15.75" customHeight="1" x14ac:dyDescent="0.25">
      <c r="A373" s="24">
        <v>44130</v>
      </c>
      <c r="B373" s="29" t="s">
        <v>17</v>
      </c>
      <c r="C373" s="11">
        <v>5000</v>
      </c>
      <c r="D373" s="11" t="s">
        <v>11</v>
      </c>
      <c r="E373" s="11">
        <v>200.8</v>
      </c>
      <c r="F373" s="11">
        <v>200.3</v>
      </c>
      <c r="G373" s="34">
        <v>0</v>
      </c>
      <c r="H373" s="35">
        <v>0</v>
      </c>
      <c r="I373" s="8">
        <f t="shared" ref="I373" si="1075">(IF(D373="SELL",E373-F373,IF(D373="BUY",F373-E373)))*C373</f>
        <v>2500</v>
      </c>
      <c r="J373" s="8">
        <v>0</v>
      </c>
      <c r="K373" s="2">
        <v>0</v>
      </c>
      <c r="L373" s="8">
        <f t="shared" ref="L373" si="1076">(J373+I373+K373)/C373</f>
        <v>0.5</v>
      </c>
      <c r="M373" s="8">
        <f t="shared" ref="M373" si="1077">L373*C373</f>
        <v>2500</v>
      </c>
    </row>
    <row r="374" spans="1:13" ht="15.75" customHeight="1" x14ac:dyDescent="0.25">
      <c r="A374" s="24">
        <v>44130</v>
      </c>
      <c r="B374" s="29" t="s">
        <v>19</v>
      </c>
      <c r="C374" s="11">
        <v>100</v>
      </c>
      <c r="D374" s="11" t="s">
        <v>11</v>
      </c>
      <c r="E374" s="11">
        <v>50600</v>
      </c>
      <c r="F374" s="11">
        <v>50730</v>
      </c>
      <c r="G374" s="34">
        <v>0</v>
      </c>
      <c r="H374" s="35">
        <v>0</v>
      </c>
      <c r="I374" s="8">
        <f t="shared" ref="I374" si="1078">(IF(D374="SELL",E374-F374,IF(D374="BUY",F374-E374)))*C374</f>
        <v>-13000</v>
      </c>
      <c r="J374" s="8">
        <v>0</v>
      </c>
      <c r="K374" s="2">
        <v>0</v>
      </c>
      <c r="L374" s="8">
        <f t="shared" ref="L374" si="1079">(J374+I374+K374)/C374</f>
        <v>-130</v>
      </c>
      <c r="M374" s="8">
        <f t="shared" ref="M374" si="1080">L374*C374</f>
        <v>-13000</v>
      </c>
    </row>
    <row r="375" spans="1:13" ht="15.75" customHeight="1" x14ac:dyDescent="0.25">
      <c r="A375" s="24">
        <v>44127</v>
      </c>
      <c r="B375" s="29" t="s">
        <v>75</v>
      </c>
      <c r="C375" s="11">
        <v>1250</v>
      </c>
      <c r="D375" s="11" t="s">
        <v>10</v>
      </c>
      <c r="E375" s="11">
        <v>220</v>
      </c>
      <c r="F375" s="11">
        <v>221.5</v>
      </c>
      <c r="G375" s="34">
        <v>0</v>
      </c>
      <c r="H375" s="35">
        <v>0</v>
      </c>
      <c r="I375" s="8">
        <f t="shared" ref="I375" si="1081">(IF(D375="SELL",E375-F375,IF(D375="BUY",F375-E375)))*C375</f>
        <v>1875</v>
      </c>
      <c r="J375" s="8">
        <v>0</v>
      </c>
      <c r="K375" s="2">
        <v>0</v>
      </c>
      <c r="L375" s="8">
        <f t="shared" ref="L375" si="1082">(J375+I375+K375)/C375</f>
        <v>1.5</v>
      </c>
      <c r="M375" s="8">
        <f t="shared" ref="M375" si="1083">L375*C375</f>
        <v>1875</v>
      </c>
    </row>
    <row r="376" spans="1:13" ht="15.75" customHeight="1" x14ac:dyDescent="0.25">
      <c r="A376" s="24">
        <v>44127</v>
      </c>
      <c r="B376" s="29" t="s">
        <v>14</v>
      </c>
      <c r="C376" s="11">
        <v>30</v>
      </c>
      <c r="D376" s="11" t="s">
        <v>10</v>
      </c>
      <c r="E376" s="11">
        <v>62960</v>
      </c>
      <c r="F376" s="11">
        <v>62710</v>
      </c>
      <c r="G376" s="34">
        <v>0</v>
      </c>
      <c r="H376" s="35">
        <v>0</v>
      </c>
      <c r="I376" s="8">
        <f t="shared" ref="I376" si="1084">(IF(D376="SELL",E376-F376,IF(D376="BUY",F376-E376)))*C376</f>
        <v>-7500</v>
      </c>
      <c r="J376" s="8">
        <v>0</v>
      </c>
      <c r="K376" s="2">
        <v>0</v>
      </c>
      <c r="L376" s="8">
        <f t="shared" ref="L376" si="1085">(J376+I376+K376)/C376</f>
        <v>-250</v>
      </c>
      <c r="M376" s="8">
        <f t="shared" ref="M376" si="1086">L376*C376</f>
        <v>-7500</v>
      </c>
    </row>
    <row r="377" spans="1:13" ht="15.75" customHeight="1" x14ac:dyDescent="0.25">
      <c r="A377" s="24">
        <v>44127</v>
      </c>
      <c r="B377" s="29" t="s">
        <v>17</v>
      </c>
      <c r="C377" s="11">
        <v>5000</v>
      </c>
      <c r="D377" s="11" t="s">
        <v>10</v>
      </c>
      <c r="E377" s="11">
        <v>205.1</v>
      </c>
      <c r="F377" s="11">
        <v>205.7</v>
      </c>
      <c r="G377" s="34">
        <v>206.6</v>
      </c>
      <c r="H377" s="35">
        <v>0</v>
      </c>
      <c r="I377" s="8">
        <f t="shared" ref="I377:I378" si="1087">(IF(D377="SELL",E377-F377,IF(D377="BUY",F377-E377)))*C377</f>
        <v>2999.9999999999718</v>
      </c>
      <c r="J377" s="8">
        <f>C377*0.9</f>
        <v>4500</v>
      </c>
      <c r="K377" s="2">
        <v>0</v>
      </c>
      <c r="L377" s="8">
        <f t="shared" ref="L377:L378" si="1088">(J377+I377+K377)/C377</f>
        <v>1.4999999999999944</v>
      </c>
      <c r="M377" s="8">
        <f t="shared" ref="M377:M378" si="1089">L377*C377</f>
        <v>7499.9999999999718</v>
      </c>
    </row>
    <row r="378" spans="1:13" ht="15.75" customHeight="1" x14ac:dyDescent="0.25">
      <c r="A378" s="24">
        <v>44127</v>
      </c>
      <c r="B378" s="29" t="s">
        <v>41</v>
      </c>
      <c r="C378" s="11">
        <v>100</v>
      </c>
      <c r="D378" s="11" t="s">
        <v>10</v>
      </c>
      <c r="E378" s="11">
        <v>50850</v>
      </c>
      <c r="F378" s="11">
        <v>50900</v>
      </c>
      <c r="G378" s="34">
        <v>50980</v>
      </c>
      <c r="H378" s="35">
        <v>0</v>
      </c>
      <c r="I378" s="8">
        <f t="shared" si="1087"/>
        <v>5000</v>
      </c>
      <c r="J378" s="8">
        <f>C378*80</f>
        <v>8000</v>
      </c>
      <c r="K378" s="2">
        <v>0</v>
      </c>
      <c r="L378" s="8">
        <f t="shared" si="1088"/>
        <v>130</v>
      </c>
      <c r="M378" s="8">
        <f t="shared" si="1089"/>
        <v>13000</v>
      </c>
    </row>
    <row r="379" spans="1:13" ht="15.75" customHeight="1" x14ac:dyDescent="0.25">
      <c r="A379" s="24">
        <v>44127</v>
      </c>
      <c r="B379" s="29" t="s">
        <v>75</v>
      </c>
      <c r="C379" s="11">
        <v>1250</v>
      </c>
      <c r="D379" s="11" t="s">
        <v>11</v>
      </c>
      <c r="E379" s="11">
        <v>218</v>
      </c>
      <c r="F379" s="11">
        <v>217</v>
      </c>
      <c r="G379" s="34">
        <v>215</v>
      </c>
      <c r="H379" s="35">
        <v>0</v>
      </c>
      <c r="I379" s="8">
        <f t="shared" ref="I379" si="1090">(IF(D379="SELL",E379-F379,IF(D379="BUY",F379-E379)))*C379</f>
        <v>1250</v>
      </c>
      <c r="J379" s="8">
        <f>C379*2</f>
        <v>2500</v>
      </c>
      <c r="K379" s="2">
        <v>0</v>
      </c>
      <c r="L379" s="8">
        <f t="shared" ref="L379" si="1091">(J379+I379+K379)/C379</f>
        <v>3</v>
      </c>
      <c r="M379" s="8">
        <f t="shared" ref="M379" si="1092">L379*C379</f>
        <v>3750</v>
      </c>
    </row>
    <row r="380" spans="1:13" ht="15.75" customHeight="1" x14ac:dyDescent="0.25">
      <c r="A380" s="24">
        <v>44127</v>
      </c>
      <c r="B380" s="29" t="s">
        <v>16</v>
      </c>
      <c r="C380" s="11">
        <v>100</v>
      </c>
      <c r="D380" s="11" t="s">
        <v>10</v>
      </c>
      <c r="E380" s="11">
        <v>3015</v>
      </c>
      <c r="F380" s="11">
        <v>2975</v>
      </c>
      <c r="G380" s="34">
        <v>0</v>
      </c>
      <c r="H380" s="35">
        <v>0</v>
      </c>
      <c r="I380" s="8">
        <f t="shared" ref="I380" si="1093">(IF(D380="SELL",E380-F380,IF(D380="BUY",F380-E380)))*C380</f>
        <v>-4000</v>
      </c>
      <c r="J380" s="8">
        <v>0</v>
      </c>
      <c r="K380" s="2">
        <v>0</v>
      </c>
      <c r="L380" s="8">
        <f t="shared" ref="L380" si="1094">(J380+I380+K380)/C380</f>
        <v>-40</v>
      </c>
      <c r="M380" s="8">
        <f t="shared" ref="M380" si="1095">L380*C380</f>
        <v>-4000</v>
      </c>
    </row>
    <row r="381" spans="1:13" ht="15.75" customHeight="1" x14ac:dyDescent="0.25">
      <c r="A381" s="24">
        <v>44126</v>
      </c>
      <c r="B381" s="29" t="s">
        <v>17</v>
      </c>
      <c r="C381" s="11">
        <v>5000</v>
      </c>
      <c r="D381" s="11" t="s">
        <v>11</v>
      </c>
      <c r="E381" s="11">
        <v>202.8</v>
      </c>
      <c r="F381" s="11">
        <v>203.8</v>
      </c>
      <c r="G381" s="34">
        <v>0</v>
      </c>
      <c r="H381" s="35">
        <v>0</v>
      </c>
      <c r="I381" s="8">
        <f t="shared" ref="I381" si="1096">(IF(D381="SELL",E381-F381,IF(D381="BUY",F381-E381)))*C381</f>
        <v>-5000</v>
      </c>
      <c r="J381" s="8">
        <v>0</v>
      </c>
      <c r="K381" s="2">
        <v>0</v>
      </c>
      <c r="L381" s="8">
        <f t="shared" ref="L381" si="1097">(J381+I381+K381)/C381</f>
        <v>-1</v>
      </c>
      <c r="M381" s="8">
        <f t="shared" ref="M381" si="1098">L381*C381</f>
        <v>-5000</v>
      </c>
    </row>
    <row r="382" spans="1:13" ht="15.75" customHeight="1" x14ac:dyDescent="0.25">
      <c r="A382" s="24">
        <v>44126</v>
      </c>
      <c r="B382" s="29" t="s">
        <v>52</v>
      </c>
      <c r="C382" s="11">
        <v>1250</v>
      </c>
      <c r="D382" s="11" t="s">
        <v>11</v>
      </c>
      <c r="E382" s="11">
        <v>220</v>
      </c>
      <c r="F382" s="11">
        <v>222.5</v>
      </c>
      <c r="G382" s="34">
        <v>0</v>
      </c>
      <c r="H382" s="35">
        <v>0</v>
      </c>
      <c r="I382" s="8">
        <f t="shared" ref="I382" si="1099">(IF(D382="SELL",E382-F382,IF(D382="BUY",F382-E382)))*C382</f>
        <v>-3125</v>
      </c>
      <c r="J382" s="8">
        <v>0</v>
      </c>
      <c r="K382" s="2">
        <v>0</v>
      </c>
      <c r="L382" s="8">
        <f t="shared" ref="L382" si="1100">(J382+I382+K382)/C382</f>
        <v>-2.5</v>
      </c>
      <c r="M382" s="8">
        <f t="shared" ref="M382" si="1101">L382*C382</f>
        <v>-3125</v>
      </c>
    </row>
    <row r="383" spans="1:13" ht="15.75" customHeight="1" x14ac:dyDescent="0.25">
      <c r="A383" s="24">
        <v>44126</v>
      </c>
      <c r="B383" s="29" t="s">
        <v>52</v>
      </c>
      <c r="C383" s="11">
        <v>1250</v>
      </c>
      <c r="D383" s="11" t="s">
        <v>10</v>
      </c>
      <c r="E383" s="11">
        <v>224.5</v>
      </c>
      <c r="F383" s="11">
        <v>222</v>
      </c>
      <c r="G383" s="34">
        <v>0</v>
      </c>
      <c r="H383" s="35">
        <v>0</v>
      </c>
      <c r="I383" s="8">
        <f t="shared" ref="I383" si="1102">(IF(D383="SELL",E383-F383,IF(D383="BUY",F383-E383)))*C383</f>
        <v>-3125</v>
      </c>
      <c r="J383" s="8">
        <v>0</v>
      </c>
      <c r="K383" s="2">
        <v>0</v>
      </c>
      <c r="L383" s="8">
        <f t="shared" ref="L383" si="1103">(J383+I383+K383)/C383</f>
        <v>-2.5</v>
      </c>
      <c r="M383" s="8">
        <f t="shared" ref="M383" si="1104">L383*C383</f>
        <v>-3125</v>
      </c>
    </row>
    <row r="384" spans="1:13" ht="15.75" customHeight="1" x14ac:dyDescent="0.25">
      <c r="A384" s="24">
        <v>44126</v>
      </c>
      <c r="B384" s="29" t="s">
        <v>18</v>
      </c>
      <c r="C384" s="11">
        <v>2500</v>
      </c>
      <c r="D384" s="11" t="s">
        <v>10</v>
      </c>
      <c r="E384" s="11">
        <v>538.5</v>
      </c>
      <c r="F384" s="11">
        <v>536</v>
      </c>
      <c r="G384" s="34">
        <v>0</v>
      </c>
      <c r="H384" s="35">
        <v>0</v>
      </c>
      <c r="I384" s="8">
        <f t="shared" ref="I384" si="1105">(IF(D384="SELL",E384-F384,IF(D384="BUY",F384-E384)))*C384</f>
        <v>-6250</v>
      </c>
      <c r="J384" s="8">
        <v>0</v>
      </c>
      <c r="K384" s="2">
        <v>0</v>
      </c>
      <c r="L384" s="8">
        <f t="shared" ref="L384" si="1106">(J384+I384+K384)/C384</f>
        <v>-2.5</v>
      </c>
      <c r="M384" s="8">
        <f t="shared" ref="M384" si="1107">L384*C384</f>
        <v>-6250</v>
      </c>
    </row>
    <row r="385" spans="1:13" ht="15.75" customHeight="1" x14ac:dyDescent="0.25">
      <c r="A385" s="24">
        <v>44126</v>
      </c>
      <c r="B385" s="29" t="s">
        <v>17</v>
      </c>
      <c r="C385" s="11">
        <v>5000</v>
      </c>
      <c r="D385" s="11" t="s">
        <v>10</v>
      </c>
      <c r="E385" s="11">
        <v>204.7</v>
      </c>
      <c r="F385" s="11">
        <v>205.3</v>
      </c>
      <c r="G385" s="34">
        <v>0</v>
      </c>
      <c r="H385" s="35">
        <v>0</v>
      </c>
      <c r="I385" s="8">
        <f t="shared" ref="I385" si="1108">(IF(D385="SELL",E385-F385,IF(D385="BUY",F385-E385)))*C385</f>
        <v>3000.0000000001137</v>
      </c>
      <c r="J385" s="8">
        <v>0</v>
      </c>
      <c r="K385" s="2">
        <v>0</v>
      </c>
      <c r="L385" s="8">
        <f t="shared" ref="L385" si="1109">(J385+I385+K385)/C385</f>
        <v>0.60000000000002274</v>
      </c>
      <c r="M385" s="8">
        <f t="shared" ref="M385" si="1110">L385*C385</f>
        <v>3000.0000000001137</v>
      </c>
    </row>
    <row r="386" spans="1:13" ht="15.75" customHeight="1" x14ac:dyDescent="0.25">
      <c r="A386" s="24">
        <v>44125</v>
      </c>
      <c r="B386" s="29" t="s">
        <v>16</v>
      </c>
      <c r="C386" s="11">
        <v>100</v>
      </c>
      <c r="D386" s="11" t="s">
        <v>10</v>
      </c>
      <c r="E386" s="11">
        <v>3042</v>
      </c>
      <c r="F386" s="11">
        <v>3000</v>
      </c>
      <c r="G386" s="34">
        <v>0</v>
      </c>
      <c r="H386" s="35">
        <v>0</v>
      </c>
      <c r="I386" s="8">
        <f t="shared" ref="I386" si="1111">(IF(D386="SELL",E386-F386,IF(D386="BUY",F386-E386)))*C386</f>
        <v>-4200</v>
      </c>
      <c r="J386" s="8">
        <v>0</v>
      </c>
      <c r="K386" s="2">
        <v>0</v>
      </c>
      <c r="L386" s="8">
        <f t="shared" ref="L386" si="1112">(J386+I386+K386)/C386</f>
        <v>-42</v>
      </c>
      <c r="M386" s="8">
        <f t="shared" ref="M386" si="1113">L386*C386</f>
        <v>-4200</v>
      </c>
    </row>
    <row r="387" spans="1:13" ht="15.75" customHeight="1" x14ac:dyDescent="0.25">
      <c r="A387" s="24">
        <v>44125</v>
      </c>
      <c r="B387" s="29" t="s">
        <v>21</v>
      </c>
      <c r="C387" s="11">
        <v>1500</v>
      </c>
      <c r="D387" s="11" t="s">
        <v>10</v>
      </c>
      <c r="E387" s="11">
        <v>1180.5</v>
      </c>
      <c r="F387" s="11">
        <v>1176</v>
      </c>
      <c r="G387" s="34">
        <v>0</v>
      </c>
      <c r="H387" s="35">
        <v>0</v>
      </c>
      <c r="I387" s="8">
        <f t="shared" ref="I387" si="1114">(IF(D387="SELL",E387-F387,IF(D387="BUY",F387-E387)))*C387</f>
        <v>-6750</v>
      </c>
      <c r="J387" s="8">
        <v>0</v>
      </c>
      <c r="K387" s="2">
        <v>0</v>
      </c>
      <c r="L387" s="8">
        <f t="shared" ref="L387" si="1115">(J387+I387+K387)/C387</f>
        <v>-4.5</v>
      </c>
      <c r="M387" s="8">
        <f t="shared" ref="M387" si="1116">L387*C387</f>
        <v>-6750</v>
      </c>
    </row>
    <row r="388" spans="1:13" ht="15.75" customHeight="1" x14ac:dyDescent="0.25">
      <c r="A388" s="24">
        <v>44125</v>
      </c>
      <c r="B388" s="29" t="s">
        <v>15</v>
      </c>
      <c r="C388" s="11">
        <v>5000</v>
      </c>
      <c r="D388" s="11" t="s">
        <v>10</v>
      </c>
      <c r="E388" s="11">
        <v>151.5</v>
      </c>
      <c r="F388" s="11">
        <v>152</v>
      </c>
      <c r="G388" s="34">
        <v>0</v>
      </c>
      <c r="H388" s="35">
        <v>0</v>
      </c>
      <c r="I388" s="8">
        <f t="shared" ref="I388" si="1117">(IF(D388="SELL",E388-F388,IF(D388="BUY",F388-E388)))*C388</f>
        <v>2500</v>
      </c>
      <c r="J388" s="8">
        <v>0</v>
      </c>
      <c r="K388" s="2">
        <v>0</v>
      </c>
      <c r="L388" s="8">
        <f t="shared" ref="L388" si="1118">(J388+I388+K388)/C388</f>
        <v>0.5</v>
      </c>
      <c r="M388" s="8">
        <f t="shared" ref="M388" si="1119">L388*C388</f>
        <v>2500</v>
      </c>
    </row>
    <row r="389" spans="1:13" ht="15.75" customHeight="1" x14ac:dyDescent="0.25">
      <c r="A389" s="24">
        <v>44125</v>
      </c>
      <c r="B389" s="29" t="s">
        <v>14</v>
      </c>
      <c r="C389" s="11">
        <v>30</v>
      </c>
      <c r="D389" s="11" t="s">
        <v>10</v>
      </c>
      <c r="E389" s="11">
        <v>63600</v>
      </c>
      <c r="F389" s="11">
        <v>63350</v>
      </c>
      <c r="G389" s="34">
        <v>0</v>
      </c>
      <c r="H389" s="35">
        <v>0</v>
      </c>
      <c r="I389" s="8">
        <f t="shared" ref="I389" si="1120">(IF(D389="SELL",E389-F389,IF(D389="BUY",F389-E389)))*C389</f>
        <v>-7500</v>
      </c>
      <c r="J389" s="8">
        <v>0</v>
      </c>
      <c r="K389" s="2">
        <v>0</v>
      </c>
      <c r="L389" s="8">
        <f t="shared" ref="L389" si="1121">(J389+I389+K389)/C389</f>
        <v>-250</v>
      </c>
      <c r="M389" s="8">
        <f t="shared" ref="M389" si="1122">L389*C389</f>
        <v>-7500</v>
      </c>
    </row>
    <row r="390" spans="1:13" ht="15.75" customHeight="1" x14ac:dyDescent="0.25">
      <c r="A390" s="24">
        <v>44125</v>
      </c>
      <c r="B390" s="29" t="s">
        <v>19</v>
      </c>
      <c r="C390" s="11">
        <v>100</v>
      </c>
      <c r="D390" s="11" t="s">
        <v>10</v>
      </c>
      <c r="E390" s="11">
        <v>51135</v>
      </c>
      <c r="F390" s="11">
        <v>51190</v>
      </c>
      <c r="G390" s="34">
        <v>51275</v>
      </c>
      <c r="H390" s="35">
        <v>0</v>
      </c>
      <c r="I390" s="8">
        <f t="shared" ref="I390" si="1123">(IF(D390="SELL",E390-F390,IF(D390="BUY",F390-E390)))*C390</f>
        <v>5500</v>
      </c>
      <c r="J390" s="8">
        <f>C390*85</f>
        <v>8500</v>
      </c>
      <c r="K390" s="2">
        <v>0</v>
      </c>
      <c r="L390" s="8">
        <f t="shared" ref="L390" si="1124">(J390+I390+K390)/C390</f>
        <v>140</v>
      </c>
      <c r="M390" s="8">
        <f t="shared" ref="M390" si="1125">L390*C390</f>
        <v>14000</v>
      </c>
    </row>
    <row r="391" spans="1:13" ht="15.75" customHeight="1" x14ac:dyDescent="0.25">
      <c r="A391" s="24">
        <v>44125</v>
      </c>
      <c r="B391" s="29" t="s">
        <v>52</v>
      </c>
      <c r="C391" s="11">
        <v>1250</v>
      </c>
      <c r="D391" s="11" t="s">
        <v>10</v>
      </c>
      <c r="E391" s="11">
        <v>218.3</v>
      </c>
      <c r="F391" s="11">
        <v>220</v>
      </c>
      <c r="G391" s="34">
        <v>224</v>
      </c>
      <c r="H391" s="35">
        <v>0</v>
      </c>
      <c r="I391" s="8">
        <f t="shared" ref="I391" si="1126">(IF(D391="SELL",E391-F391,IF(D391="BUY",F391-E391)))*C391</f>
        <v>2124.9999999999859</v>
      </c>
      <c r="J391" s="8">
        <f>C391*4</f>
        <v>5000</v>
      </c>
      <c r="K391" s="2">
        <v>0</v>
      </c>
      <c r="L391" s="8">
        <f t="shared" ref="L391" si="1127">(J391+I391+K391)/C391</f>
        <v>5.6999999999999886</v>
      </c>
      <c r="M391" s="8">
        <f t="shared" ref="M391" si="1128">L391*C391</f>
        <v>7124.9999999999854</v>
      </c>
    </row>
    <row r="392" spans="1:13" ht="15.75" customHeight="1" x14ac:dyDescent="0.25">
      <c r="A392" s="24">
        <v>44125</v>
      </c>
      <c r="B392" s="29" t="s">
        <v>14</v>
      </c>
      <c r="C392" s="11">
        <v>30</v>
      </c>
      <c r="D392" s="11" t="s">
        <v>10</v>
      </c>
      <c r="E392" s="11">
        <v>63750</v>
      </c>
      <c r="F392" s="11">
        <v>63500</v>
      </c>
      <c r="G392" s="34">
        <v>0</v>
      </c>
      <c r="H392" s="35">
        <v>0</v>
      </c>
      <c r="I392" s="8">
        <f t="shared" ref="I392" si="1129">(IF(D392="SELL",E392-F392,IF(D392="BUY",F392-E392)))*C392</f>
        <v>-7500</v>
      </c>
      <c r="J392" s="8">
        <v>0</v>
      </c>
      <c r="K392" s="2">
        <v>0</v>
      </c>
      <c r="L392" s="8">
        <f t="shared" ref="L392" si="1130">(J392+I392+K392)/C392</f>
        <v>-250</v>
      </c>
      <c r="M392" s="8">
        <f t="shared" ref="M392" si="1131">L392*C392</f>
        <v>-7500</v>
      </c>
    </row>
    <row r="393" spans="1:13" ht="15.75" customHeight="1" x14ac:dyDescent="0.25">
      <c r="A393" s="24">
        <v>44125</v>
      </c>
      <c r="B393" s="29" t="s">
        <v>18</v>
      </c>
      <c r="C393" s="11">
        <v>2500</v>
      </c>
      <c r="D393" s="11" t="s">
        <v>10</v>
      </c>
      <c r="E393" s="11">
        <v>535.5</v>
      </c>
      <c r="F393" s="11">
        <v>537</v>
      </c>
      <c r="G393" s="34">
        <v>538.5</v>
      </c>
      <c r="H393" s="35">
        <v>0</v>
      </c>
      <c r="I393" s="8">
        <f t="shared" ref="I393" si="1132">(IF(D393="SELL",E393-F393,IF(D393="BUY",F393-E393)))*C393</f>
        <v>3750</v>
      </c>
      <c r="J393" s="8">
        <f>C393*1.5</f>
        <v>3750</v>
      </c>
      <c r="K393" s="2">
        <v>0</v>
      </c>
      <c r="L393" s="8">
        <f t="shared" ref="L393" si="1133">(J393+I393+K393)/C393</f>
        <v>3</v>
      </c>
      <c r="M393" s="8">
        <f t="shared" ref="M393" si="1134">L393*C393</f>
        <v>7500</v>
      </c>
    </row>
    <row r="394" spans="1:13" ht="15.75" customHeight="1" x14ac:dyDescent="0.25">
      <c r="A394" s="24">
        <v>44125</v>
      </c>
      <c r="B394" s="29" t="s">
        <v>17</v>
      </c>
      <c r="C394" s="11">
        <v>5000</v>
      </c>
      <c r="D394" s="11" t="s">
        <v>10</v>
      </c>
      <c r="E394" s="11">
        <v>202</v>
      </c>
      <c r="F394" s="11">
        <v>202.5</v>
      </c>
      <c r="G394" s="34">
        <v>203.5</v>
      </c>
      <c r="H394" s="35">
        <v>0</v>
      </c>
      <c r="I394" s="8">
        <f t="shared" ref="I394" si="1135">(IF(D394="SELL",E394-F394,IF(D394="BUY",F394-E394)))*C394</f>
        <v>2500</v>
      </c>
      <c r="J394" s="8">
        <f>C394*1</f>
        <v>5000</v>
      </c>
      <c r="K394" s="2">
        <v>0</v>
      </c>
      <c r="L394" s="8">
        <f t="shared" ref="L394" si="1136">(J394+I394+K394)/C394</f>
        <v>1.5</v>
      </c>
      <c r="M394" s="8">
        <f t="shared" ref="M394" si="1137">L394*C394</f>
        <v>7500</v>
      </c>
    </row>
    <row r="395" spans="1:13" ht="15.75" customHeight="1" x14ac:dyDescent="0.25">
      <c r="A395" s="24">
        <v>44124</v>
      </c>
      <c r="B395" s="29" t="s">
        <v>19</v>
      </c>
      <c r="C395" s="11">
        <v>100</v>
      </c>
      <c r="D395" s="11" t="s">
        <v>10</v>
      </c>
      <c r="E395" s="11">
        <v>50790</v>
      </c>
      <c r="F395" s="11">
        <v>50840</v>
      </c>
      <c r="G395" s="34">
        <v>0</v>
      </c>
      <c r="H395" s="35">
        <v>0</v>
      </c>
      <c r="I395" s="8">
        <f t="shared" ref="I395" si="1138">(IF(D395="SELL",E395-F395,IF(D395="BUY",F395-E395)))*C395</f>
        <v>5000</v>
      </c>
      <c r="J395" s="8">
        <v>0</v>
      </c>
      <c r="K395" s="2">
        <v>0</v>
      </c>
      <c r="L395" s="8">
        <f t="shared" ref="L395" si="1139">(J395+I395+K395)/C395</f>
        <v>50</v>
      </c>
      <c r="M395" s="8">
        <f t="shared" ref="M395" si="1140">L395*C395</f>
        <v>5000</v>
      </c>
    </row>
    <row r="396" spans="1:13" ht="15.75" customHeight="1" x14ac:dyDescent="0.25">
      <c r="A396" s="24">
        <v>44124</v>
      </c>
      <c r="B396" s="29" t="s">
        <v>14</v>
      </c>
      <c r="C396" s="11">
        <v>30</v>
      </c>
      <c r="D396" s="11" t="s">
        <v>10</v>
      </c>
      <c r="E396" s="11">
        <v>62560</v>
      </c>
      <c r="F396" s="11">
        <v>62760</v>
      </c>
      <c r="G396" s="34">
        <v>0</v>
      </c>
      <c r="H396" s="35">
        <v>0</v>
      </c>
      <c r="I396" s="8">
        <f t="shared" ref="I396" si="1141">(IF(D396="SELL",E396-F396,IF(D396="BUY",F396-E396)))*C396</f>
        <v>6000</v>
      </c>
      <c r="J396" s="8">
        <v>0</v>
      </c>
      <c r="K396" s="2">
        <v>0</v>
      </c>
      <c r="L396" s="8">
        <f t="shared" ref="L396" si="1142">(J396+I396+K396)/C396</f>
        <v>200</v>
      </c>
      <c r="M396" s="8">
        <f t="shared" ref="M396" si="1143">L396*C396</f>
        <v>6000</v>
      </c>
    </row>
    <row r="397" spans="1:13" ht="15.75" customHeight="1" x14ac:dyDescent="0.25">
      <c r="A397" s="24">
        <v>44124</v>
      </c>
      <c r="B397" s="29" t="s">
        <v>52</v>
      </c>
      <c r="C397" s="11">
        <v>1250</v>
      </c>
      <c r="D397" s="11" t="s">
        <v>10</v>
      </c>
      <c r="E397" s="11">
        <v>211</v>
      </c>
      <c r="F397" s="11">
        <v>212.5</v>
      </c>
      <c r="G397" s="34">
        <v>215</v>
      </c>
      <c r="H397" s="35">
        <v>0</v>
      </c>
      <c r="I397" s="8">
        <f t="shared" ref="I397:I428" si="1144">(IF(D397="SELL",E397-F397,IF(D397="BUY",F397-E397)))*C397</f>
        <v>1875</v>
      </c>
      <c r="J397" s="8">
        <f>C397*2.5</f>
        <v>3125</v>
      </c>
      <c r="K397" s="2">
        <v>0</v>
      </c>
      <c r="L397" s="8">
        <f t="shared" ref="L397" si="1145">(J397+I397+K397)/C397</f>
        <v>4</v>
      </c>
      <c r="M397" s="8">
        <f t="shared" ref="M397:M436" si="1146">L397*C397</f>
        <v>5000</v>
      </c>
    </row>
    <row r="398" spans="1:13" ht="15.75" customHeight="1" x14ac:dyDescent="0.25">
      <c r="A398" s="24">
        <v>44124</v>
      </c>
      <c r="B398" s="29" t="s">
        <v>21</v>
      </c>
      <c r="C398" s="11">
        <v>1500</v>
      </c>
      <c r="D398" s="11" t="s">
        <v>10</v>
      </c>
      <c r="E398" s="11">
        <v>1157.5</v>
      </c>
      <c r="F398" s="11">
        <v>1161.5</v>
      </c>
      <c r="G398" s="34">
        <v>0</v>
      </c>
      <c r="H398" s="35">
        <v>0</v>
      </c>
      <c r="I398" s="8">
        <f t="shared" si="1144"/>
        <v>6000</v>
      </c>
      <c r="J398" s="8">
        <v>0</v>
      </c>
      <c r="K398" s="2">
        <v>0</v>
      </c>
      <c r="L398" s="8">
        <f t="shared" ref="L398" si="1147">(J398+I398+K398)/C398</f>
        <v>4</v>
      </c>
      <c r="M398" s="8">
        <f t="shared" si="1146"/>
        <v>6000</v>
      </c>
    </row>
    <row r="399" spans="1:13" ht="15.75" customHeight="1" x14ac:dyDescent="0.25">
      <c r="A399" s="24">
        <v>44124</v>
      </c>
      <c r="B399" s="29" t="s">
        <v>17</v>
      </c>
      <c r="C399" s="11">
        <v>5000</v>
      </c>
      <c r="D399" s="11" t="s">
        <v>10</v>
      </c>
      <c r="E399" s="11">
        <v>197</v>
      </c>
      <c r="F399" s="11">
        <v>197.5</v>
      </c>
      <c r="G399" s="34">
        <v>198.5</v>
      </c>
      <c r="H399" s="35">
        <v>0</v>
      </c>
      <c r="I399" s="8">
        <f t="shared" si="1144"/>
        <v>2500</v>
      </c>
      <c r="J399" s="8">
        <f>C399*1</f>
        <v>5000</v>
      </c>
      <c r="K399" s="2">
        <v>0</v>
      </c>
      <c r="L399" s="8">
        <f t="shared" ref="L399" si="1148">(J399+I399+K399)/C399</f>
        <v>1.5</v>
      </c>
      <c r="M399" s="8">
        <f t="shared" si="1146"/>
        <v>7500</v>
      </c>
    </row>
    <row r="400" spans="1:13" ht="15.75" customHeight="1" x14ac:dyDescent="0.25">
      <c r="A400" s="24">
        <v>44124</v>
      </c>
      <c r="B400" s="29" t="s">
        <v>18</v>
      </c>
      <c r="C400" s="11">
        <v>2500</v>
      </c>
      <c r="D400" s="11" t="s">
        <v>10</v>
      </c>
      <c r="E400" s="11">
        <v>530.6</v>
      </c>
      <c r="F400" s="11">
        <v>532</v>
      </c>
      <c r="G400" s="34">
        <v>0</v>
      </c>
      <c r="H400" s="35">
        <v>0</v>
      </c>
      <c r="I400" s="8">
        <f t="shared" si="1144"/>
        <v>3499.9999999999432</v>
      </c>
      <c r="J400" s="8">
        <v>0</v>
      </c>
      <c r="K400" s="2">
        <v>0</v>
      </c>
      <c r="L400" s="8">
        <f t="shared" ref="L400" si="1149">(J400+I400+K400)/C400</f>
        <v>1.3999999999999773</v>
      </c>
      <c r="M400" s="8">
        <f t="shared" si="1146"/>
        <v>3499.9999999999432</v>
      </c>
    </row>
    <row r="401" spans="1:13" ht="15.75" customHeight="1" x14ac:dyDescent="0.25">
      <c r="A401" s="24">
        <v>44124</v>
      </c>
      <c r="B401" s="29" t="s">
        <v>19</v>
      </c>
      <c r="C401" s="11">
        <v>100</v>
      </c>
      <c r="D401" s="11" t="s">
        <v>11</v>
      </c>
      <c r="E401" s="11">
        <v>50510</v>
      </c>
      <c r="F401" s="11">
        <v>50590</v>
      </c>
      <c r="G401" s="34">
        <v>0</v>
      </c>
      <c r="H401" s="35">
        <v>0</v>
      </c>
      <c r="I401" s="8">
        <f t="shared" si="1144"/>
        <v>-8000</v>
      </c>
      <c r="J401" s="8">
        <v>0</v>
      </c>
      <c r="K401" s="2">
        <v>0</v>
      </c>
      <c r="L401" s="8">
        <f t="shared" ref="L401" si="1150">(J401+I401+K401)/C401</f>
        <v>-80</v>
      </c>
      <c r="M401" s="8">
        <f t="shared" si="1146"/>
        <v>-8000</v>
      </c>
    </row>
    <row r="402" spans="1:13" ht="15.75" customHeight="1" x14ac:dyDescent="0.25">
      <c r="A402" s="24">
        <v>44123</v>
      </c>
      <c r="B402" s="29" t="s">
        <v>16</v>
      </c>
      <c r="C402" s="11">
        <v>100</v>
      </c>
      <c r="D402" s="11" t="s">
        <v>10</v>
      </c>
      <c r="E402" s="11">
        <v>3015</v>
      </c>
      <c r="F402" s="11">
        <v>3000</v>
      </c>
      <c r="G402" s="34">
        <v>0</v>
      </c>
      <c r="H402" s="35">
        <v>0</v>
      </c>
      <c r="I402" s="8">
        <f t="shared" si="1144"/>
        <v>-1500</v>
      </c>
      <c r="J402" s="8">
        <v>0</v>
      </c>
      <c r="K402" s="2">
        <v>0</v>
      </c>
      <c r="L402" s="8">
        <f t="shared" ref="L402" si="1151">(J402+I402+K402)/C402</f>
        <v>-15</v>
      </c>
      <c r="M402" s="8">
        <f t="shared" si="1146"/>
        <v>-1500</v>
      </c>
    </row>
    <row r="403" spans="1:13" ht="15.75" customHeight="1" x14ac:dyDescent="0.25">
      <c r="A403" s="24">
        <v>44123</v>
      </c>
      <c r="B403" s="29" t="s">
        <v>17</v>
      </c>
      <c r="C403" s="11">
        <v>5000</v>
      </c>
      <c r="D403" s="11" t="s">
        <v>11</v>
      </c>
      <c r="E403" s="11">
        <v>195.7</v>
      </c>
      <c r="F403" s="11">
        <v>196.8</v>
      </c>
      <c r="G403" s="34">
        <v>0</v>
      </c>
      <c r="H403" s="35">
        <v>0</v>
      </c>
      <c r="I403" s="8">
        <f t="shared" si="1144"/>
        <v>-5500.0000000001137</v>
      </c>
      <c r="J403" s="8">
        <v>0</v>
      </c>
      <c r="K403" s="2">
        <v>0</v>
      </c>
      <c r="L403" s="8">
        <f t="shared" ref="L403" si="1152">(J403+I403+K403)/C403</f>
        <v>-1.1000000000000227</v>
      </c>
      <c r="M403" s="8">
        <f t="shared" si="1146"/>
        <v>-5500.0000000001137</v>
      </c>
    </row>
    <row r="404" spans="1:13" ht="15.75" customHeight="1" x14ac:dyDescent="0.25">
      <c r="A404" s="24">
        <v>44123</v>
      </c>
      <c r="B404" s="29" t="s">
        <v>14</v>
      </c>
      <c r="C404" s="11">
        <v>30</v>
      </c>
      <c r="D404" s="11" t="s">
        <v>10</v>
      </c>
      <c r="E404" s="11">
        <v>62750</v>
      </c>
      <c r="F404" s="11">
        <v>62950</v>
      </c>
      <c r="G404" s="34">
        <v>0</v>
      </c>
      <c r="H404" s="35">
        <v>0</v>
      </c>
      <c r="I404" s="8">
        <f t="shared" si="1144"/>
        <v>6000</v>
      </c>
      <c r="J404" s="8">
        <v>0</v>
      </c>
      <c r="K404" s="2">
        <v>0</v>
      </c>
      <c r="L404" s="8">
        <f t="shared" ref="L404" si="1153">(J404+I404+K404)/C404</f>
        <v>200</v>
      </c>
      <c r="M404" s="8">
        <f t="shared" si="1146"/>
        <v>6000</v>
      </c>
    </row>
    <row r="405" spans="1:13" ht="15.75" customHeight="1" x14ac:dyDescent="0.25">
      <c r="A405" s="24">
        <v>44123</v>
      </c>
      <c r="B405" s="29" t="s">
        <v>18</v>
      </c>
      <c r="C405" s="11">
        <v>2500</v>
      </c>
      <c r="D405" s="11" t="s">
        <v>10</v>
      </c>
      <c r="E405" s="11">
        <v>528.5</v>
      </c>
      <c r="F405" s="11">
        <v>530</v>
      </c>
      <c r="G405" s="34">
        <v>533.5</v>
      </c>
      <c r="H405" s="35">
        <v>0</v>
      </c>
      <c r="I405" s="8">
        <f t="shared" si="1144"/>
        <v>3750</v>
      </c>
      <c r="J405" s="8">
        <f>C405*3.5</f>
        <v>8750</v>
      </c>
      <c r="K405" s="2">
        <v>0</v>
      </c>
      <c r="L405" s="8">
        <f t="shared" ref="L405" si="1154">(J405+I405+K405)/C405</f>
        <v>5</v>
      </c>
      <c r="M405" s="8">
        <f t="shared" si="1146"/>
        <v>12500</v>
      </c>
    </row>
    <row r="406" spans="1:13" ht="15.75" customHeight="1" x14ac:dyDescent="0.25">
      <c r="A406" s="24">
        <v>44123</v>
      </c>
      <c r="B406" s="29" t="s">
        <v>19</v>
      </c>
      <c r="C406" s="11">
        <v>100</v>
      </c>
      <c r="D406" s="11" t="s">
        <v>10</v>
      </c>
      <c r="E406" s="11">
        <v>50790</v>
      </c>
      <c r="F406" s="11">
        <v>50840</v>
      </c>
      <c r="G406" s="34">
        <v>50910</v>
      </c>
      <c r="H406" s="35">
        <v>0</v>
      </c>
      <c r="I406" s="8">
        <f t="shared" si="1144"/>
        <v>5000</v>
      </c>
      <c r="J406" s="8">
        <f>C406*70</f>
        <v>7000</v>
      </c>
      <c r="K406" s="2">
        <v>0</v>
      </c>
      <c r="L406" s="8">
        <f t="shared" ref="L406" si="1155">(J406+I406+K406)/C406</f>
        <v>120</v>
      </c>
      <c r="M406" s="8">
        <f t="shared" si="1146"/>
        <v>12000</v>
      </c>
    </row>
    <row r="407" spans="1:13" ht="15.75" customHeight="1" x14ac:dyDescent="0.25">
      <c r="A407" s="24">
        <v>44123</v>
      </c>
      <c r="B407" s="29" t="s">
        <v>52</v>
      </c>
      <c r="C407" s="11">
        <v>1250</v>
      </c>
      <c r="D407" s="11" t="s">
        <v>11</v>
      </c>
      <c r="E407" s="11">
        <v>198</v>
      </c>
      <c r="F407" s="11">
        <v>196.5</v>
      </c>
      <c r="G407" s="34">
        <v>0</v>
      </c>
      <c r="H407" s="35">
        <v>0</v>
      </c>
      <c r="I407" s="8">
        <f t="shared" si="1144"/>
        <v>1875</v>
      </c>
      <c r="J407" s="8">
        <f>C407*1</f>
        <v>1250</v>
      </c>
      <c r="K407" s="2">
        <v>0</v>
      </c>
      <c r="L407" s="8">
        <f t="shared" ref="L407" si="1156">(J407+I407+K407)/C407</f>
        <v>2.5</v>
      </c>
      <c r="M407" s="8">
        <f t="shared" si="1146"/>
        <v>3125</v>
      </c>
    </row>
    <row r="408" spans="1:13" ht="15.75" customHeight="1" x14ac:dyDescent="0.25">
      <c r="A408" s="24">
        <v>44123</v>
      </c>
      <c r="B408" s="29" t="s">
        <v>14</v>
      </c>
      <c r="C408" s="11">
        <v>30</v>
      </c>
      <c r="D408" s="11" t="s">
        <v>10</v>
      </c>
      <c r="E408" s="11">
        <v>62700</v>
      </c>
      <c r="F408" s="11">
        <v>62400</v>
      </c>
      <c r="G408" s="34">
        <v>0</v>
      </c>
      <c r="H408" s="35">
        <v>0</v>
      </c>
      <c r="I408" s="8">
        <f t="shared" si="1144"/>
        <v>-9000</v>
      </c>
      <c r="J408" s="8">
        <v>0</v>
      </c>
      <c r="K408" s="2">
        <v>0</v>
      </c>
      <c r="L408" s="8">
        <f t="shared" ref="L408" si="1157">(J408+I408+K408)/C408</f>
        <v>-300</v>
      </c>
      <c r="M408" s="8">
        <f t="shared" si="1146"/>
        <v>-9000</v>
      </c>
    </row>
    <row r="409" spans="1:13" ht="15.75" customHeight="1" x14ac:dyDescent="0.25">
      <c r="A409" s="24">
        <v>44123</v>
      </c>
      <c r="B409" s="29" t="s">
        <v>17</v>
      </c>
      <c r="C409" s="11">
        <v>5000</v>
      </c>
      <c r="D409" s="11" t="s">
        <v>10</v>
      </c>
      <c r="E409" s="11">
        <v>195.5</v>
      </c>
      <c r="F409" s="11">
        <v>196</v>
      </c>
      <c r="G409" s="34">
        <v>197</v>
      </c>
      <c r="H409" s="35">
        <v>0</v>
      </c>
      <c r="I409" s="8">
        <f t="shared" si="1144"/>
        <v>2500</v>
      </c>
      <c r="J409" s="8">
        <f>C409*1</f>
        <v>5000</v>
      </c>
      <c r="K409" s="2">
        <v>0</v>
      </c>
      <c r="L409" s="8">
        <f t="shared" ref="L409" si="1158">(J409+I409+K409)/C409</f>
        <v>1.5</v>
      </c>
      <c r="M409" s="8">
        <f t="shared" si="1146"/>
        <v>7500</v>
      </c>
    </row>
    <row r="410" spans="1:13" ht="15.75" customHeight="1" x14ac:dyDescent="0.25">
      <c r="A410" s="24">
        <v>44120</v>
      </c>
      <c r="B410" s="29" t="s">
        <v>19</v>
      </c>
      <c r="C410" s="11">
        <v>100</v>
      </c>
      <c r="D410" s="11" t="s">
        <v>10</v>
      </c>
      <c r="E410" s="11">
        <v>50800</v>
      </c>
      <c r="F410" s="11">
        <v>50710</v>
      </c>
      <c r="G410" s="34">
        <v>0</v>
      </c>
      <c r="H410" s="35">
        <v>0</v>
      </c>
      <c r="I410" s="8">
        <f t="shared" si="1144"/>
        <v>-9000</v>
      </c>
      <c r="J410" s="8">
        <v>0</v>
      </c>
      <c r="K410" s="2">
        <v>0</v>
      </c>
      <c r="L410" s="8">
        <f t="shared" ref="L410" si="1159">(J410+I410+K410)/C410</f>
        <v>-90</v>
      </c>
      <c r="M410" s="8">
        <f t="shared" si="1146"/>
        <v>-9000</v>
      </c>
    </row>
    <row r="411" spans="1:13" ht="15.75" customHeight="1" x14ac:dyDescent="0.25">
      <c r="A411" s="24">
        <v>44120</v>
      </c>
      <c r="B411" s="29" t="s">
        <v>21</v>
      </c>
      <c r="C411" s="11">
        <v>1250</v>
      </c>
      <c r="D411" s="11" t="s">
        <v>10</v>
      </c>
      <c r="E411" s="11">
        <v>1143</v>
      </c>
      <c r="F411" s="11">
        <v>1147</v>
      </c>
      <c r="G411" s="34">
        <v>0</v>
      </c>
      <c r="H411" s="35">
        <v>0</v>
      </c>
      <c r="I411" s="8">
        <f t="shared" si="1144"/>
        <v>5000</v>
      </c>
      <c r="J411" s="8">
        <v>0</v>
      </c>
      <c r="K411" s="2">
        <v>0</v>
      </c>
      <c r="L411" s="8">
        <f t="shared" ref="L411" si="1160">(J411+I411+K411)/C411</f>
        <v>4</v>
      </c>
      <c r="M411" s="8">
        <f t="shared" si="1146"/>
        <v>5000</v>
      </c>
    </row>
    <row r="412" spans="1:13" ht="15.75" customHeight="1" x14ac:dyDescent="0.25">
      <c r="A412" s="24">
        <v>44120</v>
      </c>
      <c r="B412" s="29" t="s">
        <v>52</v>
      </c>
      <c r="C412" s="11">
        <v>1250</v>
      </c>
      <c r="D412" s="11" t="s">
        <v>10</v>
      </c>
      <c r="E412" s="11">
        <v>205.5</v>
      </c>
      <c r="F412" s="11">
        <v>207</v>
      </c>
      <c r="G412" s="34">
        <v>0</v>
      </c>
      <c r="H412" s="35">
        <v>0</v>
      </c>
      <c r="I412" s="8">
        <f t="shared" si="1144"/>
        <v>1875</v>
      </c>
      <c r="J412" s="8">
        <v>0</v>
      </c>
      <c r="K412" s="2">
        <v>0</v>
      </c>
      <c r="L412" s="8">
        <f t="shared" ref="L412" si="1161">(J412+I412+K412)/C412</f>
        <v>1.5</v>
      </c>
      <c r="M412" s="8">
        <f t="shared" si="1146"/>
        <v>1875</v>
      </c>
    </row>
    <row r="413" spans="1:13" ht="15.75" customHeight="1" x14ac:dyDescent="0.25">
      <c r="A413" s="24">
        <v>44120</v>
      </c>
      <c r="B413" s="29" t="s">
        <v>14</v>
      </c>
      <c r="C413" s="11">
        <v>30</v>
      </c>
      <c r="D413" s="11" t="s">
        <v>10</v>
      </c>
      <c r="E413" s="11">
        <v>61890</v>
      </c>
      <c r="F413" s="11">
        <v>62000</v>
      </c>
      <c r="G413" s="34">
        <v>0</v>
      </c>
      <c r="H413" s="35">
        <v>0</v>
      </c>
      <c r="I413" s="8">
        <f t="shared" si="1144"/>
        <v>3300</v>
      </c>
      <c r="J413" s="8">
        <v>0</v>
      </c>
      <c r="K413" s="2">
        <v>0</v>
      </c>
      <c r="L413" s="8">
        <f t="shared" ref="L413" si="1162">(J413+I413+K413)/C413</f>
        <v>110</v>
      </c>
      <c r="M413" s="8">
        <f t="shared" si="1146"/>
        <v>3300</v>
      </c>
    </row>
    <row r="414" spans="1:13" ht="15.75" customHeight="1" x14ac:dyDescent="0.25">
      <c r="A414" s="24">
        <v>44120</v>
      </c>
      <c r="B414" s="29" t="s">
        <v>19</v>
      </c>
      <c r="C414" s="11">
        <v>100</v>
      </c>
      <c r="D414" s="11" t="s">
        <v>10</v>
      </c>
      <c r="E414" s="11">
        <v>50690</v>
      </c>
      <c r="F414" s="11">
        <v>50740</v>
      </c>
      <c r="G414" s="34">
        <v>50820</v>
      </c>
      <c r="H414" s="35">
        <v>0</v>
      </c>
      <c r="I414" s="8">
        <f t="shared" si="1144"/>
        <v>5000</v>
      </c>
      <c r="J414" s="8">
        <f>C414*80</f>
        <v>8000</v>
      </c>
      <c r="K414" s="2">
        <v>0</v>
      </c>
      <c r="L414" s="8">
        <f t="shared" ref="L414" si="1163">(J414+I414+K414)/C414</f>
        <v>130</v>
      </c>
      <c r="M414" s="8">
        <f t="shared" si="1146"/>
        <v>13000</v>
      </c>
    </row>
    <row r="415" spans="1:13" ht="15.75" customHeight="1" x14ac:dyDescent="0.25">
      <c r="A415" s="24">
        <v>44120</v>
      </c>
      <c r="B415" s="29" t="s">
        <v>17</v>
      </c>
      <c r="C415" s="11">
        <v>5000</v>
      </c>
      <c r="D415" s="11" t="s">
        <v>10</v>
      </c>
      <c r="E415" s="11">
        <v>193.7</v>
      </c>
      <c r="F415" s="11">
        <v>194.2</v>
      </c>
      <c r="G415" s="34">
        <v>0</v>
      </c>
      <c r="H415" s="35">
        <v>0</v>
      </c>
      <c r="I415" s="8">
        <f t="shared" si="1144"/>
        <v>2500</v>
      </c>
      <c r="J415" s="8">
        <v>0</v>
      </c>
      <c r="K415" s="2">
        <v>0</v>
      </c>
      <c r="L415" s="8">
        <f t="shared" ref="L415" si="1164">(J415+I415+K415)/C415</f>
        <v>0.5</v>
      </c>
      <c r="M415" s="8">
        <f t="shared" si="1146"/>
        <v>2500</v>
      </c>
    </row>
    <row r="416" spans="1:13" ht="15.75" customHeight="1" x14ac:dyDescent="0.25">
      <c r="A416" s="24">
        <v>44120</v>
      </c>
      <c r="B416" s="29" t="s">
        <v>14</v>
      </c>
      <c r="C416" s="11">
        <v>30</v>
      </c>
      <c r="D416" s="11" t="s">
        <v>10</v>
      </c>
      <c r="E416" s="11">
        <v>61750</v>
      </c>
      <c r="F416" s="11">
        <v>61500</v>
      </c>
      <c r="G416" s="34">
        <v>0</v>
      </c>
      <c r="H416" s="35">
        <v>0</v>
      </c>
      <c r="I416" s="8">
        <f t="shared" si="1144"/>
        <v>-7500</v>
      </c>
      <c r="J416" s="8">
        <v>0</v>
      </c>
      <c r="K416" s="2">
        <v>0</v>
      </c>
      <c r="L416" s="8">
        <f t="shared" ref="L416" si="1165">(J416+I416+K416)/C416</f>
        <v>-250</v>
      </c>
      <c r="M416" s="8">
        <f t="shared" si="1146"/>
        <v>-7500</v>
      </c>
    </row>
    <row r="417" spans="1:13" ht="15.75" customHeight="1" x14ac:dyDescent="0.25">
      <c r="A417" s="24">
        <v>44119</v>
      </c>
      <c r="B417" s="29" t="s">
        <v>14</v>
      </c>
      <c r="C417" s="11">
        <v>30</v>
      </c>
      <c r="D417" s="11" t="s">
        <v>11</v>
      </c>
      <c r="E417" s="11">
        <v>60250</v>
      </c>
      <c r="F417" s="11">
        <v>60100</v>
      </c>
      <c r="G417" s="34">
        <v>0</v>
      </c>
      <c r="H417" s="35">
        <v>0</v>
      </c>
      <c r="I417" s="8">
        <f t="shared" si="1144"/>
        <v>4500</v>
      </c>
      <c r="J417" s="8">
        <v>0</v>
      </c>
      <c r="K417" s="2">
        <v>0</v>
      </c>
      <c r="L417" s="8">
        <f t="shared" ref="L417" si="1166">(J417+I417+K417)/C417</f>
        <v>150</v>
      </c>
      <c r="M417" s="8">
        <f t="shared" si="1146"/>
        <v>4500</v>
      </c>
    </row>
    <row r="418" spans="1:13" ht="15.75" customHeight="1" x14ac:dyDescent="0.25">
      <c r="A418" s="24">
        <v>44119</v>
      </c>
      <c r="B418" s="29" t="s">
        <v>52</v>
      </c>
      <c r="C418" s="11">
        <v>1250</v>
      </c>
      <c r="D418" s="11" t="s">
        <v>10</v>
      </c>
      <c r="E418" s="11">
        <v>205.5</v>
      </c>
      <c r="F418" s="11">
        <v>207</v>
      </c>
      <c r="G418" s="34">
        <v>0</v>
      </c>
      <c r="H418" s="35">
        <v>0</v>
      </c>
      <c r="I418" s="8">
        <f t="shared" si="1144"/>
        <v>1875</v>
      </c>
      <c r="J418" s="8">
        <v>0</v>
      </c>
      <c r="K418" s="2">
        <v>0</v>
      </c>
      <c r="L418" s="8">
        <f t="shared" ref="L418" si="1167">(J418+I418+K418)/C418</f>
        <v>1.5</v>
      </c>
      <c r="M418" s="8">
        <f t="shared" si="1146"/>
        <v>1875</v>
      </c>
    </row>
    <row r="419" spans="1:13" ht="15.75" customHeight="1" x14ac:dyDescent="0.25">
      <c r="A419" s="24">
        <v>44119</v>
      </c>
      <c r="B419" s="29" t="s">
        <v>17</v>
      </c>
      <c r="C419" s="11">
        <v>5000</v>
      </c>
      <c r="D419" s="11" t="s">
        <v>11</v>
      </c>
      <c r="E419" s="11">
        <v>191.1</v>
      </c>
      <c r="F419" s="11">
        <v>190.5</v>
      </c>
      <c r="G419" s="34">
        <v>0</v>
      </c>
      <c r="H419" s="35">
        <v>0</v>
      </c>
      <c r="I419" s="8">
        <f t="shared" si="1144"/>
        <v>2999.9999999999718</v>
      </c>
      <c r="J419" s="8">
        <v>0</v>
      </c>
      <c r="K419" s="2">
        <v>0</v>
      </c>
      <c r="L419" s="8">
        <f t="shared" ref="L419" si="1168">(J419+I419+K419)/C419</f>
        <v>0.59999999999999432</v>
      </c>
      <c r="M419" s="8">
        <f t="shared" si="1146"/>
        <v>2999.9999999999718</v>
      </c>
    </row>
    <row r="420" spans="1:13" ht="15.75" customHeight="1" x14ac:dyDescent="0.25">
      <c r="A420" s="24">
        <v>44119</v>
      </c>
      <c r="B420" s="29" t="s">
        <v>16</v>
      </c>
      <c r="C420" s="11">
        <v>100</v>
      </c>
      <c r="D420" s="11" t="s">
        <v>11</v>
      </c>
      <c r="E420" s="11">
        <v>2915</v>
      </c>
      <c r="F420" s="11">
        <v>2895</v>
      </c>
      <c r="G420" s="34">
        <v>0</v>
      </c>
      <c r="H420" s="35">
        <v>0</v>
      </c>
      <c r="I420" s="8">
        <f t="shared" si="1144"/>
        <v>2000</v>
      </c>
      <c r="J420" s="8">
        <v>0</v>
      </c>
      <c r="K420" s="2">
        <v>0</v>
      </c>
      <c r="L420" s="8">
        <f t="shared" ref="L420" si="1169">(J420+I420+K420)/C420</f>
        <v>20</v>
      </c>
      <c r="M420" s="8">
        <f t="shared" si="1146"/>
        <v>2000</v>
      </c>
    </row>
    <row r="421" spans="1:13" ht="15.75" customHeight="1" x14ac:dyDescent="0.25">
      <c r="A421" s="24">
        <v>44119</v>
      </c>
      <c r="B421" s="29" t="s">
        <v>14</v>
      </c>
      <c r="C421" s="11">
        <v>30</v>
      </c>
      <c r="D421" s="11" t="s">
        <v>10</v>
      </c>
      <c r="E421" s="11">
        <v>60550</v>
      </c>
      <c r="F421" s="11">
        <v>60300</v>
      </c>
      <c r="G421" s="34">
        <v>0</v>
      </c>
      <c r="H421" s="35">
        <v>0</v>
      </c>
      <c r="I421" s="8">
        <f t="shared" si="1144"/>
        <v>-7500</v>
      </c>
      <c r="J421" s="8">
        <v>0</v>
      </c>
      <c r="K421" s="2">
        <v>0</v>
      </c>
      <c r="L421" s="8">
        <f t="shared" ref="L421" si="1170">(J421+I421+K421)/C421</f>
        <v>-250</v>
      </c>
      <c r="M421" s="8">
        <f t="shared" si="1146"/>
        <v>-7500</v>
      </c>
    </row>
    <row r="422" spans="1:13" ht="15.75" customHeight="1" x14ac:dyDescent="0.25">
      <c r="A422" s="24">
        <v>44119</v>
      </c>
      <c r="B422" s="29" t="s">
        <v>17</v>
      </c>
      <c r="C422" s="11">
        <v>5000</v>
      </c>
      <c r="D422" s="11" t="s">
        <v>10</v>
      </c>
      <c r="E422" s="11">
        <v>193</v>
      </c>
      <c r="F422" s="11">
        <v>191.5</v>
      </c>
      <c r="G422" s="34">
        <v>0</v>
      </c>
      <c r="H422" s="35">
        <v>0</v>
      </c>
      <c r="I422" s="8">
        <f t="shared" si="1144"/>
        <v>-7500</v>
      </c>
      <c r="J422" s="8">
        <v>0</v>
      </c>
      <c r="K422" s="2">
        <v>0</v>
      </c>
      <c r="L422" s="8">
        <f t="shared" ref="L422" si="1171">(J422+I422+K422)/C422</f>
        <v>-1.5</v>
      </c>
      <c r="M422" s="8">
        <f t="shared" si="1146"/>
        <v>-7500</v>
      </c>
    </row>
    <row r="423" spans="1:13" ht="15.75" customHeight="1" x14ac:dyDescent="0.25">
      <c r="A423" s="24">
        <v>44118</v>
      </c>
      <c r="B423" s="29" t="s">
        <v>16</v>
      </c>
      <c r="C423" s="11">
        <v>100</v>
      </c>
      <c r="D423" s="11" t="s">
        <v>11</v>
      </c>
      <c r="E423" s="11">
        <v>2996</v>
      </c>
      <c r="F423" s="11">
        <v>2984</v>
      </c>
      <c r="G423" s="34">
        <v>0</v>
      </c>
      <c r="H423" s="35">
        <v>0</v>
      </c>
      <c r="I423" s="8">
        <f t="shared" si="1144"/>
        <v>1200</v>
      </c>
      <c r="J423" s="8">
        <v>0</v>
      </c>
      <c r="K423" s="2">
        <v>0</v>
      </c>
      <c r="L423" s="8">
        <f t="shared" ref="L423" si="1172">(J423+I423+K423)/C423</f>
        <v>12</v>
      </c>
      <c r="M423" s="8">
        <f t="shared" si="1146"/>
        <v>1200</v>
      </c>
    </row>
    <row r="424" spans="1:13" ht="15.75" customHeight="1" x14ac:dyDescent="0.25">
      <c r="A424" s="24">
        <v>44118</v>
      </c>
      <c r="B424" s="29" t="s">
        <v>18</v>
      </c>
      <c r="C424" s="11">
        <v>2500</v>
      </c>
      <c r="D424" s="11" t="s">
        <v>10</v>
      </c>
      <c r="E424" s="11">
        <v>526.20000000000005</v>
      </c>
      <c r="F424" s="11">
        <v>523.4</v>
      </c>
      <c r="G424" s="34">
        <v>193</v>
      </c>
      <c r="H424" s="35">
        <v>0</v>
      </c>
      <c r="I424" s="8">
        <f t="shared" si="1144"/>
        <v>-7000.000000000171</v>
      </c>
      <c r="J424" s="8">
        <f>C424*1.3</f>
        <v>3250</v>
      </c>
      <c r="K424" s="2">
        <v>0</v>
      </c>
      <c r="L424" s="8">
        <f t="shared" ref="L424" si="1173">(J424+I424+K424)/C424</f>
        <v>-1.5000000000000684</v>
      </c>
      <c r="M424" s="8">
        <f t="shared" si="1146"/>
        <v>-3750.000000000171</v>
      </c>
    </row>
    <row r="425" spans="1:13" ht="15.75" customHeight="1" x14ac:dyDescent="0.25">
      <c r="A425" s="24">
        <v>44118</v>
      </c>
      <c r="B425" s="29" t="s">
        <v>17</v>
      </c>
      <c r="C425" s="11">
        <v>5000</v>
      </c>
      <c r="D425" s="11" t="s">
        <v>11</v>
      </c>
      <c r="E425" s="11">
        <v>194.8</v>
      </c>
      <c r="F425" s="11">
        <v>194.3</v>
      </c>
      <c r="G425" s="34">
        <v>193</v>
      </c>
      <c r="H425" s="35">
        <v>0</v>
      </c>
      <c r="I425" s="8">
        <f t="shared" si="1144"/>
        <v>2500</v>
      </c>
      <c r="J425" s="8">
        <f>C425*1.3</f>
        <v>6500</v>
      </c>
      <c r="K425" s="2">
        <v>0</v>
      </c>
      <c r="L425" s="8">
        <f t="shared" ref="L425" si="1174">(J425+I425+K425)/C425</f>
        <v>1.8</v>
      </c>
      <c r="M425" s="8">
        <f t="shared" si="1146"/>
        <v>9000</v>
      </c>
    </row>
    <row r="426" spans="1:13" ht="15.75" customHeight="1" x14ac:dyDescent="0.25">
      <c r="A426" s="24">
        <v>44118</v>
      </c>
      <c r="B426" s="29" t="s">
        <v>16</v>
      </c>
      <c r="C426" s="11">
        <v>100</v>
      </c>
      <c r="D426" s="11" t="s">
        <v>11</v>
      </c>
      <c r="E426" s="11">
        <v>2922</v>
      </c>
      <c r="F426" s="11">
        <v>2962</v>
      </c>
      <c r="G426" s="34">
        <v>0</v>
      </c>
      <c r="H426" s="35">
        <v>0</v>
      </c>
      <c r="I426" s="8">
        <f t="shared" si="1144"/>
        <v>-4000</v>
      </c>
      <c r="J426" s="8">
        <v>0</v>
      </c>
      <c r="K426" s="2">
        <v>0</v>
      </c>
      <c r="L426" s="8">
        <f t="shared" ref="L426" si="1175">(J426+I426+K426)/C426</f>
        <v>-40</v>
      </c>
      <c r="M426" s="8">
        <f t="shared" si="1146"/>
        <v>-4000</v>
      </c>
    </row>
    <row r="427" spans="1:13" ht="15.75" customHeight="1" x14ac:dyDescent="0.25">
      <c r="A427" s="24">
        <v>44118</v>
      </c>
      <c r="B427" s="29" t="s">
        <v>52</v>
      </c>
      <c r="C427" s="11">
        <v>1250</v>
      </c>
      <c r="D427" s="11" t="s">
        <v>11</v>
      </c>
      <c r="E427" s="11">
        <v>198.8</v>
      </c>
      <c r="F427" s="11">
        <v>197.5</v>
      </c>
      <c r="G427" s="34">
        <v>194.5</v>
      </c>
      <c r="H427" s="35">
        <v>0</v>
      </c>
      <c r="I427" s="8">
        <f t="shared" si="1144"/>
        <v>1625.0000000000141</v>
      </c>
      <c r="J427" s="8">
        <f>C427*3</f>
        <v>3750</v>
      </c>
      <c r="K427" s="2">
        <v>0</v>
      </c>
      <c r="L427" s="8">
        <f t="shared" ref="L427" si="1176">(J427+I427+K427)/C427</f>
        <v>4.3000000000000114</v>
      </c>
      <c r="M427" s="8">
        <f t="shared" si="1146"/>
        <v>5375.0000000000146</v>
      </c>
    </row>
    <row r="428" spans="1:13" ht="15.75" customHeight="1" x14ac:dyDescent="0.25">
      <c r="A428" s="24">
        <v>44118</v>
      </c>
      <c r="B428" s="29" t="s">
        <v>14</v>
      </c>
      <c r="C428" s="11">
        <v>30</v>
      </c>
      <c r="D428" s="11" t="s">
        <v>10</v>
      </c>
      <c r="E428" s="11">
        <v>61000</v>
      </c>
      <c r="F428" s="11">
        <v>61150</v>
      </c>
      <c r="G428" s="34">
        <v>0</v>
      </c>
      <c r="H428" s="35">
        <v>0</v>
      </c>
      <c r="I428" s="8">
        <f t="shared" si="1144"/>
        <v>4500</v>
      </c>
      <c r="J428" s="8">
        <v>0</v>
      </c>
      <c r="K428" s="2">
        <v>0</v>
      </c>
      <c r="L428" s="8">
        <f t="shared" ref="L428" si="1177">(J428+I428+K428)/C428</f>
        <v>150</v>
      </c>
      <c r="M428" s="8">
        <f t="shared" si="1146"/>
        <v>4500</v>
      </c>
    </row>
    <row r="429" spans="1:13" ht="15.75" customHeight="1" x14ac:dyDescent="0.25">
      <c r="A429" s="24">
        <v>44118</v>
      </c>
      <c r="B429" s="29" t="s">
        <v>19</v>
      </c>
      <c r="C429" s="11">
        <v>100</v>
      </c>
      <c r="D429" s="11" t="s">
        <v>10</v>
      </c>
      <c r="E429" s="11">
        <v>50380</v>
      </c>
      <c r="F429" s="11">
        <v>50430</v>
      </c>
      <c r="G429" s="34">
        <v>0</v>
      </c>
      <c r="H429" s="35">
        <v>0</v>
      </c>
      <c r="I429" s="8">
        <f t="shared" ref="I429:I454" si="1178">(IF(D429="SELL",E429-F429,IF(D429="BUY",F429-E429)))*C429</f>
        <v>5000</v>
      </c>
      <c r="J429" s="8">
        <v>0</v>
      </c>
      <c r="K429" s="2">
        <v>0</v>
      </c>
      <c r="L429" s="8">
        <f t="shared" ref="L429" si="1179">(J429+I429+K429)/C429</f>
        <v>50</v>
      </c>
      <c r="M429" s="8">
        <f t="shared" si="1146"/>
        <v>5000</v>
      </c>
    </row>
    <row r="430" spans="1:13" ht="15.75" customHeight="1" x14ac:dyDescent="0.25">
      <c r="A430" s="24">
        <v>44116</v>
      </c>
      <c r="B430" s="29" t="s">
        <v>17</v>
      </c>
      <c r="C430" s="11">
        <v>5000</v>
      </c>
      <c r="D430" s="11" t="s">
        <v>10</v>
      </c>
      <c r="E430" s="11">
        <v>198.5</v>
      </c>
      <c r="F430" s="11">
        <v>197.5</v>
      </c>
      <c r="G430" s="34">
        <v>0</v>
      </c>
      <c r="H430" s="35">
        <v>0</v>
      </c>
      <c r="I430" s="8">
        <f t="shared" si="1178"/>
        <v>-5000</v>
      </c>
      <c r="J430" s="8">
        <v>0</v>
      </c>
      <c r="K430" s="2">
        <v>0</v>
      </c>
      <c r="L430" s="8">
        <f t="shared" ref="L430" si="1180">(J430+I430+K430)/C430</f>
        <v>-1</v>
      </c>
      <c r="M430" s="8">
        <f t="shared" si="1146"/>
        <v>-5000</v>
      </c>
    </row>
    <row r="431" spans="1:13" ht="15.75" customHeight="1" x14ac:dyDescent="0.25">
      <c r="A431" s="24">
        <v>44116</v>
      </c>
      <c r="B431" s="29" t="s">
        <v>52</v>
      </c>
      <c r="C431" s="11">
        <v>1250</v>
      </c>
      <c r="D431" s="11" t="s">
        <v>10</v>
      </c>
      <c r="E431" s="11">
        <v>215</v>
      </c>
      <c r="F431" s="11">
        <v>212.5</v>
      </c>
      <c r="G431" s="34">
        <v>0</v>
      </c>
      <c r="H431" s="35">
        <v>0</v>
      </c>
      <c r="I431" s="8">
        <f t="shared" si="1178"/>
        <v>-3125</v>
      </c>
      <c r="J431" s="8">
        <v>0</v>
      </c>
      <c r="K431" s="2">
        <v>0</v>
      </c>
      <c r="L431" s="8">
        <f t="shared" ref="L431" si="1181">(J431+I431+K431)/C431</f>
        <v>-2.5</v>
      </c>
      <c r="M431" s="8">
        <f t="shared" si="1146"/>
        <v>-3125</v>
      </c>
    </row>
    <row r="432" spans="1:13" ht="15.75" customHeight="1" x14ac:dyDescent="0.25">
      <c r="A432" s="24">
        <v>44116</v>
      </c>
      <c r="B432" s="29" t="s">
        <v>19</v>
      </c>
      <c r="C432" s="11">
        <v>100</v>
      </c>
      <c r="D432" s="11" t="s">
        <v>10</v>
      </c>
      <c r="E432" s="11">
        <v>51070</v>
      </c>
      <c r="F432" s="11">
        <v>50990</v>
      </c>
      <c r="G432" s="34">
        <v>0</v>
      </c>
      <c r="H432" s="35">
        <v>0</v>
      </c>
      <c r="I432" s="8">
        <f t="shared" si="1178"/>
        <v>-8000</v>
      </c>
      <c r="J432" s="8">
        <v>0</v>
      </c>
      <c r="K432" s="2">
        <v>0</v>
      </c>
      <c r="L432" s="8">
        <f t="shared" ref="L432" si="1182">(J432+I432+K432)/C432</f>
        <v>-80</v>
      </c>
      <c r="M432" s="8">
        <f t="shared" si="1146"/>
        <v>-8000</v>
      </c>
    </row>
    <row r="433" spans="1:13" ht="15.75" customHeight="1" x14ac:dyDescent="0.25">
      <c r="A433" s="24">
        <v>44111</v>
      </c>
      <c r="B433" s="29" t="s">
        <v>19</v>
      </c>
      <c r="C433" s="11">
        <v>100</v>
      </c>
      <c r="D433" s="11" t="s">
        <v>11</v>
      </c>
      <c r="E433" s="11">
        <v>50120</v>
      </c>
      <c r="F433" s="11">
        <v>50070</v>
      </c>
      <c r="G433" s="34">
        <v>0</v>
      </c>
      <c r="H433" s="35">
        <v>0</v>
      </c>
      <c r="I433" s="8">
        <f t="shared" si="1178"/>
        <v>5000</v>
      </c>
      <c r="J433" s="8">
        <v>0</v>
      </c>
      <c r="K433" s="2">
        <v>0</v>
      </c>
      <c r="L433" s="8">
        <f t="shared" ref="L433" si="1183">(J433+I433+K433)/C433</f>
        <v>50</v>
      </c>
      <c r="M433" s="8">
        <f t="shared" si="1146"/>
        <v>5000</v>
      </c>
    </row>
    <row r="434" spans="1:13" ht="15.75" customHeight="1" x14ac:dyDescent="0.25">
      <c r="A434" s="24">
        <v>44111</v>
      </c>
      <c r="B434" s="29" t="s">
        <v>14</v>
      </c>
      <c r="C434" s="11">
        <v>30</v>
      </c>
      <c r="D434" s="11" t="s">
        <v>11</v>
      </c>
      <c r="E434" s="11">
        <v>59900</v>
      </c>
      <c r="F434" s="11">
        <v>59770</v>
      </c>
      <c r="G434" s="34">
        <v>0</v>
      </c>
      <c r="H434" s="35">
        <v>0</v>
      </c>
      <c r="I434" s="8">
        <f t="shared" si="1178"/>
        <v>3900</v>
      </c>
      <c r="J434" s="8">
        <v>0</v>
      </c>
      <c r="K434" s="2">
        <v>0</v>
      </c>
      <c r="L434" s="8">
        <f t="shared" ref="L434" si="1184">(J434+I434+K434)/C434</f>
        <v>130</v>
      </c>
      <c r="M434" s="8">
        <f t="shared" si="1146"/>
        <v>3900</v>
      </c>
    </row>
    <row r="435" spans="1:13" ht="15.75" customHeight="1" x14ac:dyDescent="0.25">
      <c r="A435" s="24">
        <v>44111</v>
      </c>
      <c r="B435" s="29" t="s">
        <v>52</v>
      </c>
      <c r="C435" s="11">
        <v>1250</v>
      </c>
      <c r="D435" s="11" t="s">
        <v>11</v>
      </c>
      <c r="E435" s="11">
        <v>184.8</v>
      </c>
      <c r="F435" s="11">
        <v>184.3</v>
      </c>
      <c r="G435" s="34">
        <v>0</v>
      </c>
      <c r="H435" s="35">
        <v>0</v>
      </c>
      <c r="I435" s="8">
        <f t="shared" si="1178"/>
        <v>625</v>
      </c>
      <c r="J435" s="8">
        <v>0</v>
      </c>
      <c r="K435" s="2">
        <v>0</v>
      </c>
      <c r="L435" s="8">
        <f t="shared" ref="L435" si="1185">(J435+I435+K435)/C435</f>
        <v>0.5</v>
      </c>
      <c r="M435" s="8">
        <f t="shared" si="1146"/>
        <v>625</v>
      </c>
    </row>
    <row r="436" spans="1:13" ht="15.75" customHeight="1" x14ac:dyDescent="0.25">
      <c r="A436" s="24">
        <v>44111</v>
      </c>
      <c r="B436" s="29" t="s">
        <v>19</v>
      </c>
      <c r="C436" s="11">
        <v>100</v>
      </c>
      <c r="D436" s="11" t="s">
        <v>11</v>
      </c>
      <c r="E436" s="11">
        <v>50120</v>
      </c>
      <c r="F436" s="11">
        <v>50070</v>
      </c>
      <c r="G436" s="34">
        <v>0</v>
      </c>
      <c r="H436" s="35">
        <v>0</v>
      </c>
      <c r="I436" s="8">
        <f t="shared" si="1178"/>
        <v>5000</v>
      </c>
      <c r="J436" s="8">
        <v>0</v>
      </c>
      <c r="K436" s="2">
        <v>0</v>
      </c>
      <c r="L436" s="8">
        <f t="shared" ref="L436" si="1186">(J436+I436+K436)/C436</f>
        <v>50</v>
      </c>
      <c r="M436" s="8">
        <f t="shared" si="1146"/>
        <v>5000</v>
      </c>
    </row>
    <row r="437" spans="1:13" ht="15.75" customHeight="1" x14ac:dyDescent="0.25">
      <c r="A437" s="24">
        <v>44110</v>
      </c>
      <c r="B437" s="29" t="s">
        <v>16</v>
      </c>
      <c r="C437" s="11">
        <v>100</v>
      </c>
      <c r="D437" s="11" t="s">
        <v>10</v>
      </c>
      <c r="E437" s="11">
        <v>2920</v>
      </c>
      <c r="F437" s="11">
        <v>2940</v>
      </c>
      <c r="G437" s="34">
        <v>2970</v>
      </c>
      <c r="H437" s="35">
        <v>0</v>
      </c>
      <c r="I437" s="8">
        <f t="shared" si="1178"/>
        <v>2000</v>
      </c>
      <c r="J437" s="8">
        <f>C437*30</f>
        <v>3000</v>
      </c>
      <c r="K437" s="2">
        <v>0</v>
      </c>
      <c r="L437" s="8">
        <f t="shared" ref="L437" si="1187">(J437+I437+K437)/C437</f>
        <v>50</v>
      </c>
      <c r="M437" s="8">
        <f t="shared" ref="M437" si="1188">L437*C437</f>
        <v>5000</v>
      </c>
    </row>
    <row r="438" spans="1:13" ht="15.75" customHeight="1" x14ac:dyDescent="0.25">
      <c r="A438" s="24">
        <v>44110</v>
      </c>
      <c r="B438" s="29" t="s">
        <v>18</v>
      </c>
      <c r="C438" s="11">
        <v>2500</v>
      </c>
      <c r="D438" s="11" t="s">
        <v>11</v>
      </c>
      <c r="E438" s="11">
        <v>511</v>
      </c>
      <c r="F438" s="11">
        <v>510</v>
      </c>
      <c r="G438" s="34">
        <v>0</v>
      </c>
      <c r="H438" s="35">
        <v>0</v>
      </c>
      <c r="I438" s="8">
        <f t="shared" si="1178"/>
        <v>2500</v>
      </c>
      <c r="J438" s="8">
        <v>0</v>
      </c>
      <c r="K438" s="2">
        <v>0</v>
      </c>
      <c r="L438" s="8">
        <f t="shared" ref="L438" si="1189">(J438+I438+K438)/C438</f>
        <v>1</v>
      </c>
      <c r="M438" s="8">
        <f t="shared" ref="M438" si="1190">L438*C438</f>
        <v>2500</v>
      </c>
    </row>
    <row r="439" spans="1:13" ht="15.75" customHeight="1" x14ac:dyDescent="0.25">
      <c r="A439" s="24">
        <v>44110</v>
      </c>
      <c r="B439" s="29" t="s">
        <v>14</v>
      </c>
      <c r="C439" s="11">
        <v>30</v>
      </c>
      <c r="D439" s="11" t="s">
        <v>10</v>
      </c>
      <c r="E439" s="11">
        <v>62090</v>
      </c>
      <c r="F439" s="11">
        <v>62220</v>
      </c>
      <c r="G439" s="34">
        <v>0</v>
      </c>
      <c r="H439" s="35">
        <v>0</v>
      </c>
      <c r="I439" s="8">
        <f t="shared" si="1178"/>
        <v>3900</v>
      </c>
      <c r="J439" s="8">
        <v>0</v>
      </c>
      <c r="K439" s="2">
        <v>0</v>
      </c>
      <c r="L439" s="8">
        <f t="shared" ref="L439" si="1191">(J439+I439+K439)/C439</f>
        <v>130</v>
      </c>
      <c r="M439" s="8">
        <f t="shared" ref="M439" si="1192">L439*C439</f>
        <v>3900</v>
      </c>
    </row>
    <row r="440" spans="1:13" ht="15.75" customHeight="1" x14ac:dyDescent="0.25">
      <c r="A440" s="24">
        <v>44110</v>
      </c>
      <c r="B440" s="29" t="s">
        <v>19</v>
      </c>
      <c r="C440" s="11">
        <v>100</v>
      </c>
      <c r="D440" s="11" t="s">
        <v>10</v>
      </c>
      <c r="E440" s="11">
        <v>50650</v>
      </c>
      <c r="F440" s="11">
        <v>50700</v>
      </c>
      <c r="G440" s="34">
        <v>50750</v>
      </c>
      <c r="H440" s="35">
        <v>0</v>
      </c>
      <c r="I440" s="8">
        <f t="shared" si="1178"/>
        <v>5000</v>
      </c>
      <c r="J440" s="8">
        <f>C440*50</f>
        <v>5000</v>
      </c>
      <c r="K440" s="2">
        <v>0</v>
      </c>
      <c r="L440" s="8">
        <f t="shared" ref="L440" si="1193">(J440+I440+K440)/C440</f>
        <v>100</v>
      </c>
      <c r="M440" s="8">
        <f t="shared" ref="M440" si="1194">L440*C440</f>
        <v>10000</v>
      </c>
    </row>
    <row r="441" spans="1:13" ht="15.75" customHeight="1" x14ac:dyDescent="0.25">
      <c r="A441" s="24">
        <v>44109</v>
      </c>
      <c r="B441" s="29" t="s">
        <v>18</v>
      </c>
      <c r="C441" s="11">
        <v>2500</v>
      </c>
      <c r="D441" s="11" t="s">
        <v>11</v>
      </c>
      <c r="E441" s="11">
        <v>506</v>
      </c>
      <c r="F441" s="11">
        <v>508.5</v>
      </c>
      <c r="G441" s="34">
        <v>0</v>
      </c>
      <c r="H441" s="35">
        <v>0</v>
      </c>
      <c r="I441" s="8">
        <f t="shared" si="1178"/>
        <v>-6250</v>
      </c>
      <c r="J441" s="8">
        <v>0</v>
      </c>
      <c r="K441" s="2">
        <v>0</v>
      </c>
      <c r="L441" s="8">
        <f t="shared" ref="L441" si="1195">(J441+I441+K441)/C441</f>
        <v>-2.5</v>
      </c>
      <c r="M441" s="8">
        <f t="shared" ref="M441" si="1196">L441*C441</f>
        <v>-6250</v>
      </c>
    </row>
    <row r="442" spans="1:13" ht="15.75" customHeight="1" x14ac:dyDescent="0.25">
      <c r="A442" s="24">
        <v>44109</v>
      </c>
      <c r="B442" s="29" t="s">
        <v>17</v>
      </c>
      <c r="C442" s="11">
        <v>5000</v>
      </c>
      <c r="D442" s="11" t="s">
        <v>10</v>
      </c>
      <c r="E442" s="11">
        <v>184.7</v>
      </c>
      <c r="F442" s="11">
        <v>183.7</v>
      </c>
      <c r="G442" s="34">
        <v>0</v>
      </c>
      <c r="H442" s="35">
        <v>0</v>
      </c>
      <c r="I442" s="8">
        <f t="shared" si="1178"/>
        <v>-5000</v>
      </c>
      <c r="J442" s="8">
        <v>0</v>
      </c>
      <c r="K442" s="2">
        <v>0</v>
      </c>
      <c r="L442" s="8">
        <f t="shared" ref="L442" si="1197">(J442+I442+K442)/C442</f>
        <v>-1</v>
      </c>
      <c r="M442" s="8">
        <f t="shared" ref="M442" si="1198">L442*C442</f>
        <v>-5000</v>
      </c>
    </row>
    <row r="443" spans="1:13" ht="15.75" customHeight="1" x14ac:dyDescent="0.25">
      <c r="A443" s="24">
        <v>44109</v>
      </c>
      <c r="B443" s="29" t="s">
        <v>16</v>
      </c>
      <c r="C443" s="11">
        <v>100</v>
      </c>
      <c r="D443" s="11" t="s">
        <v>10</v>
      </c>
      <c r="E443" s="11">
        <v>2815</v>
      </c>
      <c r="F443" s="11">
        <v>2835</v>
      </c>
      <c r="G443" s="34">
        <v>0</v>
      </c>
      <c r="H443" s="35">
        <v>0</v>
      </c>
      <c r="I443" s="8">
        <f t="shared" si="1178"/>
        <v>2000</v>
      </c>
      <c r="J443" s="8">
        <v>0</v>
      </c>
      <c r="K443" s="2">
        <v>0</v>
      </c>
      <c r="L443" s="8">
        <f t="shared" ref="L443" si="1199">(J443+I443+K443)/C443</f>
        <v>20</v>
      </c>
      <c r="M443" s="8">
        <f t="shared" ref="M443" si="1200">L443*C443</f>
        <v>2000</v>
      </c>
    </row>
    <row r="444" spans="1:13" ht="15.75" customHeight="1" x14ac:dyDescent="0.25">
      <c r="A444" s="24">
        <v>44109</v>
      </c>
      <c r="B444" s="29" t="s">
        <v>52</v>
      </c>
      <c r="C444" s="11">
        <v>1250</v>
      </c>
      <c r="D444" s="11" t="s">
        <v>11</v>
      </c>
      <c r="E444" s="11">
        <v>185.5</v>
      </c>
      <c r="F444" s="11">
        <v>184</v>
      </c>
      <c r="G444" s="34">
        <v>0</v>
      </c>
      <c r="H444" s="35">
        <v>0</v>
      </c>
      <c r="I444" s="8">
        <f t="shared" si="1178"/>
        <v>1875</v>
      </c>
      <c r="J444" s="8">
        <v>0</v>
      </c>
      <c r="K444" s="2">
        <v>0</v>
      </c>
      <c r="L444" s="8">
        <f t="shared" ref="L444" si="1201">(J444+I444+K444)/C444</f>
        <v>1.5</v>
      </c>
      <c r="M444" s="8">
        <f t="shared" ref="M444" si="1202">L444*C444</f>
        <v>1875</v>
      </c>
    </row>
    <row r="445" spans="1:13" ht="15.75" customHeight="1" x14ac:dyDescent="0.25">
      <c r="A445" s="24">
        <v>44109</v>
      </c>
      <c r="B445" s="29" t="s">
        <v>19</v>
      </c>
      <c r="C445" s="11">
        <v>100</v>
      </c>
      <c r="D445" s="11" t="s">
        <v>10</v>
      </c>
      <c r="E445" s="11">
        <v>50200</v>
      </c>
      <c r="F445" s="11">
        <v>50250</v>
      </c>
      <c r="G445" s="34">
        <v>50350</v>
      </c>
      <c r="H445" s="35">
        <v>0</v>
      </c>
      <c r="I445" s="8">
        <f t="shared" si="1178"/>
        <v>5000</v>
      </c>
      <c r="J445" s="8">
        <f>C445*100</f>
        <v>10000</v>
      </c>
      <c r="K445" s="2">
        <v>0</v>
      </c>
      <c r="L445" s="8">
        <f t="shared" ref="L445" si="1203">(J445+I445+K445)/C445</f>
        <v>150</v>
      </c>
      <c r="M445" s="8">
        <f t="shared" ref="M445" si="1204">L445*C445</f>
        <v>15000</v>
      </c>
    </row>
    <row r="446" spans="1:13" ht="15.75" customHeight="1" x14ac:dyDescent="0.25">
      <c r="A446" s="24">
        <v>44105</v>
      </c>
      <c r="B446" s="29" t="s">
        <v>15</v>
      </c>
      <c r="C446" s="11">
        <v>5000</v>
      </c>
      <c r="D446" s="11" t="s">
        <v>11</v>
      </c>
      <c r="E446" s="11">
        <v>145.5</v>
      </c>
      <c r="F446" s="11">
        <v>145</v>
      </c>
      <c r="G446" s="34">
        <v>0</v>
      </c>
      <c r="H446" s="35">
        <v>0</v>
      </c>
      <c r="I446" s="8">
        <f t="shared" si="1178"/>
        <v>2500</v>
      </c>
      <c r="J446" s="8">
        <v>0</v>
      </c>
      <c r="K446" s="2">
        <v>0</v>
      </c>
      <c r="L446" s="8">
        <f t="shared" ref="L446" si="1205">(J446+I446+K446)/C446</f>
        <v>0.5</v>
      </c>
      <c r="M446" s="8">
        <f t="shared" ref="M446" si="1206">L446*C446</f>
        <v>2500</v>
      </c>
    </row>
    <row r="447" spans="1:13" ht="15.75" customHeight="1" x14ac:dyDescent="0.25">
      <c r="A447" s="24">
        <v>44105</v>
      </c>
      <c r="B447" s="29" t="s">
        <v>14</v>
      </c>
      <c r="C447" s="11">
        <v>30</v>
      </c>
      <c r="D447" s="11" t="s">
        <v>11</v>
      </c>
      <c r="E447" s="11">
        <v>60030</v>
      </c>
      <c r="F447" s="11">
        <v>60390</v>
      </c>
      <c r="G447" s="34">
        <v>0</v>
      </c>
      <c r="H447" s="35">
        <v>0</v>
      </c>
      <c r="I447" s="8">
        <f t="shared" si="1178"/>
        <v>-10800</v>
      </c>
      <c r="J447" s="8">
        <v>0</v>
      </c>
      <c r="K447" s="2">
        <v>0</v>
      </c>
      <c r="L447" s="8">
        <f t="shared" ref="L447" si="1207">(J447+I447+K447)/C447</f>
        <v>-360</v>
      </c>
      <c r="M447" s="8">
        <f t="shared" ref="M447" si="1208">L447*C447</f>
        <v>-10800</v>
      </c>
    </row>
    <row r="448" spans="1:13" ht="15.75" customHeight="1" x14ac:dyDescent="0.25">
      <c r="A448" s="24">
        <v>44105</v>
      </c>
      <c r="B448" s="29" t="s">
        <v>16</v>
      </c>
      <c r="C448" s="11">
        <v>100</v>
      </c>
      <c r="D448" s="11" t="s">
        <v>11</v>
      </c>
      <c r="E448" s="11">
        <v>2922</v>
      </c>
      <c r="F448" s="11">
        <v>2900</v>
      </c>
      <c r="G448" s="34">
        <v>2870</v>
      </c>
      <c r="H448" s="35">
        <v>0</v>
      </c>
      <c r="I448" s="8">
        <f t="shared" si="1178"/>
        <v>2200</v>
      </c>
      <c r="J448" s="8">
        <f>C448*30</f>
        <v>3000</v>
      </c>
      <c r="K448" s="2">
        <v>0</v>
      </c>
      <c r="L448" s="8">
        <f t="shared" ref="L448" si="1209">(J448+I448+K448)/C448</f>
        <v>52</v>
      </c>
      <c r="M448" s="8">
        <f t="shared" ref="M448" si="1210">L448*C448</f>
        <v>5200</v>
      </c>
    </row>
    <row r="449" spans="1:13" ht="15.75" customHeight="1" x14ac:dyDescent="0.25">
      <c r="A449" s="24">
        <v>44105</v>
      </c>
      <c r="B449" s="29" t="s">
        <v>21</v>
      </c>
      <c r="C449" s="11">
        <v>1500</v>
      </c>
      <c r="D449" s="11" t="s">
        <v>11</v>
      </c>
      <c r="E449" s="11">
        <v>1067.5</v>
      </c>
      <c r="F449" s="11">
        <v>1063</v>
      </c>
      <c r="G449" s="34">
        <v>1057</v>
      </c>
      <c r="H449" s="35">
        <v>0</v>
      </c>
      <c r="I449" s="8">
        <f t="shared" si="1178"/>
        <v>6750</v>
      </c>
      <c r="J449" s="8">
        <f>C449*6</f>
        <v>9000</v>
      </c>
      <c r="K449" s="2">
        <v>0</v>
      </c>
      <c r="L449" s="8">
        <f t="shared" ref="L449" si="1211">(J449+I449+K449)/C449</f>
        <v>10.5</v>
      </c>
      <c r="M449" s="8">
        <f t="shared" ref="M449" si="1212">L449*C449</f>
        <v>15750</v>
      </c>
    </row>
    <row r="450" spans="1:13" ht="15.75" customHeight="1" x14ac:dyDescent="0.25">
      <c r="A450" s="24">
        <v>44105</v>
      </c>
      <c r="B450" s="29" t="s">
        <v>14</v>
      </c>
      <c r="C450" s="11">
        <v>30</v>
      </c>
      <c r="D450" s="11" t="s">
        <v>11</v>
      </c>
      <c r="E450" s="11">
        <v>60150</v>
      </c>
      <c r="F450" s="11">
        <v>60020</v>
      </c>
      <c r="G450" s="34">
        <v>59850</v>
      </c>
      <c r="H450" s="35">
        <v>0</v>
      </c>
      <c r="I450" s="8">
        <f t="shared" si="1178"/>
        <v>3900</v>
      </c>
      <c r="J450" s="8">
        <f>C450*170</f>
        <v>5100</v>
      </c>
      <c r="K450" s="2">
        <v>0</v>
      </c>
      <c r="L450" s="8">
        <f t="shared" ref="L450" si="1213">(J450+I450+K450)/C450</f>
        <v>300</v>
      </c>
      <c r="M450" s="8">
        <f t="shared" ref="M450" si="1214">L450*C450</f>
        <v>9000</v>
      </c>
    </row>
    <row r="451" spans="1:13" ht="15.75" customHeight="1" x14ac:dyDescent="0.25">
      <c r="A451" s="24">
        <v>44105</v>
      </c>
      <c r="B451" s="29" t="s">
        <v>18</v>
      </c>
      <c r="C451" s="11">
        <v>2500</v>
      </c>
      <c r="D451" s="11" t="s">
        <v>11</v>
      </c>
      <c r="E451" s="11">
        <v>523.5</v>
      </c>
      <c r="F451" s="11">
        <v>522.5</v>
      </c>
      <c r="G451" s="34">
        <v>520</v>
      </c>
      <c r="H451" s="35">
        <v>0</v>
      </c>
      <c r="I451" s="8">
        <f t="shared" si="1178"/>
        <v>2500</v>
      </c>
      <c r="J451" s="8">
        <f>C451*2.5</f>
        <v>6250</v>
      </c>
      <c r="K451" s="2">
        <v>0</v>
      </c>
      <c r="L451" s="8">
        <f t="shared" ref="L451" si="1215">(J451+I451+K451)/C451</f>
        <v>3.5</v>
      </c>
      <c r="M451" s="8">
        <f t="shared" ref="M451" si="1216">L451*C451</f>
        <v>8750</v>
      </c>
    </row>
    <row r="452" spans="1:13" ht="15.75" customHeight="1" x14ac:dyDescent="0.25">
      <c r="A452" s="24">
        <v>44105</v>
      </c>
      <c r="B452" s="29" t="s">
        <v>17</v>
      </c>
      <c r="C452" s="11">
        <v>5000</v>
      </c>
      <c r="D452" s="11" t="s">
        <v>11</v>
      </c>
      <c r="E452" s="11">
        <v>190.6</v>
      </c>
      <c r="F452" s="11">
        <v>190.1</v>
      </c>
      <c r="G452" s="34">
        <v>189.4</v>
      </c>
      <c r="H452" s="35">
        <v>0</v>
      </c>
      <c r="I452" s="8">
        <f t="shared" si="1178"/>
        <v>2500</v>
      </c>
      <c r="J452" s="8">
        <f>C452*0.7</f>
        <v>3500</v>
      </c>
      <c r="K452" s="2">
        <v>0</v>
      </c>
      <c r="L452" s="8">
        <f t="shared" ref="L452" si="1217">(J452+I452+K452)/C452</f>
        <v>1.2</v>
      </c>
      <c r="M452" s="8">
        <f t="shared" ref="M452" si="1218">L452*C452</f>
        <v>6000</v>
      </c>
    </row>
    <row r="453" spans="1:13" ht="15.75" customHeight="1" x14ac:dyDescent="0.25">
      <c r="A453" s="24">
        <v>44105</v>
      </c>
      <c r="B453" s="29" t="s">
        <v>19</v>
      </c>
      <c r="C453" s="11">
        <v>100</v>
      </c>
      <c r="D453" s="11" t="s">
        <v>11</v>
      </c>
      <c r="E453" s="11">
        <v>50260</v>
      </c>
      <c r="F453" s="11">
        <v>50350</v>
      </c>
      <c r="G453" s="34">
        <v>0</v>
      </c>
      <c r="H453" s="35">
        <v>0</v>
      </c>
      <c r="I453" s="8">
        <f>(IF(D453="SELL",E453-F453,IF(D453="BUY",F453-E453)))*C453</f>
        <v>-9000</v>
      </c>
      <c r="J453" s="8">
        <v>0</v>
      </c>
      <c r="K453" s="2">
        <v>0</v>
      </c>
      <c r="L453" s="8">
        <f t="shared" ref="L453" si="1219">(J453+I453+K453)/C453</f>
        <v>-90</v>
      </c>
      <c r="M453" s="8">
        <f t="shared" ref="M453" si="1220">L453*C453</f>
        <v>-9000</v>
      </c>
    </row>
    <row r="454" spans="1:13" ht="15.75" customHeight="1" x14ac:dyDescent="0.25">
      <c r="A454" s="24">
        <v>44104</v>
      </c>
      <c r="B454" s="29" t="s">
        <v>52</v>
      </c>
      <c r="C454" s="11">
        <v>1250</v>
      </c>
      <c r="D454" s="11" t="s">
        <v>11</v>
      </c>
      <c r="E454" s="11">
        <v>184</v>
      </c>
      <c r="F454" s="11">
        <v>182.5</v>
      </c>
      <c r="G454" s="34">
        <v>180</v>
      </c>
      <c r="H454" s="35">
        <v>0</v>
      </c>
      <c r="I454" s="8">
        <f t="shared" si="1178"/>
        <v>1875</v>
      </c>
      <c r="J454" s="8">
        <f>C454*2.5</f>
        <v>3125</v>
      </c>
      <c r="K454" s="2">
        <v>0</v>
      </c>
      <c r="L454" s="8">
        <f t="shared" ref="L454" si="1221">(J454+I454+K454)/C454</f>
        <v>4</v>
      </c>
      <c r="M454" s="8">
        <f t="shared" ref="M454" si="1222">L454*C454</f>
        <v>5000</v>
      </c>
    </row>
    <row r="455" spans="1:13" ht="15.75" customHeight="1" x14ac:dyDescent="0.25">
      <c r="A455" s="24">
        <v>44104</v>
      </c>
      <c r="B455" s="29" t="s">
        <v>15</v>
      </c>
      <c r="C455" s="11">
        <v>5000</v>
      </c>
      <c r="D455" s="11" t="s">
        <v>11</v>
      </c>
      <c r="E455" s="11">
        <v>145.5</v>
      </c>
      <c r="F455" s="11">
        <v>145</v>
      </c>
      <c r="G455" s="34">
        <v>0</v>
      </c>
      <c r="H455" s="35">
        <v>0</v>
      </c>
      <c r="I455" s="8">
        <f t="shared" ref="I455" si="1223">(IF(D455="SELL",E455-F455,IF(D455="BUY",F455-E455)))*C455</f>
        <v>2500</v>
      </c>
      <c r="J455" s="8">
        <v>0</v>
      </c>
      <c r="K455" s="2">
        <v>0</v>
      </c>
      <c r="L455" s="8">
        <f t="shared" ref="L455" si="1224">(J455+I455+K455)/C455</f>
        <v>0.5</v>
      </c>
      <c r="M455" s="8">
        <f t="shared" ref="M455" si="1225">L455*C455</f>
        <v>2500</v>
      </c>
    </row>
    <row r="456" spans="1:13" ht="15.75" customHeight="1" x14ac:dyDescent="0.25">
      <c r="A456" s="24">
        <v>44104</v>
      </c>
      <c r="B456" s="29" t="s">
        <v>19</v>
      </c>
      <c r="C456" s="11">
        <v>100</v>
      </c>
      <c r="D456" s="11" t="s">
        <v>11</v>
      </c>
      <c r="E456" s="11">
        <v>50220</v>
      </c>
      <c r="F456" s="11">
        <v>50350</v>
      </c>
      <c r="G456" s="34">
        <v>0</v>
      </c>
      <c r="H456" s="35">
        <v>0</v>
      </c>
      <c r="I456" s="8">
        <f t="shared" ref="I456" si="1226">(IF(D456="SELL",E456-F456,IF(D456="BUY",F456-E456)))*C456</f>
        <v>-13000</v>
      </c>
      <c r="J456" s="8">
        <v>0</v>
      </c>
      <c r="K456" s="2">
        <v>0</v>
      </c>
      <c r="L456" s="8">
        <f t="shared" ref="L456" si="1227">(J456+I456+K456)/C456</f>
        <v>-130</v>
      </c>
      <c r="M456" s="8">
        <f t="shared" ref="M456" si="1228">L456*C456</f>
        <v>-13000</v>
      </c>
    </row>
    <row r="457" spans="1:13" ht="15.75" customHeight="1" x14ac:dyDescent="0.25">
      <c r="A457" s="24">
        <v>44104</v>
      </c>
      <c r="B457" s="29" t="s">
        <v>17</v>
      </c>
      <c r="C457" s="11">
        <v>5000</v>
      </c>
      <c r="D457" s="11" t="s">
        <v>11</v>
      </c>
      <c r="E457" s="11">
        <v>191.2</v>
      </c>
      <c r="F457" s="11">
        <v>190.7</v>
      </c>
      <c r="G457" s="34">
        <v>0</v>
      </c>
      <c r="H457" s="35">
        <v>0</v>
      </c>
      <c r="I457" s="8">
        <f t="shared" ref="I457" si="1229">(IF(D457="SELL",E457-F457,IF(D457="BUY",F457-E457)))*C457</f>
        <v>2500</v>
      </c>
      <c r="J457" s="8">
        <v>0</v>
      </c>
      <c r="K457" s="2">
        <v>0</v>
      </c>
      <c r="L457" s="8">
        <f t="shared" ref="L457" si="1230">(J457+I457+K457)/C457</f>
        <v>0.5</v>
      </c>
      <c r="M457" s="8">
        <f t="shared" ref="M457" si="1231">L457*C457</f>
        <v>2500</v>
      </c>
    </row>
    <row r="458" spans="1:13" ht="15.75" customHeight="1" x14ac:dyDescent="0.25">
      <c r="A458" s="24">
        <v>44104</v>
      </c>
      <c r="B458" s="29" t="s">
        <v>14</v>
      </c>
      <c r="C458" s="11">
        <v>30</v>
      </c>
      <c r="D458" s="11" t="s">
        <v>11</v>
      </c>
      <c r="E458" s="11">
        <v>60950</v>
      </c>
      <c r="F458" s="11">
        <v>61200</v>
      </c>
      <c r="G458" s="34">
        <v>0</v>
      </c>
      <c r="H458" s="35">
        <v>0</v>
      </c>
      <c r="I458" s="8">
        <f t="shared" ref="I458" si="1232">(IF(D458="SELL",E458-F458,IF(D458="BUY",F458-E458)))*C458</f>
        <v>-7500</v>
      </c>
      <c r="J458" s="8">
        <v>0</v>
      </c>
      <c r="K458" s="2">
        <v>0</v>
      </c>
      <c r="L458" s="8">
        <f t="shared" ref="L458" si="1233">(J458+I458+K458)/C458</f>
        <v>-250</v>
      </c>
      <c r="M458" s="8">
        <f t="shared" ref="M458" si="1234">L458*C458</f>
        <v>-7500</v>
      </c>
    </row>
    <row r="459" spans="1:13" ht="15.75" customHeight="1" x14ac:dyDescent="0.25">
      <c r="A459" s="24">
        <v>44103</v>
      </c>
      <c r="B459" s="29" t="s">
        <v>18</v>
      </c>
      <c r="C459" s="11">
        <v>2500</v>
      </c>
      <c r="D459" s="11" t="s">
        <v>11</v>
      </c>
      <c r="E459" s="11">
        <v>517</v>
      </c>
      <c r="F459" s="11">
        <v>516</v>
      </c>
      <c r="G459" s="34">
        <v>0</v>
      </c>
      <c r="H459" s="35">
        <v>0</v>
      </c>
      <c r="I459" s="8">
        <f t="shared" ref="I459" si="1235">(IF(D459="SELL",E459-F459,IF(D459="BUY",F459-E459)))*C459</f>
        <v>2500</v>
      </c>
      <c r="J459" s="8">
        <v>0</v>
      </c>
      <c r="K459" s="2">
        <v>0</v>
      </c>
      <c r="L459" s="8">
        <f t="shared" ref="L459" si="1236">(J459+I459+K459)/C459</f>
        <v>1</v>
      </c>
      <c r="M459" s="8">
        <f t="shared" ref="M459" si="1237">L459*C459</f>
        <v>2500</v>
      </c>
    </row>
    <row r="460" spans="1:13" ht="15.75" customHeight="1" x14ac:dyDescent="0.25">
      <c r="A460" s="24">
        <v>44103</v>
      </c>
      <c r="B460" s="29" t="s">
        <v>16</v>
      </c>
      <c r="C460" s="11">
        <v>100</v>
      </c>
      <c r="D460" s="11" t="s">
        <v>10</v>
      </c>
      <c r="E460" s="11">
        <v>2990</v>
      </c>
      <c r="F460" s="11">
        <v>2950</v>
      </c>
      <c r="G460" s="34">
        <v>0</v>
      </c>
      <c r="H460" s="35">
        <v>0</v>
      </c>
      <c r="I460" s="8">
        <f t="shared" ref="I460" si="1238">(IF(D460="SELL",E460-F460,IF(D460="BUY",F460-E460)))*C460</f>
        <v>-4000</v>
      </c>
      <c r="J460" s="8">
        <v>0</v>
      </c>
      <c r="K460" s="2">
        <v>0</v>
      </c>
      <c r="L460" s="8">
        <f t="shared" ref="L460" si="1239">(J460+I460+K460)/C460</f>
        <v>-40</v>
      </c>
      <c r="M460" s="8">
        <f t="shared" ref="M460" si="1240">L460*C460</f>
        <v>-4000</v>
      </c>
    </row>
    <row r="461" spans="1:13" ht="15.75" customHeight="1" x14ac:dyDescent="0.25">
      <c r="A461" s="24">
        <v>44103</v>
      </c>
      <c r="B461" s="29" t="s">
        <v>14</v>
      </c>
      <c r="C461" s="11">
        <v>30</v>
      </c>
      <c r="D461" s="11" t="s">
        <v>10</v>
      </c>
      <c r="E461" s="11">
        <v>61050</v>
      </c>
      <c r="F461" s="11">
        <v>61200</v>
      </c>
      <c r="G461" s="34">
        <v>0</v>
      </c>
      <c r="H461" s="35">
        <v>0</v>
      </c>
      <c r="I461" s="8">
        <f t="shared" ref="I461" si="1241">(IF(D461="SELL",E461-F461,IF(D461="BUY",F461-E461)))*C461</f>
        <v>4500</v>
      </c>
      <c r="J461" s="8">
        <v>0</v>
      </c>
      <c r="K461" s="2">
        <v>0</v>
      </c>
      <c r="L461" s="8">
        <f t="shared" ref="L461" si="1242">(J461+I461+K461)/C461</f>
        <v>150</v>
      </c>
      <c r="M461" s="8">
        <f t="shared" ref="M461" si="1243">L461*C461</f>
        <v>4500</v>
      </c>
    </row>
    <row r="462" spans="1:13" ht="15.75" customHeight="1" x14ac:dyDescent="0.25">
      <c r="A462" s="24">
        <v>44103</v>
      </c>
      <c r="B462" s="29" t="s">
        <v>52</v>
      </c>
      <c r="C462" s="11">
        <v>1250</v>
      </c>
      <c r="D462" s="11" t="s">
        <v>11</v>
      </c>
      <c r="E462" s="11">
        <v>203.4</v>
      </c>
      <c r="F462" s="11">
        <v>202</v>
      </c>
      <c r="G462" s="34">
        <v>200</v>
      </c>
      <c r="H462" s="35">
        <v>0</v>
      </c>
      <c r="I462" s="8">
        <f t="shared" ref="I462" si="1244">(IF(D462="SELL",E462-F462,IF(D462="BUY",F462-E462)))*C462</f>
        <v>1750.000000000007</v>
      </c>
      <c r="J462" s="8">
        <f>C462*2</f>
        <v>2500</v>
      </c>
      <c r="K462" s="2">
        <v>0</v>
      </c>
      <c r="L462" s="8">
        <f t="shared" ref="L462" si="1245">(J462+I462+K462)/C462</f>
        <v>3.4000000000000057</v>
      </c>
      <c r="M462" s="8">
        <f t="shared" ref="M462" si="1246">L462*C462</f>
        <v>4250.0000000000073</v>
      </c>
    </row>
    <row r="463" spans="1:13" ht="15.75" customHeight="1" x14ac:dyDescent="0.25">
      <c r="A463" s="24">
        <v>44103</v>
      </c>
      <c r="B463" s="29" t="s">
        <v>19</v>
      </c>
      <c r="C463" s="11">
        <v>100</v>
      </c>
      <c r="D463" s="11" t="s">
        <v>10</v>
      </c>
      <c r="E463" s="11">
        <v>50290</v>
      </c>
      <c r="F463" s="11">
        <v>50340</v>
      </c>
      <c r="G463" s="34">
        <v>0</v>
      </c>
      <c r="H463" s="35">
        <v>0</v>
      </c>
      <c r="I463" s="8">
        <f t="shared" ref="I463" si="1247">(IF(D463="SELL",E463-F463,IF(D463="BUY",F463-E463)))*C463</f>
        <v>5000</v>
      </c>
      <c r="J463" s="8">
        <v>0</v>
      </c>
      <c r="K463" s="2">
        <v>0</v>
      </c>
      <c r="L463" s="8">
        <f t="shared" ref="L463" si="1248">(J463+I463+K463)/C463</f>
        <v>50</v>
      </c>
      <c r="M463" s="8">
        <f t="shared" ref="M463" si="1249">L463*C463</f>
        <v>5000</v>
      </c>
    </row>
    <row r="464" spans="1:13" ht="15.75" customHeight="1" x14ac:dyDescent="0.25">
      <c r="A464" s="24">
        <v>44103</v>
      </c>
      <c r="B464" s="29" t="s">
        <v>17</v>
      </c>
      <c r="C464" s="11">
        <v>5000</v>
      </c>
      <c r="D464" s="11" t="s">
        <v>10</v>
      </c>
      <c r="E464" s="11">
        <v>192.9</v>
      </c>
      <c r="F464" s="11">
        <v>191.4</v>
      </c>
      <c r="G464" s="34">
        <v>0</v>
      </c>
      <c r="H464" s="35">
        <v>0</v>
      </c>
      <c r="I464" s="8">
        <f t="shared" ref="I464" si="1250">(IF(D464="SELL",E464-F464,IF(D464="BUY",F464-E464)))*C464</f>
        <v>-7500</v>
      </c>
      <c r="J464" s="8">
        <v>0</v>
      </c>
      <c r="K464" s="2">
        <v>0</v>
      </c>
      <c r="L464" s="8">
        <f t="shared" ref="L464" si="1251">(J464+I464+K464)/C464</f>
        <v>-1.5</v>
      </c>
      <c r="M464" s="8">
        <f t="shared" ref="M464" si="1252">L464*C464</f>
        <v>-7500</v>
      </c>
    </row>
    <row r="465" spans="1:13" ht="15.75" customHeight="1" x14ac:dyDescent="0.25">
      <c r="A465" s="24">
        <v>44102</v>
      </c>
      <c r="B465" s="29" t="s">
        <v>21</v>
      </c>
      <c r="C465" s="11">
        <v>1500</v>
      </c>
      <c r="D465" s="11" t="s">
        <v>10</v>
      </c>
      <c r="E465" s="11">
        <v>1065</v>
      </c>
      <c r="F465" s="11">
        <v>1070</v>
      </c>
      <c r="G465" s="34">
        <v>0</v>
      </c>
      <c r="H465" s="35">
        <v>0</v>
      </c>
      <c r="I465" s="8">
        <f t="shared" ref="I465" si="1253">(IF(D465="SELL",E465-F465,IF(D465="BUY",F465-E465)))*C465</f>
        <v>7500</v>
      </c>
      <c r="J465" s="8">
        <v>0</v>
      </c>
      <c r="K465" s="2">
        <v>0</v>
      </c>
      <c r="L465" s="8">
        <f t="shared" ref="L465" si="1254">(J465+I465+K465)/C465</f>
        <v>5</v>
      </c>
      <c r="M465" s="8">
        <f t="shared" ref="M465" si="1255">L465*C465</f>
        <v>7500</v>
      </c>
    </row>
    <row r="466" spans="1:13" ht="15.75" customHeight="1" x14ac:dyDescent="0.25">
      <c r="A466" s="24">
        <v>44102</v>
      </c>
      <c r="B466" s="29" t="s">
        <v>18</v>
      </c>
      <c r="C466" s="11">
        <v>2500</v>
      </c>
      <c r="D466" s="11" t="s">
        <v>11</v>
      </c>
      <c r="E466" s="11">
        <v>520.5</v>
      </c>
      <c r="F466" s="11">
        <v>519.5</v>
      </c>
      <c r="G466" s="34">
        <v>0</v>
      </c>
      <c r="H466" s="35">
        <v>0</v>
      </c>
      <c r="I466" s="8">
        <f t="shared" ref="I466" si="1256">(IF(D466="SELL",E466-F466,IF(D466="BUY",F466-E466)))*C466</f>
        <v>2500</v>
      </c>
      <c r="J466" s="8">
        <v>0</v>
      </c>
      <c r="K466" s="2">
        <v>0</v>
      </c>
      <c r="L466" s="8">
        <f t="shared" ref="L466" si="1257">(J466+I466+K466)/C466</f>
        <v>1</v>
      </c>
      <c r="M466" s="8">
        <f t="shared" ref="M466" si="1258">L466*C466</f>
        <v>2500</v>
      </c>
    </row>
    <row r="467" spans="1:13" ht="15.75" customHeight="1" x14ac:dyDescent="0.25">
      <c r="A467" s="24">
        <v>44102</v>
      </c>
      <c r="B467" s="29" t="s">
        <v>19</v>
      </c>
      <c r="C467" s="11">
        <v>100</v>
      </c>
      <c r="D467" s="11" t="s">
        <v>11</v>
      </c>
      <c r="E467" s="11">
        <v>49860</v>
      </c>
      <c r="F467" s="11">
        <v>49950</v>
      </c>
      <c r="G467" s="34">
        <v>0</v>
      </c>
      <c r="H467" s="35">
        <v>0</v>
      </c>
      <c r="I467" s="8">
        <f t="shared" ref="I467" si="1259">(IF(D467="SELL",E467-F467,IF(D467="BUY",F467-E467)))*C467</f>
        <v>-9000</v>
      </c>
      <c r="J467" s="8">
        <v>0</v>
      </c>
      <c r="K467" s="2">
        <v>0</v>
      </c>
      <c r="L467" s="8">
        <f t="shared" ref="L467" si="1260">(J467+I467+K467)/C467</f>
        <v>-90</v>
      </c>
      <c r="M467" s="8">
        <f t="shared" ref="M467" si="1261">L467*C467</f>
        <v>-9000</v>
      </c>
    </row>
    <row r="468" spans="1:13" ht="15.75" customHeight="1" x14ac:dyDescent="0.25">
      <c r="A468" s="24">
        <v>44102</v>
      </c>
      <c r="B468" s="29" t="s">
        <v>16</v>
      </c>
      <c r="C468" s="11">
        <v>100</v>
      </c>
      <c r="D468" s="11" t="s">
        <v>10</v>
      </c>
      <c r="E468" s="11">
        <v>2985</v>
      </c>
      <c r="F468" s="11">
        <v>3005</v>
      </c>
      <c r="G468" s="34">
        <v>0</v>
      </c>
      <c r="H468" s="35">
        <v>0</v>
      </c>
      <c r="I468" s="8">
        <f t="shared" ref="I468" si="1262">(IF(D468="SELL",E468-F468,IF(D468="BUY",F468-E468)))*C468</f>
        <v>2000</v>
      </c>
      <c r="J468" s="8">
        <v>0</v>
      </c>
      <c r="K468" s="2">
        <v>0</v>
      </c>
      <c r="L468" s="8">
        <f t="shared" ref="L468" si="1263">(J468+I468+K468)/C468</f>
        <v>20</v>
      </c>
      <c r="M468" s="8">
        <f t="shared" ref="M468" si="1264">L468*C468</f>
        <v>2000</v>
      </c>
    </row>
    <row r="469" spans="1:13" ht="15.75" customHeight="1" x14ac:dyDescent="0.25">
      <c r="A469" s="24">
        <v>44102</v>
      </c>
      <c r="B469" s="29" t="s">
        <v>17</v>
      </c>
      <c r="C469" s="11">
        <v>5000</v>
      </c>
      <c r="D469" s="11" t="s">
        <v>10</v>
      </c>
      <c r="E469" s="11">
        <v>190.7</v>
      </c>
      <c r="F469" s="11">
        <v>191.3</v>
      </c>
      <c r="G469" s="34">
        <v>192.3</v>
      </c>
      <c r="H469" s="35">
        <v>0</v>
      </c>
      <c r="I469" s="8">
        <f t="shared" ref="I469" si="1265">(IF(D469="SELL",E469-F469,IF(D469="BUY",F469-E469)))*C469</f>
        <v>3000.0000000001137</v>
      </c>
      <c r="J469" s="8">
        <f>C469*1</f>
        <v>5000</v>
      </c>
      <c r="K469" s="2">
        <v>0</v>
      </c>
      <c r="L469" s="8">
        <f t="shared" ref="L469" si="1266">(J469+I469+K469)/C469</f>
        <v>1.6000000000000227</v>
      </c>
      <c r="M469" s="8">
        <f t="shared" ref="M469" si="1267">L469*C469</f>
        <v>8000.0000000001137</v>
      </c>
    </row>
    <row r="470" spans="1:13" ht="15.75" customHeight="1" x14ac:dyDescent="0.25">
      <c r="A470" s="24">
        <v>44102</v>
      </c>
      <c r="B470" s="29" t="s">
        <v>52</v>
      </c>
      <c r="C470" s="11">
        <v>1250</v>
      </c>
      <c r="D470" s="11" t="s">
        <v>11</v>
      </c>
      <c r="E470" s="11">
        <v>203</v>
      </c>
      <c r="F470" s="11">
        <v>201.5</v>
      </c>
      <c r="G470" s="34">
        <v>0</v>
      </c>
      <c r="H470" s="35">
        <v>0</v>
      </c>
      <c r="I470" s="8">
        <f t="shared" ref="I470" si="1268">(IF(D470="SELL",E470-F470,IF(D470="BUY",F470-E470)))*C470</f>
        <v>1875</v>
      </c>
      <c r="J470" s="8">
        <v>0</v>
      </c>
      <c r="K470" s="2">
        <v>0</v>
      </c>
      <c r="L470" s="8">
        <f t="shared" ref="L470" si="1269">(J470+I470+K470)/C470</f>
        <v>1.5</v>
      </c>
      <c r="M470" s="8">
        <f t="shared" ref="M470" si="1270">L470*C470</f>
        <v>1875</v>
      </c>
    </row>
    <row r="471" spans="1:13" ht="15.75" customHeight="1" x14ac:dyDescent="0.25">
      <c r="A471" s="24">
        <v>44102</v>
      </c>
      <c r="B471" s="29" t="s">
        <v>14</v>
      </c>
      <c r="C471" s="11">
        <v>30</v>
      </c>
      <c r="D471" s="11" t="s">
        <v>10</v>
      </c>
      <c r="E471" s="11">
        <v>59290</v>
      </c>
      <c r="F471" s="11">
        <v>59440</v>
      </c>
      <c r="G471" s="34">
        <v>59700</v>
      </c>
      <c r="H471" s="35">
        <v>0</v>
      </c>
      <c r="I471" s="8">
        <f t="shared" ref="I471" si="1271">(IF(D471="SELL",E471-F471,IF(D471="BUY",F471-E471)))*C471</f>
        <v>4500</v>
      </c>
      <c r="J471" s="8">
        <f>C471*260</f>
        <v>7800</v>
      </c>
      <c r="K471" s="2">
        <v>0</v>
      </c>
      <c r="L471" s="8">
        <f t="shared" ref="L471" si="1272">(J471+I471+K471)/C471</f>
        <v>410</v>
      </c>
      <c r="M471" s="8">
        <f t="shared" ref="M471" si="1273">L471*C471</f>
        <v>12300</v>
      </c>
    </row>
    <row r="472" spans="1:13" ht="15.75" customHeight="1" x14ac:dyDescent="0.25">
      <c r="A472" s="24">
        <v>44102</v>
      </c>
      <c r="B472" s="29" t="s">
        <v>19</v>
      </c>
      <c r="C472" s="11">
        <v>100</v>
      </c>
      <c r="D472" s="11" t="s">
        <v>11</v>
      </c>
      <c r="E472" s="11">
        <v>49350</v>
      </c>
      <c r="F472" s="11">
        <v>49440</v>
      </c>
      <c r="G472" s="34">
        <v>0</v>
      </c>
      <c r="H472" s="35">
        <v>0</v>
      </c>
      <c r="I472" s="8">
        <f t="shared" ref="I472" si="1274">(IF(D472="SELL",E472-F472,IF(D472="BUY",F472-E472)))*C472</f>
        <v>-9000</v>
      </c>
      <c r="J472" s="8">
        <v>0</v>
      </c>
      <c r="K472" s="2">
        <v>0</v>
      </c>
      <c r="L472" s="8">
        <f t="shared" ref="L472" si="1275">(J472+I472+K472)/C472</f>
        <v>-90</v>
      </c>
      <c r="M472" s="8">
        <f t="shared" ref="M472" si="1276">L472*C472</f>
        <v>-9000</v>
      </c>
    </row>
    <row r="473" spans="1:13" ht="15.75" customHeight="1" x14ac:dyDescent="0.25">
      <c r="A473" s="24">
        <v>44102</v>
      </c>
      <c r="B473" s="29" t="s">
        <v>17</v>
      </c>
      <c r="C473" s="11">
        <v>5000</v>
      </c>
      <c r="D473" s="11" t="s">
        <v>11</v>
      </c>
      <c r="E473" s="11">
        <v>187.4</v>
      </c>
      <c r="F473" s="11">
        <v>188.4</v>
      </c>
      <c r="G473" s="34">
        <v>0</v>
      </c>
      <c r="H473" s="35">
        <v>0</v>
      </c>
      <c r="I473" s="8">
        <f t="shared" ref="I473" si="1277">(IF(D473="SELL",E473-F473,IF(D473="BUY",F473-E473)))*C473</f>
        <v>-5000</v>
      </c>
      <c r="J473" s="8">
        <v>0</v>
      </c>
      <c r="K473" s="2">
        <v>0</v>
      </c>
      <c r="L473" s="8">
        <f t="shared" ref="L473" si="1278">(J473+I473+K473)/C473</f>
        <v>-1</v>
      </c>
      <c r="M473" s="8">
        <f t="shared" ref="M473" si="1279">L473*C473</f>
        <v>-5000</v>
      </c>
    </row>
    <row r="474" spans="1:13" ht="15.75" customHeight="1" x14ac:dyDescent="0.25">
      <c r="A474" s="24">
        <v>44099</v>
      </c>
      <c r="B474" s="29" t="s">
        <v>18</v>
      </c>
      <c r="C474" s="11">
        <v>2500</v>
      </c>
      <c r="D474" s="11" t="s">
        <v>11</v>
      </c>
      <c r="E474" s="11">
        <v>514.1</v>
      </c>
      <c r="F474" s="11">
        <v>513</v>
      </c>
      <c r="G474" s="34">
        <v>0</v>
      </c>
      <c r="H474" s="35">
        <v>0</v>
      </c>
      <c r="I474" s="8">
        <f t="shared" ref="I474" si="1280">(IF(D474="SELL",E474-F474,IF(D474="BUY",F474-E474)))*C474</f>
        <v>2750.0000000000568</v>
      </c>
      <c r="J474" s="8">
        <v>0</v>
      </c>
      <c r="K474" s="2">
        <v>0</v>
      </c>
      <c r="L474" s="8">
        <f t="shared" ref="L474" si="1281">(J474+I474+K474)/C474</f>
        <v>1.1000000000000227</v>
      </c>
      <c r="M474" s="8">
        <f t="shared" ref="M474" si="1282">L474*C474</f>
        <v>2750.0000000000568</v>
      </c>
    </row>
    <row r="475" spans="1:13" ht="15.75" customHeight="1" x14ac:dyDescent="0.25">
      <c r="A475" s="24">
        <v>44099</v>
      </c>
      <c r="B475" s="29" t="s">
        <v>14</v>
      </c>
      <c r="C475" s="11">
        <v>30</v>
      </c>
      <c r="D475" s="11" t="s">
        <v>10</v>
      </c>
      <c r="E475" s="11">
        <v>58650</v>
      </c>
      <c r="F475" s="11">
        <v>58800</v>
      </c>
      <c r="G475" s="34">
        <v>59000</v>
      </c>
      <c r="H475" s="35">
        <v>0</v>
      </c>
      <c r="I475" s="8">
        <f t="shared" ref="I475" si="1283">(IF(D475="SELL",E475-F475,IF(D475="BUY",F475-E475)))*C475</f>
        <v>4500</v>
      </c>
      <c r="J475" s="8">
        <f>C475*200</f>
        <v>6000</v>
      </c>
      <c r="K475" s="2">
        <v>0</v>
      </c>
      <c r="L475" s="8">
        <f t="shared" ref="L475" si="1284">(J475+I475+K475)/C475</f>
        <v>350</v>
      </c>
      <c r="M475" s="8">
        <f t="shared" ref="M475" si="1285">L475*C475</f>
        <v>10500</v>
      </c>
    </row>
    <row r="476" spans="1:13" ht="15.75" customHeight="1" x14ac:dyDescent="0.25">
      <c r="A476" s="24">
        <v>44099</v>
      </c>
      <c r="B476" s="29" t="s">
        <v>16</v>
      </c>
      <c r="C476" s="11">
        <v>100</v>
      </c>
      <c r="D476" s="11" t="s">
        <v>11</v>
      </c>
      <c r="E476" s="11">
        <v>2942</v>
      </c>
      <c r="F476" s="11">
        <v>2962</v>
      </c>
      <c r="G476" s="34">
        <v>0</v>
      </c>
      <c r="H476" s="35">
        <v>0</v>
      </c>
      <c r="I476" s="8">
        <f t="shared" ref="I476" si="1286">(IF(D476="SELL",E476-F476,IF(D476="BUY",F476-E476)))*C476</f>
        <v>-2000</v>
      </c>
      <c r="J476" s="8">
        <v>0</v>
      </c>
      <c r="K476" s="2">
        <v>0</v>
      </c>
      <c r="L476" s="8">
        <f t="shared" ref="L476" si="1287">(J476+I476+K476)/C476</f>
        <v>-20</v>
      </c>
      <c r="M476" s="8">
        <f t="shared" ref="M476" si="1288">L476*C476</f>
        <v>-2000</v>
      </c>
    </row>
    <row r="477" spans="1:13" ht="15.75" customHeight="1" x14ac:dyDescent="0.25">
      <c r="A477" s="24">
        <v>44099</v>
      </c>
      <c r="B477" s="29" t="s">
        <v>19</v>
      </c>
      <c r="C477" s="11">
        <v>100</v>
      </c>
      <c r="D477" s="11" t="s">
        <v>10</v>
      </c>
      <c r="E477" s="11">
        <v>49560</v>
      </c>
      <c r="F477" s="11">
        <v>49480</v>
      </c>
      <c r="G477" s="34">
        <v>0</v>
      </c>
      <c r="H477" s="35">
        <v>0</v>
      </c>
      <c r="I477" s="8">
        <f t="shared" ref="I477" si="1289">(IF(D477="SELL",E477-F477,IF(D477="BUY",F477-E477)))*C477</f>
        <v>-8000</v>
      </c>
      <c r="J477" s="8">
        <v>0</v>
      </c>
      <c r="K477" s="2">
        <v>0</v>
      </c>
      <c r="L477" s="8">
        <f t="shared" ref="L477" si="1290">(J477+I477+K477)/C477</f>
        <v>-80</v>
      </c>
      <c r="M477" s="8">
        <f t="shared" ref="M477" si="1291">L477*C477</f>
        <v>-8000</v>
      </c>
    </row>
    <row r="478" spans="1:13" ht="15.75" customHeight="1" x14ac:dyDescent="0.25">
      <c r="A478" s="24">
        <v>44099</v>
      </c>
      <c r="B478" s="29" t="s">
        <v>21</v>
      </c>
      <c r="C478" s="11">
        <v>1500</v>
      </c>
      <c r="D478" s="11" t="s">
        <v>11</v>
      </c>
      <c r="E478" s="11">
        <v>1057</v>
      </c>
      <c r="F478" s="11">
        <v>1053</v>
      </c>
      <c r="G478" s="34">
        <v>0</v>
      </c>
      <c r="H478" s="35">
        <v>0</v>
      </c>
      <c r="I478" s="8">
        <f t="shared" ref="I478" si="1292">(IF(D478="SELL",E478-F478,IF(D478="BUY",F478-E478)))*C478</f>
        <v>6000</v>
      </c>
      <c r="J478" s="8">
        <v>0</v>
      </c>
      <c r="K478" s="2">
        <v>0</v>
      </c>
      <c r="L478" s="8">
        <f t="shared" ref="L478" si="1293">(J478+I478+K478)/C478</f>
        <v>4</v>
      </c>
      <c r="M478" s="8">
        <f t="shared" ref="M478" si="1294">L478*C478</f>
        <v>6000</v>
      </c>
    </row>
    <row r="479" spans="1:13" ht="15.75" customHeight="1" x14ac:dyDescent="0.25">
      <c r="A479" s="24">
        <v>44099</v>
      </c>
      <c r="B479" s="29" t="s">
        <v>52</v>
      </c>
      <c r="C479" s="11">
        <v>1250</v>
      </c>
      <c r="D479" s="11" t="s">
        <v>11</v>
      </c>
      <c r="E479" s="11">
        <v>163.30000000000001</v>
      </c>
      <c r="F479" s="11">
        <v>162</v>
      </c>
      <c r="G479" s="34">
        <v>160</v>
      </c>
      <c r="H479" s="35">
        <v>0</v>
      </c>
      <c r="I479" s="8">
        <f t="shared" ref="I479" si="1295">(IF(D479="SELL",E479-F479,IF(D479="BUY",F479-E479)))*C479</f>
        <v>1625.0000000000141</v>
      </c>
      <c r="J479" s="8">
        <f>C479*2</f>
        <v>2500</v>
      </c>
      <c r="K479" s="2">
        <v>0</v>
      </c>
      <c r="L479" s="8">
        <f t="shared" ref="L479" si="1296">(J479+I479+K479)/C479</f>
        <v>3.3000000000000118</v>
      </c>
      <c r="M479" s="8">
        <f t="shared" ref="M479" si="1297">L479*C479</f>
        <v>4125.0000000000146</v>
      </c>
    </row>
    <row r="480" spans="1:13" ht="15.75" customHeight="1" x14ac:dyDescent="0.25">
      <c r="A480" s="24">
        <v>44099</v>
      </c>
      <c r="B480" s="29" t="s">
        <v>18</v>
      </c>
      <c r="C480" s="11">
        <v>2500</v>
      </c>
      <c r="D480" s="11" t="s">
        <v>11</v>
      </c>
      <c r="E480" s="11">
        <v>517.5</v>
      </c>
      <c r="F480" s="11">
        <v>516</v>
      </c>
      <c r="G480" s="34">
        <v>513.5</v>
      </c>
      <c r="H480" s="35">
        <v>0</v>
      </c>
      <c r="I480" s="8">
        <f t="shared" ref="I480" si="1298">(IF(D480="SELL",E480-F480,IF(D480="BUY",F480-E480)))*C480</f>
        <v>3750</v>
      </c>
      <c r="J480" s="8">
        <f>C480*2.5</f>
        <v>6250</v>
      </c>
      <c r="K480" s="2">
        <v>0</v>
      </c>
      <c r="L480" s="8">
        <f t="shared" ref="L480" si="1299">(J480+I480+K480)/C480</f>
        <v>4</v>
      </c>
      <c r="M480" s="8">
        <f t="shared" ref="M480" si="1300">L480*C480</f>
        <v>10000</v>
      </c>
    </row>
    <row r="481" spans="1:13" ht="15.75" customHeight="1" x14ac:dyDescent="0.25">
      <c r="A481" s="24">
        <v>44099</v>
      </c>
      <c r="B481" s="29" t="s">
        <v>17</v>
      </c>
      <c r="C481" s="11">
        <v>5000</v>
      </c>
      <c r="D481" s="11" t="s">
        <v>11</v>
      </c>
      <c r="E481" s="11">
        <v>189.5</v>
      </c>
      <c r="F481" s="11">
        <v>189</v>
      </c>
      <c r="G481" s="34">
        <v>188</v>
      </c>
      <c r="H481" s="35">
        <v>0</v>
      </c>
      <c r="I481" s="8">
        <f t="shared" ref="I481" si="1301">(IF(D481="SELL",E481-F481,IF(D481="BUY",F481-E481)))*C481</f>
        <v>2500</v>
      </c>
      <c r="J481" s="8">
        <f>C481*1</f>
        <v>5000</v>
      </c>
      <c r="K481" s="2">
        <v>0</v>
      </c>
      <c r="L481" s="8">
        <f t="shared" ref="L481" si="1302">(J481+I481+K481)/C481</f>
        <v>1.5</v>
      </c>
      <c r="M481" s="8">
        <f t="shared" ref="M481" si="1303">L481*C481</f>
        <v>7500</v>
      </c>
    </row>
    <row r="482" spans="1:13" ht="15.75" customHeight="1" x14ac:dyDescent="0.25">
      <c r="A482" s="24">
        <v>44099</v>
      </c>
      <c r="B482" s="29" t="s">
        <v>14</v>
      </c>
      <c r="C482" s="11">
        <v>30</v>
      </c>
      <c r="D482" s="11" t="s">
        <v>11</v>
      </c>
      <c r="E482" s="11">
        <v>59060</v>
      </c>
      <c r="F482" s="11">
        <v>59270</v>
      </c>
      <c r="G482" s="34">
        <v>0</v>
      </c>
      <c r="H482" s="35">
        <v>0</v>
      </c>
      <c r="I482" s="8">
        <f t="shared" ref="I482" si="1304">(IF(D482="SELL",E482-F482,IF(D482="BUY",F482-E482)))*C482</f>
        <v>-6300</v>
      </c>
      <c r="J482" s="8">
        <v>0</v>
      </c>
      <c r="K482" s="2">
        <v>0</v>
      </c>
      <c r="L482" s="8">
        <f t="shared" ref="L482" si="1305">(J482+I482+K482)/C482</f>
        <v>-210</v>
      </c>
      <c r="M482" s="8">
        <f t="shared" ref="M482" si="1306">L482*C482</f>
        <v>-6300</v>
      </c>
    </row>
    <row r="483" spans="1:13" ht="15.75" customHeight="1" x14ac:dyDescent="0.25">
      <c r="A483" s="24">
        <v>44098</v>
      </c>
      <c r="B483" s="29" t="s">
        <v>19</v>
      </c>
      <c r="C483" s="11">
        <v>100</v>
      </c>
      <c r="D483" s="11" t="s">
        <v>11</v>
      </c>
      <c r="E483" s="11">
        <v>49770</v>
      </c>
      <c r="F483" s="11">
        <v>49700</v>
      </c>
      <c r="G483" s="34">
        <v>49600</v>
      </c>
      <c r="H483" s="35">
        <v>0</v>
      </c>
      <c r="I483" s="8">
        <f t="shared" ref="I483" si="1307">(IF(D483="SELL",E483-F483,IF(D483="BUY",F483-E483)))*C483</f>
        <v>7000</v>
      </c>
      <c r="J483" s="8">
        <f>C483*100</f>
        <v>10000</v>
      </c>
      <c r="K483" s="2">
        <v>0</v>
      </c>
      <c r="L483" s="8">
        <f t="shared" ref="L483" si="1308">(J483+I483+K483)/C483</f>
        <v>170</v>
      </c>
      <c r="M483" s="8">
        <f t="shared" ref="M483" si="1309">L483*C483</f>
        <v>17000</v>
      </c>
    </row>
    <row r="484" spans="1:13" ht="15.75" customHeight="1" x14ac:dyDescent="0.25">
      <c r="A484" s="24">
        <v>44098</v>
      </c>
      <c r="B484" s="29" t="s">
        <v>19</v>
      </c>
      <c r="C484" s="11">
        <v>100</v>
      </c>
      <c r="D484" s="11" t="s">
        <v>11</v>
      </c>
      <c r="E484" s="11">
        <v>49500</v>
      </c>
      <c r="F484" s="11">
        <v>49430</v>
      </c>
      <c r="G484" s="34">
        <v>49350</v>
      </c>
      <c r="H484" s="35">
        <v>0</v>
      </c>
      <c r="I484" s="8">
        <f t="shared" ref="I484" si="1310">(IF(D484="SELL",E484-F484,IF(D484="BUY",F484-E484)))*C484</f>
        <v>7000</v>
      </c>
      <c r="J484" s="8">
        <f>C484*80</f>
        <v>8000</v>
      </c>
      <c r="K484" s="2">
        <v>0</v>
      </c>
      <c r="L484" s="8">
        <f t="shared" ref="L484" si="1311">(J484+I484+K484)/C484</f>
        <v>150</v>
      </c>
      <c r="M484" s="8">
        <f t="shared" ref="M484" si="1312">L484*C484</f>
        <v>15000</v>
      </c>
    </row>
    <row r="485" spans="1:13" ht="15.75" customHeight="1" x14ac:dyDescent="0.25">
      <c r="A485" s="24">
        <v>44098</v>
      </c>
      <c r="B485" s="29" t="s">
        <v>19</v>
      </c>
      <c r="C485" s="11">
        <v>100</v>
      </c>
      <c r="D485" s="11" t="s">
        <v>10</v>
      </c>
      <c r="E485" s="11">
        <v>49560</v>
      </c>
      <c r="F485" s="11">
        <v>49470</v>
      </c>
      <c r="G485" s="34">
        <v>0</v>
      </c>
      <c r="H485" s="35">
        <v>0</v>
      </c>
      <c r="I485" s="8">
        <f t="shared" ref="I485" si="1313">(IF(D485="SELL",E485-F485,IF(D485="BUY",F485-E485)))*C485</f>
        <v>-9000</v>
      </c>
      <c r="J485" s="8">
        <v>0</v>
      </c>
      <c r="K485" s="2">
        <v>0</v>
      </c>
      <c r="L485" s="8">
        <f t="shared" ref="L485" si="1314">(J485+I485+K485)/C485</f>
        <v>-90</v>
      </c>
      <c r="M485" s="8">
        <f t="shared" ref="M485" si="1315">L485*C485</f>
        <v>-9000</v>
      </c>
    </row>
    <row r="486" spans="1:13" ht="15.75" customHeight="1" x14ac:dyDescent="0.25">
      <c r="A486" s="24">
        <v>44098</v>
      </c>
      <c r="B486" s="29" t="s">
        <v>14</v>
      </c>
      <c r="C486" s="11">
        <v>30</v>
      </c>
      <c r="D486" s="11" t="s">
        <v>10</v>
      </c>
      <c r="E486" s="11">
        <v>56750</v>
      </c>
      <c r="F486" s="11">
        <v>56900</v>
      </c>
      <c r="G486" s="34">
        <v>0</v>
      </c>
      <c r="H486" s="35">
        <v>0</v>
      </c>
      <c r="I486" s="8">
        <f t="shared" ref="I486" si="1316">(IF(D486="SELL",E486-F486,IF(D486="BUY",F486-E486)))*C486</f>
        <v>4500</v>
      </c>
      <c r="J486" s="8">
        <v>0</v>
      </c>
      <c r="K486" s="2">
        <v>0</v>
      </c>
      <c r="L486" s="8">
        <f t="shared" ref="L486" si="1317">(J486+I486+K486)/C486</f>
        <v>150</v>
      </c>
      <c r="M486" s="8">
        <f t="shared" ref="M486" si="1318">L486*C486</f>
        <v>4500</v>
      </c>
    </row>
    <row r="487" spans="1:13" ht="15.75" customHeight="1" x14ac:dyDescent="0.25">
      <c r="A487" s="24">
        <v>44098</v>
      </c>
      <c r="B487" s="29" t="s">
        <v>52</v>
      </c>
      <c r="C487" s="11">
        <v>1250</v>
      </c>
      <c r="D487" s="11" t="s">
        <v>10</v>
      </c>
      <c r="E487" s="11">
        <v>168</v>
      </c>
      <c r="F487" s="11">
        <v>166</v>
      </c>
      <c r="G487" s="34">
        <v>0</v>
      </c>
      <c r="H487" s="35">
        <v>0</v>
      </c>
      <c r="I487" s="8">
        <f t="shared" ref="I487" si="1319">(IF(D487="SELL",E487-F487,IF(D487="BUY",F487-E487)))*C487</f>
        <v>-2500</v>
      </c>
      <c r="J487" s="8">
        <v>0</v>
      </c>
      <c r="K487" s="2">
        <v>0</v>
      </c>
      <c r="L487" s="8">
        <f t="shared" ref="L487" si="1320">(J487+I487+K487)/C487</f>
        <v>-2</v>
      </c>
      <c r="M487" s="8">
        <f t="shared" ref="M487" si="1321">L487*C487</f>
        <v>-2500</v>
      </c>
    </row>
    <row r="488" spans="1:13" ht="15.75" customHeight="1" x14ac:dyDescent="0.25">
      <c r="A488" s="24">
        <v>44098</v>
      </c>
      <c r="B488" s="29" t="s">
        <v>18</v>
      </c>
      <c r="C488" s="11">
        <v>2500</v>
      </c>
      <c r="D488" s="11" t="s">
        <v>11</v>
      </c>
      <c r="E488" s="11">
        <v>514.6</v>
      </c>
      <c r="F488" s="11">
        <v>515</v>
      </c>
      <c r="G488" s="34">
        <v>0</v>
      </c>
      <c r="H488" s="35">
        <v>0</v>
      </c>
      <c r="I488" s="8">
        <f t="shared" ref="I488" si="1322">(IF(D488="SELL",E488-F488,IF(D488="BUY",F488-E488)))*C488</f>
        <v>-999.99999999994316</v>
      </c>
      <c r="J488" s="8">
        <v>0</v>
      </c>
      <c r="K488" s="2">
        <v>0</v>
      </c>
      <c r="L488" s="8">
        <f t="shared" ref="L488" si="1323">(J488+I488+K488)/C488</f>
        <v>-0.39999999999997726</v>
      </c>
      <c r="M488" s="8">
        <f t="shared" ref="M488" si="1324">L488*C488</f>
        <v>-999.99999999994316</v>
      </c>
    </row>
    <row r="489" spans="1:13" ht="15.75" customHeight="1" x14ac:dyDescent="0.25">
      <c r="A489" s="24">
        <v>44098</v>
      </c>
      <c r="B489" s="29" t="s">
        <v>19</v>
      </c>
      <c r="C489" s="11">
        <v>100</v>
      </c>
      <c r="D489" s="11" t="s">
        <v>11</v>
      </c>
      <c r="E489" s="11">
        <v>49320</v>
      </c>
      <c r="F489" s="11">
        <v>49400</v>
      </c>
      <c r="G489" s="34">
        <v>0</v>
      </c>
      <c r="H489" s="35">
        <v>0</v>
      </c>
      <c r="I489" s="8">
        <f t="shared" ref="I489" si="1325">(IF(D489="SELL",E489-F489,IF(D489="BUY",F489-E489)))*C489</f>
        <v>-8000</v>
      </c>
      <c r="J489" s="8">
        <v>0</v>
      </c>
      <c r="K489" s="2">
        <v>0</v>
      </c>
      <c r="L489" s="8">
        <f t="shared" ref="L489" si="1326">(J489+I489+K489)/C489</f>
        <v>-80</v>
      </c>
      <c r="M489" s="8">
        <f t="shared" ref="M489" si="1327">L489*C489</f>
        <v>-8000</v>
      </c>
    </row>
    <row r="490" spans="1:13" ht="15.75" customHeight="1" x14ac:dyDescent="0.25">
      <c r="A490" s="24">
        <v>44098</v>
      </c>
      <c r="B490" s="29" t="s">
        <v>17</v>
      </c>
      <c r="C490" s="11">
        <v>5000</v>
      </c>
      <c r="D490" s="11" t="s">
        <v>11</v>
      </c>
      <c r="E490" s="11">
        <v>188</v>
      </c>
      <c r="F490" s="11">
        <v>188</v>
      </c>
      <c r="G490" s="34">
        <v>0</v>
      </c>
      <c r="H490" s="35">
        <v>0</v>
      </c>
      <c r="I490" s="8">
        <f t="shared" ref="I490" si="1328">(IF(D490="SELL",E490-F490,IF(D490="BUY",F490-E490)))*C490</f>
        <v>0</v>
      </c>
      <c r="J490" s="8">
        <v>0</v>
      </c>
      <c r="K490" s="2">
        <v>0</v>
      </c>
      <c r="L490" s="8">
        <f t="shared" ref="L490" si="1329">(J490+I490+K490)/C490</f>
        <v>0</v>
      </c>
      <c r="M490" s="8">
        <f t="shared" ref="M490" si="1330">L490*C490</f>
        <v>0</v>
      </c>
    </row>
    <row r="491" spans="1:13" ht="15.75" customHeight="1" x14ac:dyDescent="0.25">
      <c r="A491" s="24">
        <v>44098</v>
      </c>
      <c r="B491" s="29" t="s">
        <v>14</v>
      </c>
      <c r="C491" s="11">
        <v>30</v>
      </c>
      <c r="D491" s="11" t="s">
        <v>11</v>
      </c>
      <c r="E491" s="11">
        <v>56140</v>
      </c>
      <c r="F491" s="11">
        <v>56460</v>
      </c>
      <c r="G491" s="34">
        <v>0</v>
      </c>
      <c r="H491" s="35">
        <v>0</v>
      </c>
      <c r="I491" s="8">
        <f t="shared" ref="I491" si="1331">(IF(D491="SELL",E491-F491,IF(D491="BUY",F491-E491)))*C491</f>
        <v>-9600</v>
      </c>
      <c r="J491" s="8">
        <v>0</v>
      </c>
      <c r="K491" s="2">
        <v>0</v>
      </c>
      <c r="L491" s="8">
        <f t="shared" ref="L491" si="1332">(J491+I491+K491)/C491</f>
        <v>-320</v>
      </c>
      <c r="M491" s="8">
        <f t="shared" ref="M491" si="1333">L491*C491</f>
        <v>-9600</v>
      </c>
    </row>
    <row r="492" spans="1:13" ht="15.75" customHeight="1" x14ac:dyDescent="0.25">
      <c r="A492" s="24">
        <v>44097</v>
      </c>
      <c r="B492" s="29" t="s">
        <v>19</v>
      </c>
      <c r="C492" s="11">
        <v>100</v>
      </c>
      <c r="D492" s="11" t="s">
        <v>11</v>
      </c>
      <c r="E492" s="11">
        <v>49770</v>
      </c>
      <c r="F492" s="11">
        <v>49700</v>
      </c>
      <c r="G492" s="34">
        <v>49600</v>
      </c>
      <c r="H492" s="35">
        <v>0</v>
      </c>
      <c r="I492" s="8">
        <f t="shared" ref="I492" si="1334">(IF(D492="SELL",E492-F492,IF(D492="BUY",F492-E492)))*C492</f>
        <v>7000</v>
      </c>
      <c r="J492" s="8">
        <f>C492*100</f>
        <v>10000</v>
      </c>
      <c r="K492" s="2">
        <v>0</v>
      </c>
      <c r="L492" s="8">
        <f t="shared" ref="L492" si="1335">(J492+I492+K492)/C492</f>
        <v>170</v>
      </c>
      <c r="M492" s="8">
        <f t="shared" ref="M492" si="1336">L492*C492</f>
        <v>17000</v>
      </c>
    </row>
    <row r="493" spans="1:13" ht="15.75" customHeight="1" x14ac:dyDescent="0.25">
      <c r="A493" s="24">
        <v>44097</v>
      </c>
      <c r="B493" s="29" t="s">
        <v>74</v>
      </c>
      <c r="C493" s="11">
        <v>1500</v>
      </c>
      <c r="D493" s="11" t="s">
        <v>11</v>
      </c>
      <c r="E493" s="11">
        <v>1055</v>
      </c>
      <c r="F493" s="11">
        <v>1051</v>
      </c>
      <c r="G493" s="34">
        <v>0</v>
      </c>
      <c r="H493" s="35">
        <v>0</v>
      </c>
      <c r="I493" s="8">
        <f t="shared" ref="I493" si="1337">(IF(D493="SELL",E493-F493,IF(D493="BUY",F493-E493)))*C493</f>
        <v>6000</v>
      </c>
      <c r="J493" s="8">
        <v>0</v>
      </c>
      <c r="K493" s="2">
        <v>0</v>
      </c>
      <c r="L493" s="8">
        <f t="shared" ref="L493" si="1338">(J493+I493+K493)/C493</f>
        <v>4</v>
      </c>
      <c r="M493" s="8">
        <f t="shared" ref="M493" si="1339">L493*C493</f>
        <v>6000</v>
      </c>
    </row>
    <row r="494" spans="1:13" ht="15.75" customHeight="1" x14ac:dyDescent="0.25">
      <c r="A494" s="24">
        <v>44097</v>
      </c>
      <c r="B494" s="29" t="s">
        <v>14</v>
      </c>
      <c r="C494" s="11">
        <v>30</v>
      </c>
      <c r="D494" s="11" t="s">
        <v>10</v>
      </c>
      <c r="E494" s="11">
        <v>59400</v>
      </c>
      <c r="F494" s="11">
        <v>59550</v>
      </c>
      <c r="G494" s="34">
        <v>0</v>
      </c>
      <c r="H494" s="35">
        <v>0</v>
      </c>
      <c r="I494" s="8">
        <f t="shared" ref="I494" si="1340">(IF(D494="SELL",E494-F494,IF(D494="BUY",F494-E494)))*C494</f>
        <v>4500</v>
      </c>
      <c r="J494" s="8">
        <v>0</v>
      </c>
      <c r="K494" s="2">
        <v>0</v>
      </c>
      <c r="L494" s="8">
        <f t="shared" ref="L494" si="1341">(J494+I494+K494)/C494</f>
        <v>150</v>
      </c>
      <c r="M494" s="8">
        <f t="shared" ref="M494" si="1342">L494*C494</f>
        <v>4500</v>
      </c>
    </row>
    <row r="495" spans="1:13" ht="15.75" customHeight="1" x14ac:dyDescent="0.25">
      <c r="A495" s="24">
        <v>44097</v>
      </c>
      <c r="B495" s="29" t="s">
        <v>14</v>
      </c>
      <c r="C495" s="11">
        <v>30</v>
      </c>
      <c r="D495" s="11" t="s">
        <v>11</v>
      </c>
      <c r="E495" s="11">
        <v>59120</v>
      </c>
      <c r="F495" s="11">
        <v>59000</v>
      </c>
      <c r="G495" s="34">
        <v>0</v>
      </c>
      <c r="H495" s="35">
        <v>0</v>
      </c>
      <c r="I495" s="8">
        <f t="shared" ref="I495" si="1343">(IF(D495="SELL",E495-F495,IF(D495="BUY",F495-E495)))*C495</f>
        <v>3600</v>
      </c>
      <c r="J495" s="8">
        <v>0</v>
      </c>
      <c r="K495" s="2">
        <v>0</v>
      </c>
      <c r="L495" s="8">
        <f t="shared" ref="L495" si="1344">(J495+I495+K495)/C495</f>
        <v>120</v>
      </c>
      <c r="M495" s="8">
        <f t="shared" ref="M495" si="1345">L495*C495</f>
        <v>3600</v>
      </c>
    </row>
    <row r="496" spans="1:13" ht="15.75" customHeight="1" x14ac:dyDescent="0.25">
      <c r="A496" s="24">
        <v>44097</v>
      </c>
      <c r="B496" s="29" t="s">
        <v>14</v>
      </c>
      <c r="C496" s="11">
        <v>30</v>
      </c>
      <c r="D496" s="11" t="s">
        <v>11</v>
      </c>
      <c r="E496" s="11">
        <v>58250</v>
      </c>
      <c r="F496" s="11">
        <v>58100</v>
      </c>
      <c r="G496" s="34">
        <v>0</v>
      </c>
      <c r="H496" s="35">
        <v>0</v>
      </c>
      <c r="I496" s="8">
        <f t="shared" ref="I496" si="1346">(IF(D496="SELL",E496-F496,IF(D496="BUY",F496-E496)))*C496</f>
        <v>4500</v>
      </c>
      <c r="J496" s="8">
        <v>0</v>
      </c>
      <c r="K496" s="2">
        <v>0</v>
      </c>
      <c r="L496" s="8">
        <f t="shared" ref="L496" si="1347">(J496+I496+K496)/C496</f>
        <v>150</v>
      </c>
      <c r="M496" s="8">
        <f t="shared" ref="M496" si="1348">L496*C496</f>
        <v>4500</v>
      </c>
    </row>
    <row r="497" spans="1:13" ht="15.75" customHeight="1" x14ac:dyDescent="0.25">
      <c r="A497" s="24">
        <v>44097</v>
      </c>
      <c r="B497" s="29" t="s">
        <v>17</v>
      </c>
      <c r="C497" s="11">
        <v>5000</v>
      </c>
      <c r="D497" s="11" t="s">
        <v>11</v>
      </c>
      <c r="E497" s="11">
        <v>192.2</v>
      </c>
      <c r="F497" s="11">
        <v>193.2</v>
      </c>
      <c r="G497" s="34">
        <v>0</v>
      </c>
      <c r="H497" s="35">
        <v>0</v>
      </c>
      <c r="I497" s="8">
        <f t="shared" ref="I497" si="1349">(IF(D497="SELL",E497-F497,IF(D497="BUY",F497-E497)))*C497</f>
        <v>-5000</v>
      </c>
      <c r="J497" s="8">
        <v>0</v>
      </c>
      <c r="K497" s="2">
        <v>0</v>
      </c>
      <c r="L497" s="8">
        <f t="shared" ref="L497" si="1350">(J497+I497+K497)/C497</f>
        <v>-1</v>
      </c>
      <c r="M497" s="8">
        <f t="shared" ref="M497" si="1351">L497*C497</f>
        <v>-5000</v>
      </c>
    </row>
    <row r="498" spans="1:13" ht="15.75" customHeight="1" x14ac:dyDescent="0.25">
      <c r="A498" s="24">
        <v>44097</v>
      </c>
      <c r="B498" s="29" t="s">
        <v>14</v>
      </c>
      <c r="C498" s="11">
        <v>30</v>
      </c>
      <c r="D498" s="11" t="s">
        <v>11</v>
      </c>
      <c r="E498" s="11">
        <v>58960</v>
      </c>
      <c r="F498" s="11">
        <v>58810</v>
      </c>
      <c r="G498" s="34">
        <v>58600</v>
      </c>
      <c r="H498" s="35">
        <v>0</v>
      </c>
      <c r="I498" s="8">
        <f t="shared" ref="I498" si="1352">(IF(D498="SELL",E498-F498,IF(D498="BUY",F498-E498)))*C498</f>
        <v>4500</v>
      </c>
      <c r="J498" s="8">
        <f>C498*210</f>
        <v>6300</v>
      </c>
      <c r="K498" s="2">
        <v>0</v>
      </c>
      <c r="L498" s="8">
        <f t="shared" ref="L498" si="1353">(J498+I498+K498)/C498</f>
        <v>360</v>
      </c>
      <c r="M498" s="8">
        <f t="shared" ref="M498" si="1354">L498*C498</f>
        <v>10800</v>
      </c>
    </row>
    <row r="499" spans="1:13" ht="15.75" customHeight="1" x14ac:dyDescent="0.25">
      <c r="A499" s="24">
        <v>44097</v>
      </c>
      <c r="B499" s="29" t="s">
        <v>19</v>
      </c>
      <c r="C499" s="11">
        <v>100</v>
      </c>
      <c r="D499" s="11" t="s">
        <v>11</v>
      </c>
      <c r="E499" s="11">
        <v>49900</v>
      </c>
      <c r="F499" s="11">
        <v>49850</v>
      </c>
      <c r="G499" s="34">
        <v>49750</v>
      </c>
      <c r="H499" s="35">
        <v>0</v>
      </c>
      <c r="I499" s="8">
        <f t="shared" ref="I499" si="1355">(IF(D499="SELL",E499-F499,IF(D499="BUY",F499-E499)))*C499</f>
        <v>5000</v>
      </c>
      <c r="J499" s="8">
        <f>C499*100</f>
        <v>10000</v>
      </c>
      <c r="K499" s="2">
        <v>0</v>
      </c>
      <c r="L499" s="8">
        <f t="shared" ref="L499" si="1356">(J499+I499+K499)/C499</f>
        <v>150</v>
      </c>
      <c r="M499" s="8">
        <f t="shared" ref="M499" si="1357">L499*C499</f>
        <v>15000</v>
      </c>
    </row>
    <row r="500" spans="1:13" ht="15.75" customHeight="1" x14ac:dyDescent="0.25">
      <c r="A500" s="24">
        <v>44097</v>
      </c>
      <c r="B500" s="29" t="s">
        <v>16</v>
      </c>
      <c r="C500" s="11">
        <v>100</v>
      </c>
      <c r="D500" s="11" t="s">
        <v>11</v>
      </c>
      <c r="E500" s="11">
        <v>2925</v>
      </c>
      <c r="F500" s="11">
        <v>2965</v>
      </c>
      <c r="G500" s="34">
        <v>0</v>
      </c>
      <c r="H500" s="35">
        <v>0</v>
      </c>
      <c r="I500" s="8">
        <f t="shared" ref="I500" si="1358">(IF(D500="SELL",E500-F500,IF(D500="BUY",F500-E500)))*C500</f>
        <v>-4000</v>
      </c>
      <c r="J500" s="8">
        <v>0</v>
      </c>
      <c r="K500" s="2">
        <v>0</v>
      </c>
      <c r="L500" s="8">
        <f t="shared" ref="L500" si="1359">(J500+I500+K500)/C500</f>
        <v>-40</v>
      </c>
      <c r="M500" s="8">
        <f t="shared" ref="M500" si="1360">L500*C500</f>
        <v>-4000</v>
      </c>
    </row>
    <row r="501" spans="1:13" ht="15.75" customHeight="1" x14ac:dyDescent="0.25">
      <c r="A501" s="24">
        <v>44097</v>
      </c>
      <c r="B501" s="29" t="s">
        <v>52</v>
      </c>
      <c r="C501" s="11">
        <v>1250</v>
      </c>
      <c r="D501" s="11" t="s">
        <v>10</v>
      </c>
      <c r="E501" s="11">
        <v>139.5</v>
      </c>
      <c r="F501" s="11">
        <v>141</v>
      </c>
      <c r="G501" s="34">
        <v>144.5</v>
      </c>
      <c r="H501" s="35">
        <v>0</v>
      </c>
      <c r="I501" s="8">
        <f t="shared" ref="I501" si="1361">(IF(D501="SELL",E501-F501,IF(D501="BUY",F501-E501)))*C501</f>
        <v>1875</v>
      </c>
      <c r="J501" s="8">
        <f>C501*3.5</f>
        <v>4375</v>
      </c>
      <c r="K501" s="2">
        <v>0</v>
      </c>
      <c r="L501" s="8">
        <f t="shared" ref="L501" si="1362">(J501+I501+K501)/C501</f>
        <v>5</v>
      </c>
      <c r="M501" s="8">
        <f t="shared" ref="M501" si="1363">L501*C501</f>
        <v>6250</v>
      </c>
    </row>
    <row r="502" spans="1:13" ht="15.75" customHeight="1" x14ac:dyDescent="0.25">
      <c r="A502" s="24">
        <v>44097</v>
      </c>
      <c r="B502" s="29" t="s">
        <v>52</v>
      </c>
      <c r="C502" s="11">
        <v>1250</v>
      </c>
      <c r="D502" s="11" t="s">
        <v>11</v>
      </c>
      <c r="E502" s="11">
        <v>134</v>
      </c>
      <c r="F502" s="11">
        <v>137.19999999999999</v>
      </c>
      <c r="G502" s="34">
        <v>0</v>
      </c>
      <c r="H502" s="35">
        <v>0</v>
      </c>
      <c r="I502" s="8">
        <f t="shared" ref="I502" si="1364">(IF(D502="SELL",E502-F502,IF(D502="BUY",F502-E502)))*C502</f>
        <v>-3999.9999999999859</v>
      </c>
      <c r="J502" s="8">
        <v>0</v>
      </c>
      <c r="K502" s="2">
        <v>0</v>
      </c>
      <c r="L502" s="8">
        <f t="shared" ref="L502" si="1365">(J502+I502+K502)/C502</f>
        <v>-3.1999999999999886</v>
      </c>
      <c r="M502" s="8">
        <f t="shared" ref="M502" si="1366">L502*C502</f>
        <v>-3999.9999999999859</v>
      </c>
    </row>
    <row r="503" spans="1:13" ht="15.75" customHeight="1" x14ac:dyDescent="0.25">
      <c r="A503" s="24">
        <v>44096</v>
      </c>
      <c r="B503" s="29" t="s">
        <v>52</v>
      </c>
      <c r="C503" s="11">
        <v>1250</v>
      </c>
      <c r="D503" s="11" t="s">
        <v>11</v>
      </c>
      <c r="E503" s="11">
        <v>136.5</v>
      </c>
      <c r="F503" s="11">
        <v>135</v>
      </c>
      <c r="G503" s="34">
        <v>0</v>
      </c>
      <c r="H503" s="35">
        <v>0</v>
      </c>
      <c r="I503" s="8">
        <f t="shared" ref="I503" si="1367">(IF(D503="SELL",E503-F503,IF(D503="BUY",F503-E503)))*C503</f>
        <v>1875</v>
      </c>
      <c r="J503" s="8">
        <v>0</v>
      </c>
      <c r="K503" s="2">
        <v>0</v>
      </c>
      <c r="L503" s="8">
        <f t="shared" ref="L503" si="1368">(J503+I503+K503)/C503</f>
        <v>1.5</v>
      </c>
      <c r="M503" s="8">
        <f t="shared" ref="M503" si="1369">L503*C503</f>
        <v>1875</v>
      </c>
    </row>
    <row r="504" spans="1:13" ht="15.75" customHeight="1" x14ac:dyDescent="0.25">
      <c r="A504" s="24">
        <v>44096</v>
      </c>
      <c r="B504" s="29" t="s">
        <v>16</v>
      </c>
      <c r="C504" s="11">
        <v>100</v>
      </c>
      <c r="D504" s="11" t="s">
        <v>11</v>
      </c>
      <c r="E504" s="11">
        <v>2930</v>
      </c>
      <c r="F504" s="11">
        <v>2910</v>
      </c>
      <c r="G504" s="34">
        <v>0</v>
      </c>
      <c r="H504" s="35">
        <v>0</v>
      </c>
      <c r="I504" s="8">
        <f t="shared" ref="I504" si="1370">(IF(D504="SELL",E504-F504,IF(D504="BUY",F504-E504)))*C504</f>
        <v>2000</v>
      </c>
      <c r="J504" s="8">
        <v>0</v>
      </c>
      <c r="K504" s="2">
        <v>0</v>
      </c>
      <c r="L504" s="8">
        <f t="shared" ref="L504" si="1371">(J504+I504+K504)/C504</f>
        <v>20</v>
      </c>
      <c r="M504" s="8">
        <f t="shared" ref="M504" si="1372">L504*C504</f>
        <v>2000</v>
      </c>
    </row>
    <row r="505" spans="1:13" ht="15.75" customHeight="1" x14ac:dyDescent="0.25">
      <c r="A505" s="24">
        <v>44096</v>
      </c>
      <c r="B505" s="29" t="s">
        <v>14</v>
      </c>
      <c r="C505" s="11">
        <v>30</v>
      </c>
      <c r="D505" s="11" t="s">
        <v>11</v>
      </c>
      <c r="E505" s="11">
        <v>59650</v>
      </c>
      <c r="F505" s="11">
        <v>59900</v>
      </c>
      <c r="G505" s="34">
        <v>0</v>
      </c>
      <c r="H505" s="35">
        <v>0</v>
      </c>
      <c r="I505" s="8">
        <f t="shared" ref="I505" si="1373">(IF(D505="SELL",E505-F505,IF(D505="BUY",F505-E505)))*C505</f>
        <v>-7500</v>
      </c>
      <c r="J505" s="8">
        <v>0</v>
      </c>
      <c r="K505" s="2">
        <v>0</v>
      </c>
      <c r="L505" s="8">
        <f t="shared" ref="L505" si="1374">(J505+I505+K505)/C505</f>
        <v>-250</v>
      </c>
      <c r="M505" s="8">
        <f t="shared" ref="M505" si="1375">L505*C505</f>
        <v>-7500</v>
      </c>
    </row>
    <row r="506" spans="1:13" ht="15.75" customHeight="1" x14ac:dyDescent="0.25">
      <c r="A506" s="24">
        <v>44096</v>
      </c>
      <c r="B506" s="29" t="s">
        <v>21</v>
      </c>
      <c r="C506" s="11">
        <v>1500</v>
      </c>
      <c r="D506" s="11" t="s">
        <v>11</v>
      </c>
      <c r="E506" s="11">
        <v>1059.5</v>
      </c>
      <c r="F506" s="11">
        <v>1064</v>
      </c>
      <c r="G506" s="34">
        <v>0</v>
      </c>
      <c r="H506" s="35">
        <v>0</v>
      </c>
      <c r="I506" s="8">
        <f t="shared" ref="I506" si="1376">(IF(D506="SELL",E506-F506,IF(D506="BUY",F506-E506)))*C506</f>
        <v>-6750</v>
      </c>
      <c r="J506" s="8">
        <v>0</v>
      </c>
      <c r="K506" s="2">
        <v>0</v>
      </c>
      <c r="L506" s="8">
        <f t="shared" ref="L506" si="1377">(J506+I506+K506)/C506</f>
        <v>-4.5</v>
      </c>
      <c r="M506" s="8">
        <f t="shared" ref="M506" si="1378">L506*C506</f>
        <v>-6750</v>
      </c>
    </row>
    <row r="507" spans="1:13" ht="15.75" customHeight="1" x14ac:dyDescent="0.25">
      <c r="A507" s="24">
        <v>44096</v>
      </c>
      <c r="B507" s="29" t="s">
        <v>17</v>
      </c>
      <c r="C507" s="11">
        <v>5000</v>
      </c>
      <c r="D507" s="11" t="s">
        <v>11</v>
      </c>
      <c r="E507" s="11">
        <v>193.2</v>
      </c>
      <c r="F507" s="11">
        <v>192.7</v>
      </c>
      <c r="G507" s="34">
        <v>0</v>
      </c>
      <c r="H507" s="35">
        <v>0</v>
      </c>
      <c r="I507" s="8">
        <f t="shared" ref="I507" si="1379">(IF(D507="SELL",E507-F507,IF(D507="BUY",F507-E507)))*C507</f>
        <v>2500</v>
      </c>
      <c r="J507" s="8">
        <v>0</v>
      </c>
      <c r="K507" s="2">
        <v>0</v>
      </c>
      <c r="L507" s="8">
        <f t="shared" ref="L507" si="1380">(J507+I507+K507)/C507</f>
        <v>0.5</v>
      </c>
      <c r="M507" s="8">
        <f t="shared" ref="M507" si="1381">L507*C507</f>
        <v>2500</v>
      </c>
    </row>
    <row r="508" spans="1:13" ht="15.75" customHeight="1" x14ac:dyDescent="0.25">
      <c r="A508" s="24">
        <v>44096</v>
      </c>
      <c r="B508" s="29" t="s">
        <v>18</v>
      </c>
      <c r="C508" s="11">
        <v>2500</v>
      </c>
      <c r="D508" s="11" t="s">
        <v>11</v>
      </c>
      <c r="E508" s="11">
        <v>526.5</v>
      </c>
      <c r="F508" s="11">
        <v>525.5</v>
      </c>
      <c r="G508" s="34">
        <v>0</v>
      </c>
      <c r="H508" s="35">
        <v>0</v>
      </c>
      <c r="I508" s="8">
        <f t="shared" ref="I508" si="1382">(IF(D508="SELL",E508-F508,IF(D508="BUY",F508-E508)))*C508</f>
        <v>2500</v>
      </c>
      <c r="J508" s="8">
        <v>0</v>
      </c>
      <c r="K508" s="2">
        <v>0</v>
      </c>
      <c r="L508" s="8">
        <f t="shared" ref="L508" si="1383">(J508+I508+K508)/C508</f>
        <v>1</v>
      </c>
      <c r="M508" s="8">
        <f t="shared" ref="M508" si="1384">L508*C508</f>
        <v>2500</v>
      </c>
    </row>
    <row r="509" spans="1:13" ht="15.75" customHeight="1" x14ac:dyDescent="0.25">
      <c r="A509" s="24">
        <v>44096</v>
      </c>
      <c r="B509" s="29" t="s">
        <v>14</v>
      </c>
      <c r="C509" s="11">
        <v>30</v>
      </c>
      <c r="D509" s="11" t="s">
        <v>11</v>
      </c>
      <c r="E509" s="11">
        <v>61130</v>
      </c>
      <c r="F509" s="11">
        <v>61000</v>
      </c>
      <c r="G509" s="34">
        <v>0</v>
      </c>
      <c r="H509" s="35">
        <v>0</v>
      </c>
      <c r="I509" s="8">
        <f t="shared" ref="I509" si="1385">(IF(D509="SELL",E509-F509,IF(D509="BUY",F509-E509)))*C509</f>
        <v>3900</v>
      </c>
      <c r="J509" s="8">
        <v>0</v>
      </c>
      <c r="K509" s="2">
        <v>0</v>
      </c>
      <c r="L509" s="8">
        <f t="shared" ref="L509" si="1386">(J509+I509+K509)/C509</f>
        <v>130</v>
      </c>
      <c r="M509" s="8">
        <f t="shared" ref="M509" si="1387">L509*C509</f>
        <v>3900</v>
      </c>
    </row>
    <row r="510" spans="1:13" ht="15.75" customHeight="1" x14ac:dyDescent="0.25">
      <c r="A510" s="24">
        <v>44096</v>
      </c>
      <c r="B510" s="29" t="s">
        <v>19</v>
      </c>
      <c r="C510" s="11">
        <v>100</v>
      </c>
      <c r="D510" s="11" t="s">
        <v>11</v>
      </c>
      <c r="E510" s="11">
        <v>50410</v>
      </c>
      <c r="F510" s="11">
        <v>50360</v>
      </c>
      <c r="G510" s="34">
        <v>50300</v>
      </c>
      <c r="H510" s="35">
        <v>0</v>
      </c>
      <c r="I510" s="8">
        <f t="shared" ref="I510" si="1388">(IF(D510="SELL",E510-F510,IF(D510="BUY",F510-E510)))*C510</f>
        <v>5000</v>
      </c>
      <c r="J510" s="8">
        <f>C510*60</f>
        <v>6000</v>
      </c>
      <c r="K510" s="2">
        <v>0</v>
      </c>
      <c r="L510" s="8">
        <f t="shared" ref="L510" si="1389">(J510+I510+K510)/C510</f>
        <v>110</v>
      </c>
      <c r="M510" s="8">
        <f t="shared" ref="M510" si="1390">L510*C510</f>
        <v>11000</v>
      </c>
    </row>
    <row r="511" spans="1:13" ht="15.75" customHeight="1" x14ac:dyDescent="0.25">
      <c r="A511" s="24">
        <v>44095</v>
      </c>
      <c r="B511" s="29" t="s">
        <v>21</v>
      </c>
      <c r="C511" s="11">
        <v>1500</v>
      </c>
      <c r="D511" s="11" t="s">
        <v>11</v>
      </c>
      <c r="E511" s="11">
        <v>1078</v>
      </c>
      <c r="F511" s="11">
        <v>1074</v>
      </c>
      <c r="G511" s="34">
        <v>1068</v>
      </c>
      <c r="H511" s="35">
        <v>0</v>
      </c>
      <c r="I511" s="8">
        <f t="shared" ref="I511" si="1391">(IF(D511="SELL",E511-F511,IF(D511="BUY",F511-E511)))*C511</f>
        <v>6000</v>
      </c>
      <c r="J511" s="8">
        <f>C511*6</f>
        <v>9000</v>
      </c>
      <c r="K511" s="2">
        <v>0</v>
      </c>
      <c r="L511" s="8">
        <f t="shared" ref="L511" si="1392">(J511+I511+K511)/C511</f>
        <v>10</v>
      </c>
      <c r="M511" s="8">
        <f t="shared" ref="M511" si="1393">L511*C511</f>
        <v>15000</v>
      </c>
    </row>
    <row r="512" spans="1:13" ht="15.75" customHeight="1" x14ac:dyDescent="0.25">
      <c r="A512" s="24">
        <v>44095</v>
      </c>
      <c r="B512" s="29" t="s">
        <v>52</v>
      </c>
      <c r="C512" s="11">
        <v>1250</v>
      </c>
      <c r="D512" s="11" t="s">
        <v>11</v>
      </c>
      <c r="E512" s="11">
        <v>144</v>
      </c>
      <c r="F512" s="11">
        <v>142.5</v>
      </c>
      <c r="G512" s="34">
        <v>140</v>
      </c>
      <c r="H512" s="35">
        <v>0</v>
      </c>
      <c r="I512" s="8">
        <f t="shared" ref="I512" si="1394">(IF(D512="SELL",E512-F512,IF(D512="BUY",F512-E512)))*C512</f>
        <v>1875</v>
      </c>
      <c r="J512" s="8">
        <f>C512*2.5</f>
        <v>3125</v>
      </c>
      <c r="K512" s="2">
        <v>0</v>
      </c>
      <c r="L512" s="8">
        <f t="shared" ref="L512" si="1395">(J512+I512+K512)/C512</f>
        <v>4</v>
      </c>
      <c r="M512" s="8">
        <f t="shared" ref="M512" si="1396">L512*C512</f>
        <v>5000</v>
      </c>
    </row>
    <row r="513" spans="1:13" ht="15.75" customHeight="1" x14ac:dyDescent="0.25">
      <c r="A513" s="24">
        <v>44095</v>
      </c>
      <c r="B513" s="29" t="s">
        <v>27</v>
      </c>
      <c r="C513" s="11">
        <v>5000</v>
      </c>
      <c r="D513" s="11" t="s">
        <v>11</v>
      </c>
      <c r="E513" s="11">
        <v>195.4</v>
      </c>
      <c r="F513" s="11">
        <v>194.8</v>
      </c>
      <c r="G513" s="34">
        <v>194</v>
      </c>
      <c r="H513" s="35">
        <v>0</v>
      </c>
      <c r="I513" s="8">
        <f t="shared" ref="I513" si="1397">(IF(D513="SELL",E513-F513,IF(D513="BUY",F513-E513)))*C513</f>
        <v>2999.9999999999718</v>
      </c>
      <c r="J513" s="8">
        <f>C513*0.8</f>
        <v>4000</v>
      </c>
      <c r="K513" s="2">
        <v>0</v>
      </c>
      <c r="L513" s="8">
        <f t="shared" ref="L513" si="1398">(J513+I513+K513)/C513</f>
        <v>1.3999999999999944</v>
      </c>
      <c r="M513" s="8">
        <f t="shared" ref="M513" si="1399">L513*C513</f>
        <v>6999.9999999999718</v>
      </c>
    </row>
    <row r="514" spans="1:13" ht="15.75" customHeight="1" x14ac:dyDescent="0.25">
      <c r="A514" s="24">
        <v>44095</v>
      </c>
      <c r="B514" s="29" t="s">
        <v>19</v>
      </c>
      <c r="C514" s="11">
        <v>100</v>
      </c>
      <c r="D514" s="11" t="s">
        <v>11</v>
      </c>
      <c r="E514" s="11">
        <v>51020</v>
      </c>
      <c r="F514" s="11">
        <v>50950</v>
      </c>
      <c r="G514" s="34">
        <v>50750</v>
      </c>
      <c r="H514" s="35">
        <v>0</v>
      </c>
      <c r="I514" s="8">
        <f t="shared" ref="I514" si="1400">(IF(D514="SELL",E514-F514,IF(D514="BUY",F514-E514)))*C514</f>
        <v>7000</v>
      </c>
      <c r="J514" s="8">
        <f>C514*200</f>
        <v>20000</v>
      </c>
      <c r="K514" s="2">
        <v>0</v>
      </c>
      <c r="L514" s="8">
        <f t="shared" ref="L514" si="1401">(J514+I514+K514)/C514</f>
        <v>270</v>
      </c>
      <c r="M514" s="8">
        <f t="shared" ref="M514" si="1402">L514*C514</f>
        <v>27000</v>
      </c>
    </row>
    <row r="515" spans="1:13" ht="15.75" customHeight="1" x14ac:dyDescent="0.25">
      <c r="A515" s="24">
        <v>44095</v>
      </c>
      <c r="B515" s="29" t="s">
        <v>16</v>
      </c>
      <c r="C515" s="11">
        <v>100</v>
      </c>
      <c r="D515" s="11" t="s">
        <v>11</v>
      </c>
      <c r="E515" s="11">
        <v>2935</v>
      </c>
      <c r="F515" s="11">
        <v>2915</v>
      </c>
      <c r="G515" s="34">
        <v>2870</v>
      </c>
      <c r="H515" s="35">
        <v>0</v>
      </c>
      <c r="I515" s="8">
        <f t="shared" ref="I515" si="1403">(IF(D515="SELL",E515-F515,IF(D515="BUY",F515-E515)))*C515</f>
        <v>2000</v>
      </c>
      <c r="J515" s="8">
        <f>C515*45</f>
        <v>4500</v>
      </c>
      <c r="K515" s="2">
        <v>0</v>
      </c>
      <c r="L515" s="8">
        <f t="shared" ref="L515" si="1404">(J515+I515+K515)/C515</f>
        <v>65</v>
      </c>
      <c r="M515" s="8">
        <f t="shared" ref="M515" si="1405">L515*C515</f>
        <v>6500</v>
      </c>
    </row>
    <row r="516" spans="1:13" ht="15.75" customHeight="1" x14ac:dyDescent="0.25">
      <c r="A516" s="24">
        <v>44095</v>
      </c>
      <c r="B516" s="29" t="s">
        <v>18</v>
      </c>
      <c r="C516" s="11">
        <v>2500</v>
      </c>
      <c r="D516" s="11" t="s">
        <v>10</v>
      </c>
      <c r="E516" s="11">
        <v>534.5</v>
      </c>
      <c r="F516" s="11">
        <v>536</v>
      </c>
      <c r="G516" s="34">
        <v>0</v>
      </c>
      <c r="H516" s="35">
        <v>0</v>
      </c>
      <c r="I516" s="8">
        <f t="shared" ref="I516" si="1406">(IF(D516="SELL",E516-F516,IF(D516="BUY",F516-E516)))*C516</f>
        <v>3750</v>
      </c>
      <c r="J516" s="8">
        <v>0</v>
      </c>
      <c r="K516" s="2">
        <v>0</v>
      </c>
      <c r="L516" s="8">
        <f t="shared" ref="L516" si="1407">(J516+I516+K516)/C516</f>
        <v>1.5</v>
      </c>
      <c r="M516" s="8">
        <f t="shared" ref="M516" si="1408">L516*C516</f>
        <v>3750</v>
      </c>
    </row>
    <row r="517" spans="1:13" ht="15.75" customHeight="1" x14ac:dyDescent="0.25">
      <c r="A517" s="24">
        <v>44095</v>
      </c>
      <c r="B517" s="29" t="s">
        <v>14</v>
      </c>
      <c r="C517" s="11">
        <v>30</v>
      </c>
      <c r="D517" s="11" t="s">
        <v>11</v>
      </c>
      <c r="E517" s="11">
        <v>66250</v>
      </c>
      <c r="F517" s="11">
        <v>66100</v>
      </c>
      <c r="G517" s="34">
        <v>0</v>
      </c>
      <c r="H517" s="35">
        <v>0</v>
      </c>
      <c r="I517" s="8">
        <f t="shared" ref="I517" si="1409">(IF(D517="SELL",E517-F517,IF(D517="BUY",F517-E517)))*C517</f>
        <v>4500</v>
      </c>
      <c r="J517" s="8">
        <v>0</v>
      </c>
      <c r="K517" s="2">
        <v>0</v>
      </c>
      <c r="L517" s="8">
        <f t="shared" ref="L517" si="1410">(J517+I517+K517)/C517</f>
        <v>150</v>
      </c>
      <c r="M517" s="8">
        <f t="shared" ref="M517" si="1411">L517*C517</f>
        <v>4500</v>
      </c>
    </row>
    <row r="518" spans="1:13" ht="15.75" customHeight="1" x14ac:dyDescent="0.25">
      <c r="A518" s="24">
        <v>44095</v>
      </c>
      <c r="B518" s="29" t="s">
        <v>52</v>
      </c>
      <c r="C518" s="11">
        <v>1250</v>
      </c>
      <c r="D518" s="11" t="s">
        <v>11</v>
      </c>
      <c r="E518" s="11">
        <v>145.5</v>
      </c>
      <c r="F518" s="11">
        <v>147.5</v>
      </c>
      <c r="G518" s="34">
        <v>0</v>
      </c>
      <c r="H518" s="35">
        <v>0</v>
      </c>
      <c r="I518" s="8">
        <f t="shared" ref="I518" si="1412">(IF(D518="SELL",E518-F518,IF(D518="BUY",F518-E518)))*C518</f>
        <v>-2500</v>
      </c>
      <c r="J518" s="8">
        <v>0</v>
      </c>
      <c r="K518" s="2">
        <v>0</v>
      </c>
      <c r="L518" s="8">
        <f t="shared" ref="L518" si="1413">(J518+I518+K518)/C518</f>
        <v>-2</v>
      </c>
      <c r="M518" s="8">
        <f t="shared" ref="M518" si="1414">L518*C518</f>
        <v>-2500</v>
      </c>
    </row>
    <row r="519" spans="1:13" ht="15.75" customHeight="1" x14ac:dyDescent="0.25">
      <c r="A519" s="24">
        <v>44095</v>
      </c>
      <c r="B519" s="29" t="s">
        <v>19</v>
      </c>
      <c r="C519" s="11">
        <v>100</v>
      </c>
      <c r="D519" s="11" t="s">
        <v>11</v>
      </c>
      <c r="E519" s="11">
        <v>51250</v>
      </c>
      <c r="F519" s="11">
        <v>51200</v>
      </c>
      <c r="G519" s="34">
        <v>5100</v>
      </c>
      <c r="H519" s="35">
        <v>0</v>
      </c>
      <c r="I519" s="8">
        <f t="shared" ref="I519" si="1415">(IF(D519="SELL",E519-F519,IF(D519="BUY",F519-E519)))*C519</f>
        <v>5000</v>
      </c>
      <c r="J519" s="8">
        <f>C519*100</f>
        <v>10000</v>
      </c>
      <c r="K519" s="2">
        <v>0</v>
      </c>
      <c r="L519" s="8">
        <f t="shared" ref="L519" si="1416">(J519+I519+K519)/C519</f>
        <v>150</v>
      </c>
      <c r="M519" s="8">
        <f t="shared" ref="M519" si="1417">L519*C519</f>
        <v>15000</v>
      </c>
    </row>
    <row r="520" spans="1:13" ht="15.75" customHeight="1" x14ac:dyDescent="0.25">
      <c r="A520" s="24">
        <v>44095</v>
      </c>
      <c r="B520" s="29" t="s">
        <v>17</v>
      </c>
      <c r="C520" s="11">
        <v>5000</v>
      </c>
      <c r="D520" s="11" t="s">
        <v>10</v>
      </c>
      <c r="E520" s="11">
        <v>196.6</v>
      </c>
      <c r="F520" s="11">
        <v>195.6</v>
      </c>
      <c r="G520" s="34">
        <v>0</v>
      </c>
      <c r="H520" s="35">
        <v>0</v>
      </c>
      <c r="I520" s="8">
        <f t="shared" ref="I520" si="1418">(IF(D520="SELL",E520-F520,IF(D520="BUY",F520-E520)))*C520</f>
        <v>-5000</v>
      </c>
      <c r="J520" s="8">
        <v>0</v>
      </c>
      <c r="K520" s="2">
        <v>0</v>
      </c>
      <c r="L520" s="8">
        <f t="shared" ref="L520" si="1419">(J520+I520+K520)/C520</f>
        <v>-1</v>
      </c>
      <c r="M520" s="8">
        <f t="shared" ref="M520" si="1420">L520*C520</f>
        <v>-5000</v>
      </c>
    </row>
    <row r="521" spans="1:13" ht="15.75" customHeight="1" x14ac:dyDescent="0.25">
      <c r="A521" s="24">
        <v>44092</v>
      </c>
      <c r="B521" s="29" t="s">
        <v>16</v>
      </c>
      <c r="C521" s="11">
        <v>100</v>
      </c>
      <c r="D521" s="11" t="s">
        <v>10</v>
      </c>
      <c r="E521" s="11">
        <v>3000</v>
      </c>
      <c r="F521" s="11">
        <v>3020</v>
      </c>
      <c r="G521" s="34">
        <v>0</v>
      </c>
      <c r="H521" s="35">
        <v>0</v>
      </c>
      <c r="I521" s="8">
        <f t="shared" ref="I521" si="1421">(IF(D521="SELL",E521-F521,IF(D521="BUY",F521-E521)))*C521</f>
        <v>2000</v>
      </c>
      <c r="J521" s="8">
        <v>0</v>
      </c>
      <c r="K521" s="2">
        <v>0</v>
      </c>
      <c r="L521" s="8">
        <f t="shared" ref="L521" si="1422">(J521+I521+K521)/C521</f>
        <v>20</v>
      </c>
      <c r="M521" s="8">
        <f t="shared" ref="M521" si="1423">L521*C521</f>
        <v>2000</v>
      </c>
    </row>
    <row r="522" spans="1:13" ht="15.75" customHeight="1" x14ac:dyDescent="0.25">
      <c r="A522" s="24">
        <v>44092</v>
      </c>
      <c r="B522" s="29" t="s">
        <v>17</v>
      </c>
      <c r="C522" s="11">
        <v>5000</v>
      </c>
      <c r="D522" s="11" t="s">
        <v>10</v>
      </c>
      <c r="E522" s="11">
        <v>196.7</v>
      </c>
      <c r="F522" s="11">
        <v>197.2</v>
      </c>
      <c r="G522" s="34">
        <v>198</v>
      </c>
      <c r="H522" s="35">
        <v>0</v>
      </c>
      <c r="I522" s="8">
        <f t="shared" ref="I522" si="1424">(IF(D522="SELL",E522-F522,IF(D522="BUY",F522-E522)))*C522</f>
        <v>2500</v>
      </c>
      <c r="J522" s="8">
        <f>C522*0.8</f>
        <v>4000</v>
      </c>
      <c r="K522" s="2">
        <v>0</v>
      </c>
      <c r="L522" s="8">
        <f t="shared" ref="L522" si="1425">(J522+I522+K522)/C522</f>
        <v>1.3</v>
      </c>
      <c r="M522" s="8">
        <f t="shared" ref="M522" si="1426">L522*C522</f>
        <v>6500</v>
      </c>
    </row>
    <row r="523" spans="1:13" ht="15.75" customHeight="1" x14ac:dyDescent="0.25">
      <c r="A523" s="24">
        <v>44092</v>
      </c>
      <c r="B523" s="29" t="s">
        <v>52</v>
      </c>
      <c r="C523" s="11">
        <v>1250</v>
      </c>
      <c r="D523" s="11" t="s">
        <v>10</v>
      </c>
      <c r="E523" s="11">
        <v>147</v>
      </c>
      <c r="F523" s="11">
        <v>148</v>
      </c>
      <c r="G523" s="34">
        <v>150</v>
      </c>
      <c r="H523" s="35">
        <v>0</v>
      </c>
      <c r="I523" s="8">
        <f t="shared" ref="I523" si="1427">(IF(D523="SELL",E523-F523,IF(D523="BUY",F523-E523)))*C523</f>
        <v>1250</v>
      </c>
      <c r="J523" s="8">
        <f>C523*2</f>
        <v>2500</v>
      </c>
      <c r="K523" s="2">
        <v>0</v>
      </c>
      <c r="L523" s="8">
        <f t="shared" ref="L523" si="1428">(J523+I523+K523)/C523</f>
        <v>3</v>
      </c>
      <c r="M523" s="8">
        <f t="shared" ref="M523" si="1429">L523*C523</f>
        <v>3750</v>
      </c>
    </row>
    <row r="524" spans="1:13" ht="15.75" customHeight="1" x14ac:dyDescent="0.25">
      <c r="A524" s="24">
        <v>44092</v>
      </c>
      <c r="B524" s="29" t="s">
        <v>19</v>
      </c>
      <c r="C524" s="11">
        <v>100</v>
      </c>
      <c r="D524" s="11" t="s">
        <v>10</v>
      </c>
      <c r="E524" s="11">
        <v>51630</v>
      </c>
      <c r="F524" s="11">
        <v>51550</v>
      </c>
      <c r="G524" s="34">
        <v>0</v>
      </c>
      <c r="H524" s="35">
        <v>0</v>
      </c>
      <c r="I524" s="8">
        <f t="shared" ref="I524" si="1430">(IF(D524="SELL",E524-F524,IF(D524="BUY",F524-E524)))*C524</f>
        <v>-8000</v>
      </c>
      <c r="J524" s="8">
        <v>0</v>
      </c>
      <c r="K524" s="2">
        <v>0</v>
      </c>
      <c r="L524" s="8">
        <f t="shared" ref="L524" si="1431">(J524+I524+K524)/C524</f>
        <v>-80</v>
      </c>
      <c r="M524" s="8">
        <f t="shared" ref="M524" si="1432">L524*C524</f>
        <v>-8000</v>
      </c>
    </row>
    <row r="525" spans="1:13" ht="15.75" customHeight="1" x14ac:dyDescent="0.25">
      <c r="A525" s="24">
        <v>44092</v>
      </c>
      <c r="B525" s="29" t="s">
        <v>52</v>
      </c>
      <c r="C525" s="11">
        <v>1250</v>
      </c>
      <c r="D525" s="11" t="s">
        <v>11</v>
      </c>
      <c r="E525" s="11">
        <v>144.5</v>
      </c>
      <c r="F525" s="11">
        <v>146.5</v>
      </c>
      <c r="G525" s="34">
        <v>0</v>
      </c>
      <c r="H525" s="35">
        <v>0</v>
      </c>
      <c r="I525" s="8">
        <f t="shared" ref="I525" si="1433">(IF(D525="SELL",E525-F525,IF(D525="BUY",F525-E525)))*C525</f>
        <v>-2500</v>
      </c>
      <c r="J525" s="8">
        <v>0</v>
      </c>
      <c r="K525" s="2">
        <v>0</v>
      </c>
      <c r="L525" s="8">
        <f t="shared" ref="L525" si="1434">(J525+I525+K525)/C525</f>
        <v>-2</v>
      </c>
      <c r="M525" s="8">
        <f t="shared" ref="M525" si="1435">L525*C525</f>
        <v>-2500</v>
      </c>
    </row>
    <row r="526" spans="1:13" ht="15.75" customHeight="1" x14ac:dyDescent="0.25">
      <c r="A526" s="24">
        <v>44091</v>
      </c>
      <c r="B526" s="29" t="s">
        <v>14</v>
      </c>
      <c r="C526" s="11">
        <v>30</v>
      </c>
      <c r="D526" s="11" t="s">
        <v>10</v>
      </c>
      <c r="E526" s="11">
        <v>67950</v>
      </c>
      <c r="F526" s="11">
        <v>67700</v>
      </c>
      <c r="G526" s="34">
        <v>0</v>
      </c>
      <c r="H526" s="35">
        <v>0</v>
      </c>
      <c r="I526" s="8">
        <f t="shared" ref="I526" si="1436">(IF(D526="SELL",E526-F526,IF(D526="BUY",F526-E526)))*C526</f>
        <v>-7500</v>
      </c>
      <c r="J526" s="8">
        <v>0</v>
      </c>
      <c r="K526" s="2">
        <v>0</v>
      </c>
      <c r="L526" s="8">
        <f t="shared" ref="L526" si="1437">(J526+I526+K526)/C526</f>
        <v>-250</v>
      </c>
      <c r="M526" s="8">
        <f t="shared" ref="M526" si="1438">L526*C526</f>
        <v>-7500</v>
      </c>
    </row>
    <row r="527" spans="1:13" ht="15.75" customHeight="1" x14ac:dyDescent="0.25">
      <c r="A527" s="24">
        <v>44091</v>
      </c>
      <c r="B527" s="29" t="s">
        <v>16</v>
      </c>
      <c r="C527" s="11">
        <v>100</v>
      </c>
      <c r="D527" s="11" t="s">
        <v>10</v>
      </c>
      <c r="E527" s="11">
        <v>2950</v>
      </c>
      <c r="F527" s="11">
        <v>2970</v>
      </c>
      <c r="G527" s="34">
        <v>3000</v>
      </c>
      <c r="H527" s="35">
        <v>0</v>
      </c>
      <c r="I527" s="8">
        <f t="shared" ref="I527" si="1439">(IF(D527="SELL",E527-F527,IF(D527="BUY",F527-E527)))*C527</f>
        <v>2000</v>
      </c>
      <c r="J527" s="8">
        <f>C527*30</f>
        <v>3000</v>
      </c>
      <c r="K527" s="2">
        <v>0</v>
      </c>
      <c r="L527" s="8">
        <f t="shared" ref="L527" si="1440">(J527+I527+K527)/C527</f>
        <v>50</v>
      </c>
      <c r="M527" s="8">
        <f t="shared" ref="M527" si="1441">L527*C527</f>
        <v>5000</v>
      </c>
    </row>
    <row r="528" spans="1:13" ht="15.75" customHeight="1" x14ac:dyDescent="0.25">
      <c r="A528" s="24">
        <v>44091</v>
      </c>
      <c r="B528" s="29" t="s">
        <v>52</v>
      </c>
      <c r="C528" s="11">
        <v>1250</v>
      </c>
      <c r="D528" s="11" t="s">
        <v>10</v>
      </c>
      <c r="E528" s="11">
        <v>167.6</v>
      </c>
      <c r="F528" s="11">
        <v>165</v>
      </c>
      <c r="G528" s="34">
        <v>0</v>
      </c>
      <c r="H528" s="35">
        <v>0</v>
      </c>
      <c r="I528" s="8">
        <f t="shared" ref="I528" si="1442">(IF(D528="SELL",E528-F528,IF(D528="BUY",F528-E528)))*C528</f>
        <v>-3249.9999999999927</v>
      </c>
      <c r="J528" s="8">
        <v>0</v>
      </c>
      <c r="K528" s="2">
        <v>0</v>
      </c>
      <c r="L528" s="8">
        <f t="shared" ref="L528" si="1443">(J528+I528+K528)/C528</f>
        <v>-2.5999999999999943</v>
      </c>
      <c r="M528" s="8">
        <f t="shared" ref="M528" si="1444">L528*C528</f>
        <v>-3249.9999999999927</v>
      </c>
    </row>
    <row r="529" spans="1:13" ht="15.75" customHeight="1" x14ac:dyDescent="0.25">
      <c r="A529" s="24">
        <v>44091</v>
      </c>
      <c r="B529" s="29" t="s">
        <v>21</v>
      </c>
      <c r="C529" s="11">
        <v>1500</v>
      </c>
      <c r="D529" s="11" t="s">
        <v>11</v>
      </c>
      <c r="E529" s="11">
        <v>1097.5</v>
      </c>
      <c r="F529" s="11">
        <v>1102</v>
      </c>
      <c r="G529" s="34">
        <v>0</v>
      </c>
      <c r="H529" s="35">
        <v>0</v>
      </c>
      <c r="I529" s="8">
        <f t="shared" ref="I529" si="1445">(IF(D529="SELL",E529-F529,IF(D529="BUY",F529-E529)))*C529</f>
        <v>-6750</v>
      </c>
      <c r="J529" s="8">
        <v>0</v>
      </c>
      <c r="K529" s="2">
        <v>0</v>
      </c>
      <c r="L529" s="8">
        <f t="shared" ref="L529" si="1446">(J529+I529+K529)/C529</f>
        <v>-4.5</v>
      </c>
      <c r="M529" s="8">
        <f t="shared" ref="M529" si="1447">L529*C529</f>
        <v>-6750</v>
      </c>
    </row>
    <row r="530" spans="1:13" ht="15.75" customHeight="1" x14ac:dyDescent="0.25">
      <c r="A530" s="24">
        <v>44091</v>
      </c>
      <c r="B530" s="29" t="s">
        <v>14</v>
      </c>
      <c r="C530" s="11">
        <v>30</v>
      </c>
      <c r="D530" s="11" t="s">
        <v>10</v>
      </c>
      <c r="E530" s="11">
        <v>67960</v>
      </c>
      <c r="F530" s="11">
        <v>67700</v>
      </c>
      <c r="G530" s="34">
        <v>0</v>
      </c>
      <c r="H530" s="35">
        <v>0</v>
      </c>
      <c r="I530" s="8">
        <f t="shared" ref="I530" si="1448">(IF(D530="SELL",E530-F530,IF(D530="BUY",F530-E530)))*C530</f>
        <v>-7800</v>
      </c>
      <c r="J530" s="8">
        <v>0</v>
      </c>
      <c r="K530" s="2">
        <v>0</v>
      </c>
      <c r="L530" s="8">
        <f t="shared" ref="L530" si="1449">(J530+I530+K530)/C530</f>
        <v>-260</v>
      </c>
      <c r="M530" s="8">
        <f t="shared" ref="M530" si="1450">L530*C530</f>
        <v>-7800</v>
      </c>
    </row>
    <row r="531" spans="1:13" ht="15.75" customHeight="1" x14ac:dyDescent="0.25">
      <c r="A531" s="24">
        <v>44091</v>
      </c>
      <c r="B531" s="29" t="s">
        <v>19</v>
      </c>
      <c r="C531" s="11">
        <v>100</v>
      </c>
      <c r="D531" s="11" t="s">
        <v>10</v>
      </c>
      <c r="E531" s="11">
        <v>51450</v>
      </c>
      <c r="F531" s="11">
        <v>51500</v>
      </c>
      <c r="G531" s="34">
        <v>0</v>
      </c>
      <c r="H531" s="35">
        <v>0</v>
      </c>
      <c r="I531" s="8">
        <f t="shared" ref="I531" si="1451">(IF(D531="SELL",E531-F531,IF(D531="BUY",F531-E531)))*C531</f>
        <v>5000</v>
      </c>
      <c r="J531" s="8">
        <v>0</v>
      </c>
      <c r="K531" s="2">
        <v>0</v>
      </c>
      <c r="L531" s="8">
        <f t="shared" ref="L531" si="1452">(J531+I531+K531)/C531</f>
        <v>50</v>
      </c>
      <c r="M531" s="8">
        <f t="shared" ref="M531" si="1453">L531*C531</f>
        <v>5000</v>
      </c>
    </row>
    <row r="532" spans="1:13" ht="15.75" customHeight="1" x14ac:dyDescent="0.25">
      <c r="A532" s="24">
        <v>44090</v>
      </c>
      <c r="B532" s="29" t="s">
        <v>52</v>
      </c>
      <c r="C532" s="11">
        <v>1250</v>
      </c>
      <c r="D532" s="11" t="s">
        <v>10</v>
      </c>
      <c r="E532" s="11">
        <v>171.5</v>
      </c>
      <c r="F532" s="11">
        <v>173</v>
      </c>
      <c r="G532" s="34">
        <v>0</v>
      </c>
      <c r="H532" s="35">
        <v>0</v>
      </c>
      <c r="I532" s="8">
        <f t="shared" ref="I532" si="1454">(IF(D532="SELL",E532-F532,IF(D532="BUY",F532-E532)))*C532</f>
        <v>1875</v>
      </c>
      <c r="J532" s="8">
        <v>0</v>
      </c>
      <c r="K532" s="2">
        <v>0</v>
      </c>
      <c r="L532" s="8">
        <f t="shared" ref="L532" si="1455">(J532+I532+K532)/C532</f>
        <v>1.5</v>
      </c>
      <c r="M532" s="8">
        <f t="shared" ref="M532" si="1456">L532*C532</f>
        <v>1875</v>
      </c>
    </row>
    <row r="533" spans="1:13" ht="15.75" customHeight="1" x14ac:dyDescent="0.25">
      <c r="A533" s="24">
        <v>44090</v>
      </c>
      <c r="B533" s="29" t="s">
        <v>14</v>
      </c>
      <c r="C533" s="11">
        <v>30</v>
      </c>
      <c r="D533" s="11" t="s">
        <v>10</v>
      </c>
      <c r="E533" s="11">
        <v>69000</v>
      </c>
      <c r="F533" s="11">
        <v>69150</v>
      </c>
      <c r="G533" s="34">
        <v>0</v>
      </c>
      <c r="H533" s="35">
        <v>0</v>
      </c>
      <c r="I533" s="8">
        <f t="shared" ref="I533" si="1457">(IF(D533="SELL",E533-F533,IF(D533="BUY",F533-E533)))*C533</f>
        <v>4500</v>
      </c>
      <c r="J533" s="8">
        <v>0</v>
      </c>
      <c r="K533" s="2">
        <v>0</v>
      </c>
      <c r="L533" s="8">
        <f t="shared" ref="L533" si="1458">(J533+I533+K533)/C533</f>
        <v>150</v>
      </c>
      <c r="M533" s="8">
        <f t="shared" ref="M533" si="1459">L533*C533</f>
        <v>4500</v>
      </c>
    </row>
    <row r="534" spans="1:13" ht="15.75" customHeight="1" x14ac:dyDescent="0.25">
      <c r="A534" s="24">
        <v>44090</v>
      </c>
      <c r="B534" s="29" t="s">
        <v>19</v>
      </c>
      <c r="C534" s="11">
        <v>100</v>
      </c>
      <c r="D534" s="11" t="s">
        <v>10</v>
      </c>
      <c r="E534" s="11">
        <v>51990</v>
      </c>
      <c r="F534" s="11">
        <v>51910</v>
      </c>
      <c r="G534" s="34">
        <v>0</v>
      </c>
      <c r="H534" s="35">
        <v>0</v>
      </c>
      <c r="I534" s="8">
        <f t="shared" ref="I534" si="1460">(IF(D534="SELL",E534-F534,IF(D534="BUY",F534-E534)))*C534</f>
        <v>-8000</v>
      </c>
      <c r="J534" s="8">
        <v>0</v>
      </c>
      <c r="K534" s="2">
        <v>0</v>
      </c>
      <c r="L534" s="8">
        <f t="shared" ref="L534" si="1461">(J534+I534+K534)/C534</f>
        <v>-80</v>
      </c>
      <c r="M534" s="8">
        <f t="shared" ref="M534" si="1462">L534*C534</f>
        <v>-8000</v>
      </c>
    </row>
    <row r="535" spans="1:13" ht="15.75" customHeight="1" x14ac:dyDescent="0.25">
      <c r="A535" s="24">
        <v>44090</v>
      </c>
      <c r="B535" s="29" t="s">
        <v>52</v>
      </c>
      <c r="C535" s="11">
        <v>1250</v>
      </c>
      <c r="D535" s="11" t="s">
        <v>10</v>
      </c>
      <c r="E535" s="11">
        <v>175.5</v>
      </c>
      <c r="F535" s="11">
        <v>173.5</v>
      </c>
      <c r="G535" s="34">
        <v>0</v>
      </c>
      <c r="H535" s="35">
        <v>0</v>
      </c>
      <c r="I535" s="8">
        <f t="shared" ref="I535" si="1463">(IF(D535="SELL",E535-F535,IF(D535="BUY",F535-E535)))*C535</f>
        <v>-2500</v>
      </c>
      <c r="J535" s="8">
        <v>0</v>
      </c>
      <c r="K535" s="2">
        <v>0</v>
      </c>
      <c r="L535" s="8">
        <f t="shared" ref="L535" si="1464">(J535+I535+K535)/C535</f>
        <v>-2</v>
      </c>
      <c r="M535" s="8">
        <f t="shared" ref="M535" si="1465">L535*C535</f>
        <v>-2500</v>
      </c>
    </row>
    <row r="536" spans="1:13" ht="15.75" customHeight="1" x14ac:dyDescent="0.25">
      <c r="A536" s="24">
        <v>44090</v>
      </c>
      <c r="B536" s="29" t="s">
        <v>16</v>
      </c>
      <c r="C536" s="11">
        <v>100</v>
      </c>
      <c r="D536" s="11" t="s">
        <v>10</v>
      </c>
      <c r="E536" s="11">
        <v>2878</v>
      </c>
      <c r="F536" s="11">
        <v>2900</v>
      </c>
      <c r="G536" s="34">
        <v>2930</v>
      </c>
      <c r="H536" s="35">
        <v>0</v>
      </c>
      <c r="I536" s="8">
        <f t="shared" ref="I536" si="1466">(IF(D536="SELL",E536-F536,IF(D536="BUY",F536-E536)))*C536</f>
        <v>2200</v>
      </c>
      <c r="J536" s="8">
        <f>C536*30</f>
        <v>3000</v>
      </c>
      <c r="K536" s="2">
        <v>0</v>
      </c>
      <c r="L536" s="8">
        <f t="shared" ref="L536" si="1467">(J536+I536+K536)/C536</f>
        <v>52</v>
      </c>
      <c r="M536" s="8">
        <f t="shared" ref="M536" si="1468">L536*C536</f>
        <v>5200</v>
      </c>
    </row>
    <row r="537" spans="1:13" ht="15.75" customHeight="1" x14ac:dyDescent="0.25">
      <c r="A537" s="24">
        <v>44090</v>
      </c>
      <c r="B537" s="29" t="s">
        <v>18</v>
      </c>
      <c r="C537" s="11">
        <v>2500</v>
      </c>
      <c r="D537" s="11" t="s">
        <v>10</v>
      </c>
      <c r="E537" s="11">
        <v>529.5</v>
      </c>
      <c r="F537" s="11">
        <v>527.5</v>
      </c>
      <c r="G537" s="34">
        <v>0</v>
      </c>
      <c r="H537" s="35">
        <v>0</v>
      </c>
      <c r="I537" s="8">
        <f t="shared" ref="I537" si="1469">(IF(D537="SELL",E537-F537,IF(D537="BUY",F537-E537)))*C537</f>
        <v>-5000</v>
      </c>
      <c r="J537" s="8">
        <v>0</v>
      </c>
      <c r="K537" s="2">
        <v>0</v>
      </c>
      <c r="L537" s="8">
        <f t="shared" ref="L537" si="1470">(J537+I537+K537)/C537</f>
        <v>-2</v>
      </c>
      <c r="M537" s="8">
        <f t="shared" ref="M537" si="1471">L537*C537</f>
        <v>-5000</v>
      </c>
    </row>
    <row r="538" spans="1:13" ht="15.75" customHeight="1" x14ac:dyDescent="0.25">
      <c r="A538" s="24">
        <v>44089</v>
      </c>
      <c r="B538" s="29" t="s">
        <v>52</v>
      </c>
      <c r="C538" s="11">
        <v>1250</v>
      </c>
      <c r="D538" s="11" t="s">
        <v>10</v>
      </c>
      <c r="E538" s="11">
        <v>172.5</v>
      </c>
      <c r="F538" s="11">
        <v>174</v>
      </c>
      <c r="G538" s="34">
        <v>0</v>
      </c>
      <c r="H538" s="35">
        <v>0</v>
      </c>
      <c r="I538" s="8">
        <f t="shared" ref="I538" si="1472">(IF(D538="SELL",E538-F538,IF(D538="BUY",F538-E538)))*C538</f>
        <v>1875</v>
      </c>
      <c r="J538" s="8">
        <v>0</v>
      </c>
      <c r="K538" s="2">
        <v>0</v>
      </c>
      <c r="L538" s="8">
        <f t="shared" ref="L538" si="1473">(J538+I538+K538)/C538</f>
        <v>1.5</v>
      </c>
      <c r="M538" s="8">
        <f t="shared" ref="M538" si="1474">L538*C538</f>
        <v>1875</v>
      </c>
    </row>
    <row r="539" spans="1:13" ht="15.75" customHeight="1" x14ac:dyDescent="0.25">
      <c r="A539" s="24">
        <v>44089</v>
      </c>
      <c r="B539" s="29" t="s">
        <v>19</v>
      </c>
      <c r="C539" s="11">
        <v>100</v>
      </c>
      <c r="D539" s="11" t="s">
        <v>10</v>
      </c>
      <c r="E539" s="11">
        <v>52160</v>
      </c>
      <c r="F539" s="11">
        <v>52070</v>
      </c>
      <c r="G539" s="34">
        <v>0</v>
      </c>
      <c r="H539" s="35">
        <v>0</v>
      </c>
      <c r="I539" s="8">
        <f t="shared" ref="I539" si="1475">(IF(D539="SELL",E539-F539,IF(D539="BUY",F539-E539)))*C539</f>
        <v>-9000</v>
      </c>
      <c r="J539" s="8">
        <v>0</v>
      </c>
      <c r="K539" s="2">
        <v>0</v>
      </c>
      <c r="L539" s="8">
        <f t="shared" ref="L539" si="1476">(J539+I539+K539)/C539</f>
        <v>-90</v>
      </c>
      <c r="M539" s="8">
        <f t="shared" ref="M539" si="1477">L539*C539</f>
        <v>-9000</v>
      </c>
    </row>
    <row r="540" spans="1:13" ht="15.75" customHeight="1" x14ac:dyDescent="0.25">
      <c r="A540" s="24">
        <v>44089</v>
      </c>
      <c r="B540" s="29" t="s">
        <v>21</v>
      </c>
      <c r="C540" s="11">
        <v>1500</v>
      </c>
      <c r="D540" s="11" t="s">
        <v>10</v>
      </c>
      <c r="E540" s="11">
        <v>1126</v>
      </c>
      <c r="F540" s="11">
        <v>1121</v>
      </c>
      <c r="G540" s="34">
        <v>0</v>
      </c>
      <c r="H540" s="35">
        <v>0</v>
      </c>
      <c r="I540" s="8">
        <f t="shared" ref="I540" si="1478">(IF(D540="SELL",E540-F540,IF(D540="BUY",F540-E540)))*C540</f>
        <v>-7500</v>
      </c>
      <c r="J540" s="8">
        <v>0</v>
      </c>
      <c r="K540" s="2">
        <v>0</v>
      </c>
      <c r="L540" s="8">
        <f t="shared" ref="L540" si="1479">(J540+I540+K540)/C540</f>
        <v>-5</v>
      </c>
      <c r="M540" s="8">
        <f t="shared" ref="M540" si="1480">L540*C540</f>
        <v>-7500</v>
      </c>
    </row>
    <row r="541" spans="1:13" ht="15.75" customHeight="1" x14ac:dyDescent="0.25">
      <c r="A541" s="24">
        <v>44089</v>
      </c>
      <c r="B541" s="29" t="s">
        <v>16</v>
      </c>
      <c r="C541" s="11">
        <v>100</v>
      </c>
      <c r="D541" s="11" t="s">
        <v>10</v>
      </c>
      <c r="E541" s="11">
        <v>2795</v>
      </c>
      <c r="F541" s="11">
        <v>2815</v>
      </c>
      <c r="G541" s="34">
        <v>2845</v>
      </c>
      <c r="H541" s="35">
        <v>0</v>
      </c>
      <c r="I541" s="8">
        <f t="shared" ref="I541" si="1481">(IF(D541="SELL",E541-F541,IF(D541="BUY",F541-E541)))*C541</f>
        <v>2000</v>
      </c>
      <c r="J541" s="8">
        <f>C541*30</f>
        <v>3000</v>
      </c>
      <c r="K541" s="2">
        <v>0</v>
      </c>
      <c r="L541" s="8">
        <f t="shared" ref="L541" si="1482">(J541+I541+K541)/C541</f>
        <v>50</v>
      </c>
      <c r="M541" s="8">
        <f t="shared" ref="M541" si="1483">L541*C541</f>
        <v>5000</v>
      </c>
    </row>
    <row r="542" spans="1:13" ht="15.75" customHeight="1" x14ac:dyDescent="0.25">
      <c r="A542" s="24">
        <v>44089</v>
      </c>
      <c r="B542" s="29" t="s">
        <v>14</v>
      </c>
      <c r="C542" s="11">
        <v>30</v>
      </c>
      <c r="D542" s="11" t="s">
        <v>10</v>
      </c>
      <c r="E542" s="11">
        <v>69570</v>
      </c>
      <c r="F542" s="11">
        <v>69720</v>
      </c>
      <c r="G542" s="34">
        <v>0</v>
      </c>
      <c r="H542" s="35">
        <v>0</v>
      </c>
      <c r="I542" s="8">
        <f t="shared" ref="I542" si="1484">(IF(D542="SELL",E542-F542,IF(D542="BUY",F542-E542)))*C542</f>
        <v>4500</v>
      </c>
      <c r="J542" s="8">
        <v>0</v>
      </c>
      <c r="K542" s="2">
        <v>0</v>
      </c>
      <c r="L542" s="8">
        <f t="shared" ref="L542" si="1485">(J542+I542+K542)/C542</f>
        <v>150</v>
      </c>
      <c r="M542" s="8">
        <f t="shared" ref="M542" si="1486">L542*C542</f>
        <v>4500</v>
      </c>
    </row>
    <row r="543" spans="1:13" ht="15.75" customHeight="1" x14ac:dyDescent="0.25">
      <c r="A543" s="24">
        <v>44089</v>
      </c>
      <c r="B543" s="29" t="s">
        <v>18</v>
      </c>
      <c r="C543" s="11">
        <v>2500</v>
      </c>
      <c r="D543" s="11" t="s">
        <v>10</v>
      </c>
      <c r="E543" s="11">
        <v>530.5</v>
      </c>
      <c r="F543" s="11">
        <v>532</v>
      </c>
      <c r="G543" s="34">
        <v>0</v>
      </c>
      <c r="H543" s="35">
        <v>0</v>
      </c>
      <c r="I543" s="8">
        <f t="shared" ref="I543" si="1487">(IF(D543="SELL",E543-F543,IF(D543="BUY",F543-E543)))*C543</f>
        <v>3750</v>
      </c>
      <c r="J543" s="8">
        <v>0</v>
      </c>
      <c r="K543" s="2">
        <v>0</v>
      </c>
      <c r="L543" s="8">
        <f t="shared" ref="L543" si="1488">(J543+I543+K543)/C543</f>
        <v>1.5</v>
      </c>
      <c r="M543" s="8">
        <f t="shared" ref="M543" si="1489">L543*C543</f>
        <v>3750</v>
      </c>
    </row>
    <row r="544" spans="1:13" ht="15.75" customHeight="1" x14ac:dyDescent="0.25">
      <c r="A544" s="24">
        <v>44089</v>
      </c>
      <c r="B544" s="29" t="s">
        <v>17</v>
      </c>
      <c r="C544" s="11">
        <v>5000</v>
      </c>
      <c r="D544" s="11" t="s">
        <v>10</v>
      </c>
      <c r="E544" s="11">
        <v>194.3</v>
      </c>
      <c r="F544" s="11">
        <v>194.9</v>
      </c>
      <c r="G544" s="34">
        <v>195.6</v>
      </c>
      <c r="H544" s="35">
        <v>0</v>
      </c>
      <c r="I544" s="8">
        <f t="shared" ref="I544" si="1490">(IF(D544="SELL",E544-F544,IF(D544="BUY",F544-E544)))*C544</f>
        <v>2999.9999999999718</v>
      </c>
      <c r="J544" s="8">
        <f>C544*0.7</f>
        <v>3500</v>
      </c>
      <c r="K544" s="2">
        <v>0</v>
      </c>
      <c r="L544" s="8">
        <f t="shared" ref="L544" si="1491">(J544+I544+K544)/C544</f>
        <v>1.2999999999999943</v>
      </c>
      <c r="M544" s="8">
        <f t="shared" ref="M544" si="1492">L544*C544</f>
        <v>6499.9999999999718</v>
      </c>
    </row>
    <row r="545" spans="1:13" ht="15.75" customHeight="1" x14ac:dyDescent="0.25">
      <c r="A545" s="24">
        <v>44089</v>
      </c>
      <c r="B545" s="29" t="s">
        <v>19</v>
      </c>
      <c r="C545" s="11">
        <v>100</v>
      </c>
      <c r="D545" s="11" t="s">
        <v>10</v>
      </c>
      <c r="E545" s="11">
        <v>51940</v>
      </c>
      <c r="F545" s="11">
        <v>51990</v>
      </c>
      <c r="G545" s="34">
        <v>52100</v>
      </c>
      <c r="H545" s="35">
        <v>0</v>
      </c>
      <c r="I545" s="8">
        <f t="shared" ref="I545" si="1493">(IF(D545="SELL",E545-F545,IF(D545="BUY",F545-E545)))*C545</f>
        <v>5000</v>
      </c>
      <c r="J545" s="8">
        <f>C545*110</f>
        <v>11000</v>
      </c>
      <c r="K545" s="2">
        <v>0</v>
      </c>
      <c r="L545" s="8">
        <f t="shared" ref="L545" si="1494">(J545+I545+K545)/C545</f>
        <v>160</v>
      </c>
      <c r="M545" s="8">
        <f t="shared" ref="M545" si="1495">L545*C545</f>
        <v>16000</v>
      </c>
    </row>
    <row r="546" spans="1:13" ht="15.75" customHeight="1" x14ac:dyDescent="0.25">
      <c r="A546" s="24">
        <v>44088</v>
      </c>
      <c r="B546" s="29" t="s">
        <v>14</v>
      </c>
      <c r="C546" s="11">
        <v>30</v>
      </c>
      <c r="D546" s="11" t="s">
        <v>10</v>
      </c>
      <c r="E546" s="11">
        <v>68400</v>
      </c>
      <c r="F546" s="11">
        <v>68550</v>
      </c>
      <c r="G546" s="34">
        <v>68750</v>
      </c>
      <c r="H546" s="35">
        <v>0</v>
      </c>
      <c r="I546" s="8">
        <f t="shared" ref="I546" si="1496">(IF(D546="SELL",E546-F546,IF(D546="BUY",F546-E546)))*C546</f>
        <v>4500</v>
      </c>
      <c r="J546" s="8">
        <f>C546*200</f>
        <v>6000</v>
      </c>
      <c r="K546" s="2">
        <v>0</v>
      </c>
      <c r="L546" s="8">
        <f t="shared" ref="L546" si="1497">(J546+I546+K546)/C546</f>
        <v>350</v>
      </c>
      <c r="M546" s="8">
        <f t="shared" ref="M546" si="1498">L546*C546</f>
        <v>10500</v>
      </c>
    </row>
    <row r="547" spans="1:13" ht="15.75" customHeight="1" x14ac:dyDescent="0.25">
      <c r="A547" s="24">
        <v>44088</v>
      </c>
      <c r="B547" s="29" t="s">
        <v>16</v>
      </c>
      <c r="C547" s="11">
        <v>100</v>
      </c>
      <c r="D547" s="11" t="s">
        <v>11</v>
      </c>
      <c r="E547" s="11">
        <v>2725</v>
      </c>
      <c r="F547" s="11">
        <v>2705</v>
      </c>
      <c r="G547" s="34">
        <v>0</v>
      </c>
      <c r="H547" s="35">
        <v>0</v>
      </c>
      <c r="I547" s="8">
        <f t="shared" ref="I547" si="1499">(IF(D547="SELL",E547-F547,IF(D547="BUY",F547-E547)))*C547</f>
        <v>2000</v>
      </c>
      <c r="J547" s="8">
        <v>0</v>
      </c>
      <c r="K547" s="2">
        <v>0</v>
      </c>
      <c r="L547" s="8">
        <f t="shared" ref="L547" si="1500">(J547+I547+K547)/C547</f>
        <v>20</v>
      </c>
      <c r="M547" s="8">
        <f t="shared" ref="M547" si="1501">L547*C547</f>
        <v>2000</v>
      </c>
    </row>
    <row r="548" spans="1:13" ht="15.75" customHeight="1" x14ac:dyDescent="0.25">
      <c r="A548" s="24">
        <v>44088</v>
      </c>
      <c r="B548" s="29" t="s">
        <v>21</v>
      </c>
      <c r="C548" s="11">
        <v>1500</v>
      </c>
      <c r="D548" s="11" t="s">
        <v>10</v>
      </c>
      <c r="E548" s="11">
        <v>1117</v>
      </c>
      <c r="F548" s="11">
        <v>1112</v>
      </c>
      <c r="G548" s="34">
        <v>0</v>
      </c>
      <c r="H548" s="35">
        <v>0</v>
      </c>
      <c r="I548" s="8">
        <f t="shared" ref="I548" si="1502">(IF(D548="SELL",E548-F548,IF(D548="BUY",F548-E548)))*C548</f>
        <v>-7500</v>
      </c>
      <c r="J548" s="8">
        <v>0</v>
      </c>
      <c r="K548" s="2">
        <v>0</v>
      </c>
      <c r="L548" s="8">
        <f t="shared" ref="L548" si="1503">(J548+I548+K548)/C548</f>
        <v>-5</v>
      </c>
      <c r="M548" s="8">
        <f t="shared" ref="M548" si="1504">L548*C548</f>
        <v>-7500</v>
      </c>
    </row>
    <row r="549" spans="1:13" ht="15.75" customHeight="1" x14ac:dyDescent="0.25">
      <c r="A549" s="24">
        <v>44088</v>
      </c>
      <c r="B549" s="29" t="s">
        <v>18</v>
      </c>
      <c r="C549" s="11">
        <v>2500</v>
      </c>
      <c r="D549" s="11" t="s">
        <v>10</v>
      </c>
      <c r="E549" s="11">
        <v>526.79999999999995</v>
      </c>
      <c r="F549" s="11">
        <v>528</v>
      </c>
      <c r="G549" s="34">
        <v>530</v>
      </c>
      <c r="H549" s="35">
        <v>0</v>
      </c>
      <c r="I549" s="8">
        <f t="shared" ref="I549" si="1505">(IF(D549="SELL",E549-F549,IF(D549="BUY",F549-E549)))*C549</f>
        <v>3000.0000000001137</v>
      </c>
      <c r="J549" s="8">
        <v>0</v>
      </c>
      <c r="K549" s="2">
        <v>0</v>
      </c>
      <c r="L549" s="8">
        <f t="shared" ref="L549" si="1506">(J549+I549+K549)/C549</f>
        <v>1.2000000000000455</v>
      </c>
      <c r="M549" s="8">
        <f t="shared" ref="M549" si="1507">L549*C549</f>
        <v>3000.0000000001137</v>
      </c>
    </row>
    <row r="550" spans="1:13" ht="15.75" customHeight="1" x14ac:dyDescent="0.25">
      <c r="A550" s="24">
        <v>44088</v>
      </c>
      <c r="B550" s="29" t="s">
        <v>19</v>
      </c>
      <c r="C550" s="11">
        <v>100</v>
      </c>
      <c r="D550" s="11" t="s">
        <v>10</v>
      </c>
      <c r="E550" s="11">
        <v>51520</v>
      </c>
      <c r="F550" s="11">
        <v>51570</v>
      </c>
      <c r="G550" s="34">
        <v>51650</v>
      </c>
      <c r="H550" s="35">
        <v>0</v>
      </c>
      <c r="I550" s="8">
        <f t="shared" ref="I550" si="1508">(IF(D550="SELL",E550-F550,IF(D550="BUY",F550-E550)))*C550</f>
        <v>5000</v>
      </c>
      <c r="J550" s="8">
        <f>C550*80</f>
        <v>8000</v>
      </c>
      <c r="K550" s="2">
        <v>0</v>
      </c>
      <c r="L550" s="8">
        <f t="shared" ref="L550" si="1509">(J550+I550+K550)/C550</f>
        <v>130</v>
      </c>
      <c r="M550" s="8">
        <f t="shared" ref="M550" si="1510">L550*C550</f>
        <v>13000</v>
      </c>
    </row>
    <row r="551" spans="1:13" ht="15.75" customHeight="1" x14ac:dyDescent="0.25">
      <c r="A551" s="24">
        <v>44088</v>
      </c>
      <c r="B551" s="29" t="s">
        <v>52</v>
      </c>
      <c r="C551" s="11">
        <v>1250</v>
      </c>
      <c r="D551" s="11" t="s">
        <v>10</v>
      </c>
      <c r="E551" s="11">
        <v>172.8</v>
      </c>
      <c r="F551" s="11">
        <v>173.8</v>
      </c>
      <c r="G551" s="34">
        <v>175</v>
      </c>
      <c r="H551" s="35">
        <v>0</v>
      </c>
      <c r="I551" s="8">
        <f t="shared" ref="I551" si="1511">(IF(D551="SELL",E551-F551,IF(D551="BUY",F551-E551)))*C551</f>
        <v>1250</v>
      </c>
      <c r="J551" s="8">
        <f>C551*1.2</f>
        <v>1500</v>
      </c>
      <c r="K551" s="2">
        <v>0</v>
      </c>
      <c r="L551" s="8">
        <f t="shared" ref="L551" si="1512">(J551+I551+K551)/C551</f>
        <v>2.2000000000000002</v>
      </c>
      <c r="M551" s="8">
        <f t="shared" ref="M551" si="1513">L551*C551</f>
        <v>2750</v>
      </c>
    </row>
    <row r="552" spans="1:13" ht="15.75" customHeight="1" x14ac:dyDescent="0.25">
      <c r="A552" s="24">
        <v>44088</v>
      </c>
      <c r="B552" s="29" t="s">
        <v>17</v>
      </c>
      <c r="C552" s="11">
        <v>5000</v>
      </c>
      <c r="D552" s="11" t="s">
        <v>11</v>
      </c>
      <c r="E552" s="11">
        <v>191.6</v>
      </c>
      <c r="F552" s="11">
        <v>192.6</v>
      </c>
      <c r="G552" s="34">
        <v>0</v>
      </c>
      <c r="H552" s="35">
        <v>0</v>
      </c>
      <c r="I552" s="8">
        <f t="shared" ref="I552" si="1514">(IF(D552="SELL",E552-F552,IF(D552="BUY",F552-E552)))*C552</f>
        <v>-5000</v>
      </c>
      <c r="J552" s="8">
        <v>0</v>
      </c>
      <c r="K552" s="2">
        <v>0</v>
      </c>
      <c r="L552" s="8">
        <f t="shared" ref="L552" si="1515">(J552+I552+K552)/C552</f>
        <v>-1</v>
      </c>
      <c r="M552" s="8">
        <f t="shared" ref="M552" si="1516">L552*C552</f>
        <v>-5000</v>
      </c>
    </row>
    <row r="553" spans="1:13" ht="15.75" customHeight="1" x14ac:dyDescent="0.25">
      <c r="A553" s="24">
        <v>44085</v>
      </c>
      <c r="B553" s="29" t="s">
        <v>14</v>
      </c>
      <c r="C553" s="11">
        <v>30</v>
      </c>
      <c r="D553" s="11" t="s">
        <v>10</v>
      </c>
      <c r="E553" s="11">
        <v>68400</v>
      </c>
      <c r="F553" s="11">
        <v>68500</v>
      </c>
      <c r="G553" s="34">
        <v>0</v>
      </c>
      <c r="H553" s="35">
        <v>0</v>
      </c>
      <c r="I553" s="8">
        <f t="shared" ref="I553" si="1517">(IF(D553="SELL",E553-F553,IF(D553="BUY",F553-E553)))*C553</f>
        <v>3000</v>
      </c>
      <c r="J553" s="8">
        <v>0</v>
      </c>
      <c r="K553" s="2">
        <v>0</v>
      </c>
      <c r="L553" s="8">
        <f t="shared" ref="L553" si="1518">(J553+I553+K553)/C553</f>
        <v>100</v>
      </c>
      <c r="M553" s="8">
        <f t="shared" ref="M553" si="1519">L553*C553</f>
        <v>3000</v>
      </c>
    </row>
    <row r="554" spans="1:13" ht="15.75" customHeight="1" x14ac:dyDescent="0.25">
      <c r="A554" s="24">
        <v>44085</v>
      </c>
      <c r="B554" s="29" t="s">
        <v>18</v>
      </c>
      <c r="C554" s="11">
        <v>2500</v>
      </c>
      <c r="D554" s="11" t="s">
        <v>10</v>
      </c>
      <c r="E554" s="11">
        <v>522.29999999999995</v>
      </c>
      <c r="F554" s="11">
        <v>523.5</v>
      </c>
      <c r="G554" s="34">
        <v>525.29999999999995</v>
      </c>
      <c r="H554" s="35">
        <v>0</v>
      </c>
      <c r="I554" s="8">
        <f t="shared" ref="I554" si="1520">(IF(D554="SELL",E554-F554,IF(D554="BUY",F554-E554)))*C554</f>
        <v>3000.0000000001137</v>
      </c>
      <c r="J554" s="8">
        <f>C554*1.8</f>
        <v>4500</v>
      </c>
      <c r="K554" s="2">
        <v>0</v>
      </c>
      <c r="L554" s="8">
        <f t="shared" ref="L554" si="1521">(J554+I554+K554)/C554</f>
        <v>3.0000000000000453</v>
      </c>
      <c r="M554" s="8">
        <f t="shared" ref="M554" si="1522">L554*C554</f>
        <v>7500.0000000001137</v>
      </c>
    </row>
    <row r="555" spans="1:13" ht="15.75" customHeight="1" x14ac:dyDescent="0.25">
      <c r="A555" s="24">
        <v>44085</v>
      </c>
      <c r="B555" s="29" t="s">
        <v>16</v>
      </c>
      <c r="C555" s="11">
        <v>100</v>
      </c>
      <c r="D555" s="11" t="s">
        <v>11</v>
      </c>
      <c r="E555" s="11">
        <v>2724</v>
      </c>
      <c r="F555" s="11">
        <v>2704</v>
      </c>
      <c r="G555" s="34">
        <v>0</v>
      </c>
      <c r="H555" s="35">
        <v>0</v>
      </c>
      <c r="I555" s="8">
        <f t="shared" ref="I555" si="1523">(IF(D555="SELL",E555-F555,IF(D555="BUY",F555-E555)))*C555</f>
        <v>2000</v>
      </c>
      <c r="J555" s="8">
        <v>0</v>
      </c>
      <c r="K555" s="2">
        <v>0</v>
      </c>
      <c r="L555" s="8">
        <f t="shared" ref="L555" si="1524">(J555+I555+K555)/C555</f>
        <v>20</v>
      </c>
      <c r="M555" s="8">
        <f t="shared" ref="M555" si="1525">L555*C555</f>
        <v>2000</v>
      </c>
    </row>
    <row r="556" spans="1:13" ht="15.75" customHeight="1" x14ac:dyDescent="0.25">
      <c r="A556" s="24">
        <v>44085</v>
      </c>
      <c r="B556" s="29" t="s">
        <v>19</v>
      </c>
      <c r="C556" s="11">
        <v>100</v>
      </c>
      <c r="D556" s="11" t="s">
        <v>10</v>
      </c>
      <c r="E556" s="11">
        <v>51550</v>
      </c>
      <c r="F556" s="11">
        <v>51630</v>
      </c>
      <c r="G556" s="34">
        <v>0</v>
      </c>
      <c r="H556" s="35">
        <v>0</v>
      </c>
      <c r="I556" s="8">
        <f t="shared" ref="I556" si="1526">(IF(D556="SELL",E556-F556,IF(D556="BUY",F556-E556)))*C556</f>
        <v>8000</v>
      </c>
      <c r="J556" s="8">
        <v>0</v>
      </c>
      <c r="K556" s="2">
        <v>0</v>
      </c>
      <c r="L556" s="8">
        <f t="shared" ref="L556" si="1527">(J556+I556+K556)/C556</f>
        <v>80</v>
      </c>
      <c r="M556" s="8">
        <f t="shared" ref="M556" si="1528">L556*C556</f>
        <v>8000</v>
      </c>
    </row>
    <row r="557" spans="1:13" ht="15.75" customHeight="1" x14ac:dyDescent="0.25">
      <c r="A557" s="24">
        <v>44085</v>
      </c>
      <c r="B557" s="29" t="s">
        <v>14</v>
      </c>
      <c r="C557" s="11">
        <v>30</v>
      </c>
      <c r="D557" s="11" t="s">
        <v>10</v>
      </c>
      <c r="E557" s="11">
        <v>68130</v>
      </c>
      <c r="F557" s="11">
        <v>68280</v>
      </c>
      <c r="G557" s="34">
        <v>0</v>
      </c>
      <c r="H557" s="35">
        <v>0</v>
      </c>
      <c r="I557" s="8">
        <f t="shared" ref="I557" si="1529">(IF(D557="SELL",E557-F557,IF(D557="BUY",F557-E557)))*C557</f>
        <v>4500</v>
      </c>
      <c r="J557" s="8">
        <v>0</v>
      </c>
      <c r="K557" s="2">
        <v>0</v>
      </c>
      <c r="L557" s="8">
        <f t="shared" ref="L557" si="1530">(J557+I557+K557)/C557</f>
        <v>150</v>
      </c>
      <c r="M557" s="8">
        <f t="shared" ref="M557" si="1531">L557*C557</f>
        <v>4500</v>
      </c>
    </row>
    <row r="558" spans="1:13" ht="15.75" customHeight="1" x14ac:dyDescent="0.25">
      <c r="A558" s="24">
        <v>44085</v>
      </c>
      <c r="B558" s="29" t="s">
        <v>17</v>
      </c>
      <c r="C558" s="11">
        <v>5000</v>
      </c>
      <c r="D558" s="11" t="s">
        <v>10</v>
      </c>
      <c r="E558" s="11">
        <v>190.2</v>
      </c>
      <c r="F558" s="11">
        <v>190.7</v>
      </c>
      <c r="G558" s="34">
        <v>0</v>
      </c>
      <c r="H558" s="35">
        <v>0</v>
      </c>
      <c r="I558" s="8">
        <f t="shared" ref="I558" si="1532">(IF(D558="SELL",E558-F558,IF(D558="BUY",F558-E558)))*C558</f>
        <v>2500</v>
      </c>
      <c r="J558" s="8">
        <v>0</v>
      </c>
      <c r="K558" s="2">
        <v>0</v>
      </c>
      <c r="L558" s="8">
        <f t="shared" ref="L558" si="1533">(J558+I558+K558)/C558</f>
        <v>0.5</v>
      </c>
      <c r="M558" s="8">
        <f t="shared" ref="M558" si="1534">L558*C558</f>
        <v>2500</v>
      </c>
    </row>
    <row r="559" spans="1:13" ht="15.75" customHeight="1" x14ac:dyDescent="0.25">
      <c r="A559" s="24">
        <v>44085</v>
      </c>
      <c r="B559" s="29" t="s">
        <v>21</v>
      </c>
      <c r="C559" s="11">
        <v>1500</v>
      </c>
      <c r="D559" s="11" t="s">
        <v>10</v>
      </c>
      <c r="E559" s="11">
        <v>1095</v>
      </c>
      <c r="F559" s="11">
        <v>1098</v>
      </c>
      <c r="G559" s="34">
        <v>1104</v>
      </c>
      <c r="H559" s="35">
        <v>0</v>
      </c>
      <c r="I559" s="8">
        <f t="shared" ref="I559" si="1535">(IF(D559="SELL",E559-F559,IF(D559="BUY",F559-E559)))*C559</f>
        <v>4500</v>
      </c>
      <c r="J559" s="8">
        <f>C559*6</f>
        <v>9000</v>
      </c>
      <c r="K559" s="2">
        <v>0</v>
      </c>
      <c r="L559" s="8">
        <f t="shared" ref="L559" si="1536">(J559+I559+K559)/C559</f>
        <v>9</v>
      </c>
      <c r="M559" s="8">
        <f t="shared" ref="M559" si="1537">L559*C559</f>
        <v>13500</v>
      </c>
    </row>
    <row r="560" spans="1:13" ht="15.75" customHeight="1" x14ac:dyDescent="0.25">
      <c r="A560" s="24">
        <v>44085</v>
      </c>
      <c r="B560" s="29" t="s">
        <v>52</v>
      </c>
      <c r="C560" s="11">
        <v>1250</v>
      </c>
      <c r="D560" s="11" t="s">
        <v>10</v>
      </c>
      <c r="E560" s="11">
        <v>170.7</v>
      </c>
      <c r="F560" s="11">
        <v>172.2</v>
      </c>
      <c r="G560" s="34">
        <v>0</v>
      </c>
      <c r="H560" s="35">
        <v>0</v>
      </c>
      <c r="I560" s="8">
        <f t="shared" ref="I560" si="1538">(IF(D560="SELL",E560-F560,IF(D560="BUY",F560-E560)))*C560</f>
        <v>1875</v>
      </c>
      <c r="J560" s="8">
        <v>0</v>
      </c>
      <c r="K560" s="2">
        <v>0</v>
      </c>
      <c r="L560" s="8">
        <f t="shared" ref="L560" si="1539">(J560+I560+K560)/C560</f>
        <v>1.5</v>
      </c>
      <c r="M560" s="8">
        <f t="shared" ref="M560" si="1540">L560*C560</f>
        <v>1875</v>
      </c>
    </row>
    <row r="561" spans="1:13" ht="15.75" customHeight="1" x14ac:dyDescent="0.25">
      <c r="A561" s="24">
        <v>44085</v>
      </c>
      <c r="B561" s="29" t="s">
        <v>18</v>
      </c>
      <c r="C561" s="11">
        <v>2500</v>
      </c>
      <c r="D561" s="11" t="s">
        <v>10</v>
      </c>
      <c r="E561" s="11">
        <v>520.5</v>
      </c>
      <c r="F561" s="11">
        <v>521.5</v>
      </c>
      <c r="G561" s="34">
        <v>524.5</v>
      </c>
      <c r="H561" s="35">
        <v>0</v>
      </c>
      <c r="I561" s="8">
        <f t="shared" ref="I561" si="1541">(IF(D561="SELL",E561-F561,IF(D561="BUY",F561-E561)))*C561</f>
        <v>2500</v>
      </c>
      <c r="J561" s="8">
        <f>C561*3</f>
        <v>7500</v>
      </c>
      <c r="K561" s="2">
        <v>0</v>
      </c>
      <c r="L561" s="8">
        <f t="shared" ref="L561" si="1542">(J561+I561+K561)/C561</f>
        <v>4</v>
      </c>
      <c r="M561" s="8">
        <f t="shared" ref="M561" si="1543">L561*C561</f>
        <v>10000</v>
      </c>
    </row>
    <row r="562" spans="1:13" ht="15.75" customHeight="1" x14ac:dyDescent="0.25">
      <c r="A562" s="24">
        <v>44085</v>
      </c>
      <c r="B562" s="29" t="s">
        <v>19</v>
      </c>
      <c r="C562" s="11">
        <v>100</v>
      </c>
      <c r="D562" s="11" t="s">
        <v>10</v>
      </c>
      <c r="E562" s="11">
        <v>51350</v>
      </c>
      <c r="F562" s="11">
        <v>51400</v>
      </c>
      <c r="G562" s="34">
        <v>51480</v>
      </c>
      <c r="H562" s="35">
        <v>0</v>
      </c>
      <c r="I562" s="8">
        <f t="shared" ref="I562" si="1544">(IF(D562="SELL",E562-F562,IF(D562="BUY",F562-E562)))*C562</f>
        <v>5000</v>
      </c>
      <c r="J562" s="8">
        <f>C562*80</f>
        <v>8000</v>
      </c>
      <c r="K562" s="2">
        <v>0</v>
      </c>
      <c r="L562" s="8">
        <f t="shared" ref="L562" si="1545">(J562+I562+K562)/C562</f>
        <v>130</v>
      </c>
      <c r="M562" s="8">
        <f t="shared" ref="M562" si="1546">L562*C562</f>
        <v>13000</v>
      </c>
    </row>
    <row r="563" spans="1:13" ht="15.75" customHeight="1" x14ac:dyDescent="0.25">
      <c r="A563" s="24">
        <v>44084</v>
      </c>
      <c r="B563" s="29" t="s">
        <v>14</v>
      </c>
      <c r="C563" s="11">
        <v>30</v>
      </c>
      <c r="D563" s="11" t="s">
        <v>10</v>
      </c>
      <c r="E563" s="11">
        <v>69460</v>
      </c>
      <c r="F563" s="11">
        <v>69600</v>
      </c>
      <c r="G563" s="34">
        <v>0</v>
      </c>
      <c r="H563" s="35">
        <v>0</v>
      </c>
      <c r="I563" s="8">
        <f t="shared" ref="I563" si="1547">(IF(D563="SELL",E563-F563,IF(D563="BUY",F563-E563)))*C563</f>
        <v>4200</v>
      </c>
      <c r="J563" s="8">
        <v>0</v>
      </c>
      <c r="K563" s="2">
        <v>0</v>
      </c>
      <c r="L563" s="8">
        <f t="shared" ref="L563" si="1548">(J563+I563+K563)/C563</f>
        <v>140</v>
      </c>
      <c r="M563" s="8">
        <f t="shared" ref="M563" si="1549">L563*C563</f>
        <v>4200</v>
      </c>
    </row>
    <row r="564" spans="1:13" ht="15.75" customHeight="1" x14ac:dyDescent="0.25">
      <c r="A564" s="24">
        <v>44084</v>
      </c>
      <c r="B564" s="29" t="s">
        <v>19</v>
      </c>
      <c r="C564" s="11">
        <v>100</v>
      </c>
      <c r="D564" s="11" t="s">
        <v>10</v>
      </c>
      <c r="E564" s="11">
        <v>51680</v>
      </c>
      <c r="F564" s="11">
        <v>51750</v>
      </c>
      <c r="G564" s="34">
        <v>51950</v>
      </c>
      <c r="H564" s="35">
        <v>0</v>
      </c>
      <c r="I564" s="8">
        <f t="shared" ref="I564" si="1550">(IF(D564="SELL",E564-F564,IF(D564="BUY",F564-E564)))*C564</f>
        <v>7000</v>
      </c>
      <c r="J564" s="8">
        <v>0</v>
      </c>
      <c r="K564" s="2">
        <v>0</v>
      </c>
      <c r="L564" s="8">
        <f t="shared" ref="L564" si="1551">(J564+I564+K564)/C564</f>
        <v>70</v>
      </c>
      <c r="M564" s="8">
        <f t="shared" ref="M564" si="1552">L564*C564</f>
        <v>7000</v>
      </c>
    </row>
    <row r="565" spans="1:13" ht="15.75" customHeight="1" x14ac:dyDescent="0.25">
      <c r="A565" s="24">
        <v>44084</v>
      </c>
      <c r="B565" s="29" t="s">
        <v>17</v>
      </c>
      <c r="C565" s="11">
        <v>5000</v>
      </c>
      <c r="D565" s="11" t="s">
        <v>10</v>
      </c>
      <c r="E565" s="11">
        <v>187.9</v>
      </c>
      <c r="F565" s="11">
        <v>188.4</v>
      </c>
      <c r="G565" s="34">
        <v>0</v>
      </c>
      <c r="H565" s="35">
        <v>0</v>
      </c>
      <c r="I565" s="8">
        <f t="shared" ref="I565" si="1553">(IF(D565="SELL",E565-F565,IF(D565="BUY",F565-E565)))*C565</f>
        <v>2500</v>
      </c>
      <c r="J565" s="8">
        <v>0</v>
      </c>
      <c r="K565" s="2">
        <v>0</v>
      </c>
      <c r="L565" s="8">
        <f t="shared" ref="L565" si="1554">(J565+I565+K565)/C565</f>
        <v>0.5</v>
      </c>
      <c r="M565" s="8">
        <f t="shared" ref="M565" si="1555">L565*C565</f>
        <v>2500</v>
      </c>
    </row>
    <row r="566" spans="1:13" ht="15.75" customHeight="1" x14ac:dyDescent="0.25">
      <c r="A566" s="24">
        <v>44084</v>
      </c>
      <c r="B566" s="29" t="s">
        <v>18</v>
      </c>
      <c r="C566" s="11">
        <v>2500</v>
      </c>
      <c r="D566" s="11" t="s">
        <v>10</v>
      </c>
      <c r="E566" s="11">
        <v>521.6</v>
      </c>
      <c r="F566" s="11">
        <v>523</v>
      </c>
      <c r="G566" s="34">
        <v>525</v>
      </c>
      <c r="H566" s="35">
        <v>0</v>
      </c>
      <c r="I566" s="8">
        <f t="shared" ref="I566" si="1556">(IF(D566="SELL",E566-F566,IF(D566="BUY",F566-E566)))*C566</f>
        <v>3499.9999999999432</v>
      </c>
      <c r="J566" s="8">
        <f>C566*2</f>
        <v>5000</v>
      </c>
      <c r="K566" s="2">
        <v>0</v>
      </c>
      <c r="L566" s="8">
        <f t="shared" ref="L566" si="1557">(J566+I566+K566)/C566</f>
        <v>3.3999999999999773</v>
      </c>
      <c r="M566" s="8">
        <f t="shared" ref="M566" si="1558">L566*C566</f>
        <v>8499.9999999999436</v>
      </c>
    </row>
    <row r="567" spans="1:13" ht="15.75" customHeight="1" x14ac:dyDescent="0.25">
      <c r="A567" s="24">
        <v>44084</v>
      </c>
      <c r="B567" s="29" t="s">
        <v>52</v>
      </c>
      <c r="C567" s="11">
        <v>1250</v>
      </c>
      <c r="D567" s="11" t="s">
        <v>11</v>
      </c>
      <c r="E567" s="11">
        <v>174.4</v>
      </c>
      <c r="F567" s="11">
        <v>173</v>
      </c>
      <c r="G567" s="34">
        <v>171</v>
      </c>
      <c r="H567" s="35">
        <v>0</v>
      </c>
      <c r="I567" s="8">
        <f t="shared" ref="I567" si="1559">(IF(D567="SELL",E567-F567,IF(D567="BUY",F567-E567)))*C567</f>
        <v>1750.000000000007</v>
      </c>
      <c r="J567" s="8">
        <f>C567*2</f>
        <v>2500</v>
      </c>
      <c r="K567" s="2">
        <v>0</v>
      </c>
      <c r="L567" s="8">
        <f t="shared" ref="L567" si="1560">(J567+I567+K567)/C567</f>
        <v>3.4000000000000057</v>
      </c>
      <c r="M567" s="8">
        <f t="shared" ref="M567" si="1561">L567*C567</f>
        <v>4250.0000000000073</v>
      </c>
    </row>
    <row r="568" spans="1:13" ht="15.75" customHeight="1" x14ac:dyDescent="0.25">
      <c r="A568" s="24">
        <v>44084</v>
      </c>
      <c r="B568" s="29" t="s">
        <v>17</v>
      </c>
      <c r="C568" s="11">
        <v>5000</v>
      </c>
      <c r="D568" s="11" t="s">
        <v>11</v>
      </c>
      <c r="E568" s="11">
        <v>186.2</v>
      </c>
      <c r="F568" s="11">
        <v>187.2</v>
      </c>
      <c r="G568" s="34">
        <v>0</v>
      </c>
      <c r="H568" s="35">
        <v>0</v>
      </c>
      <c r="I568" s="8">
        <f t="shared" ref="I568" si="1562">(IF(D568="SELL",E568-F568,IF(D568="BUY",F568-E568)))*C568</f>
        <v>-5000</v>
      </c>
      <c r="J568" s="8">
        <v>0</v>
      </c>
      <c r="K568" s="2">
        <v>0</v>
      </c>
      <c r="L568" s="8">
        <f t="shared" ref="L568" si="1563">(J568+I568+K568)/C568</f>
        <v>-1</v>
      </c>
      <c r="M568" s="8">
        <f t="shared" ref="M568" si="1564">L568*C568</f>
        <v>-5000</v>
      </c>
    </row>
    <row r="569" spans="1:13" ht="15.75" customHeight="1" x14ac:dyDescent="0.25">
      <c r="A569" s="24">
        <v>44084</v>
      </c>
      <c r="B569" s="29" t="s">
        <v>16</v>
      </c>
      <c r="C569" s="11">
        <v>100</v>
      </c>
      <c r="D569" s="11" t="s">
        <v>11</v>
      </c>
      <c r="E569" s="11">
        <v>2750</v>
      </c>
      <c r="F569" s="11">
        <v>2730</v>
      </c>
      <c r="G569" s="34">
        <v>0</v>
      </c>
      <c r="H569" s="35">
        <v>0</v>
      </c>
      <c r="I569" s="8">
        <f t="shared" ref="I569" si="1565">(IF(D569="SELL",E569-F569,IF(D569="BUY",F569-E569)))*C569</f>
        <v>2000</v>
      </c>
      <c r="J569" s="8">
        <v>0</v>
      </c>
      <c r="K569" s="2">
        <v>0</v>
      </c>
      <c r="L569" s="8">
        <f t="shared" ref="L569" si="1566">(J569+I569+K569)/C569</f>
        <v>20</v>
      </c>
      <c r="M569" s="8">
        <f t="shared" ref="M569" si="1567">L569*C569</f>
        <v>2000</v>
      </c>
    </row>
    <row r="570" spans="1:13" ht="15.75" customHeight="1" x14ac:dyDescent="0.25">
      <c r="A570" s="24">
        <v>44084</v>
      </c>
      <c r="B570" s="29" t="s">
        <v>21</v>
      </c>
      <c r="C570" s="11">
        <v>1500</v>
      </c>
      <c r="D570" s="11" t="s">
        <v>11</v>
      </c>
      <c r="E570" s="11">
        <v>1092</v>
      </c>
      <c r="F570" s="11">
        <v>1089</v>
      </c>
      <c r="G570" s="34">
        <v>0</v>
      </c>
      <c r="H570" s="35">
        <v>0</v>
      </c>
      <c r="I570" s="8">
        <f t="shared" ref="I570" si="1568">(IF(D570="SELL",E570-F570,IF(D570="BUY",F570-E570)))*C570</f>
        <v>4500</v>
      </c>
      <c r="J570" s="8">
        <v>0</v>
      </c>
      <c r="K570" s="2">
        <v>0</v>
      </c>
      <c r="L570" s="8">
        <f t="shared" ref="L570" si="1569">(J570+I570+K570)/C570</f>
        <v>3</v>
      </c>
      <c r="M570" s="8">
        <f t="shared" ref="M570" si="1570">L570*C570</f>
        <v>4500</v>
      </c>
    </row>
    <row r="571" spans="1:13" ht="15.75" customHeight="1" x14ac:dyDescent="0.25">
      <c r="A571" s="24">
        <v>44084</v>
      </c>
      <c r="B571" s="29" t="s">
        <v>14</v>
      </c>
      <c r="C571" s="11">
        <v>30</v>
      </c>
      <c r="D571" s="11" t="s">
        <v>10</v>
      </c>
      <c r="E571" s="11">
        <v>68980</v>
      </c>
      <c r="F571" s="11">
        <v>69130</v>
      </c>
      <c r="G571" s="34">
        <v>69300</v>
      </c>
      <c r="H571" s="35">
        <v>0</v>
      </c>
      <c r="I571" s="8">
        <f t="shared" ref="I571" si="1571">(IF(D571="SELL",E571-F571,IF(D571="BUY",F571-E571)))*C571</f>
        <v>4500</v>
      </c>
      <c r="J571" s="8">
        <f>C571*170</f>
        <v>5100</v>
      </c>
      <c r="K571" s="2">
        <v>0</v>
      </c>
      <c r="L571" s="8">
        <f t="shared" ref="L571" si="1572">(J571+I571+K571)/C571</f>
        <v>320</v>
      </c>
      <c r="M571" s="8">
        <f t="shared" ref="M571" si="1573">L571*C571</f>
        <v>9600</v>
      </c>
    </row>
    <row r="572" spans="1:13" ht="15.75" customHeight="1" x14ac:dyDescent="0.25">
      <c r="A572" s="24">
        <v>44084</v>
      </c>
      <c r="B572" s="29" t="s">
        <v>19</v>
      </c>
      <c r="C572" s="11">
        <v>100</v>
      </c>
      <c r="D572" s="11" t="s">
        <v>10</v>
      </c>
      <c r="E572" s="11">
        <v>51460</v>
      </c>
      <c r="F572" s="11">
        <v>51510</v>
      </c>
      <c r="G572" s="34">
        <v>51580</v>
      </c>
      <c r="H572" s="35">
        <v>0</v>
      </c>
      <c r="I572" s="8">
        <f t="shared" ref="I572" si="1574">(IF(D572="SELL",E572-F572,IF(D572="BUY",F572-E572)))*C572</f>
        <v>5000</v>
      </c>
      <c r="J572" s="8">
        <f>C572*70</f>
        <v>7000</v>
      </c>
      <c r="K572" s="2">
        <v>0</v>
      </c>
      <c r="L572" s="8">
        <f t="shared" ref="L572" si="1575">(J572+I572+K572)/C572</f>
        <v>120</v>
      </c>
      <c r="M572" s="8">
        <f t="shared" ref="M572" si="1576">L572*C572</f>
        <v>12000</v>
      </c>
    </row>
    <row r="573" spans="1:13" ht="15.75" customHeight="1" x14ac:dyDescent="0.25">
      <c r="A573" s="24">
        <v>44083</v>
      </c>
      <c r="B573" s="29" t="s">
        <v>14</v>
      </c>
      <c r="C573" s="11">
        <v>30</v>
      </c>
      <c r="D573" s="11" t="s">
        <v>10</v>
      </c>
      <c r="E573" s="11">
        <v>67780</v>
      </c>
      <c r="F573" s="11">
        <v>67930</v>
      </c>
      <c r="G573" s="34">
        <v>68230</v>
      </c>
      <c r="H573" s="35">
        <v>0</v>
      </c>
      <c r="I573" s="8">
        <f t="shared" ref="I573" si="1577">(IF(D573="SELL",E573-F573,IF(D573="BUY",F573-E573)))*C573</f>
        <v>4500</v>
      </c>
      <c r="J573" s="8">
        <f>C573*300</f>
        <v>9000</v>
      </c>
      <c r="K573" s="2">
        <v>0</v>
      </c>
      <c r="L573" s="8">
        <f t="shared" ref="L573" si="1578">(J573+I573+K573)/C573</f>
        <v>450</v>
      </c>
      <c r="M573" s="8">
        <f t="shared" ref="M573" si="1579">L573*C573</f>
        <v>13500</v>
      </c>
    </row>
    <row r="574" spans="1:13" ht="15.75" customHeight="1" x14ac:dyDescent="0.25">
      <c r="A574" s="24">
        <v>44083</v>
      </c>
      <c r="B574" s="29" t="s">
        <v>19</v>
      </c>
      <c r="C574" s="11">
        <v>100</v>
      </c>
      <c r="D574" s="11" t="s">
        <v>10</v>
      </c>
      <c r="E574" s="11">
        <v>51050</v>
      </c>
      <c r="F574" s="11">
        <v>51100</v>
      </c>
      <c r="G574" s="34">
        <v>51170</v>
      </c>
      <c r="H574" s="35">
        <v>0</v>
      </c>
      <c r="I574" s="8">
        <f t="shared" ref="I574" si="1580">(IF(D574="SELL",E574-F574,IF(D574="BUY",F574-E574)))*C574</f>
        <v>5000</v>
      </c>
      <c r="J574" s="8">
        <f>C574*70</f>
        <v>7000</v>
      </c>
      <c r="K574" s="2">
        <v>0</v>
      </c>
      <c r="L574" s="8">
        <f t="shared" ref="L574" si="1581">(J574+I574+K574)/C574</f>
        <v>120</v>
      </c>
      <c r="M574" s="8">
        <f t="shared" ref="M574" si="1582">L574*C574</f>
        <v>12000</v>
      </c>
    </row>
    <row r="575" spans="1:13" ht="15.75" customHeight="1" x14ac:dyDescent="0.25">
      <c r="A575" s="24">
        <v>44083</v>
      </c>
      <c r="B575" s="29" t="s">
        <v>21</v>
      </c>
      <c r="C575" s="11">
        <v>1500</v>
      </c>
      <c r="D575" s="11" t="s">
        <v>10</v>
      </c>
      <c r="E575" s="11">
        <v>1098</v>
      </c>
      <c r="F575" s="11">
        <v>1101</v>
      </c>
      <c r="G575" s="34">
        <v>0</v>
      </c>
      <c r="H575" s="35">
        <v>0</v>
      </c>
      <c r="I575" s="8">
        <f t="shared" ref="I575" si="1583">(IF(D575="SELL",E575-F575,IF(D575="BUY",F575-E575)))*C575</f>
        <v>4500</v>
      </c>
      <c r="J575" s="8">
        <v>0</v>
      </c>
      <c r="K575" s="2">
        <v>0</v>
      </c>
      <c r="L575" s="8">
        <f t="shared" ref="L575" si="1584">(J575+I575+K575)/C575</f>
        <v>3</v>
      </c>
      <c r="M575" s="8">
        <f t="shared" ref="M575" si="1585">L575*C575</f>
        <v>4500</v>
      </c>
    </row>
    <row r="576" spans="1:13" ht="15.75" customHeight="1" x14ac:dyDescent="0.25">
      <c r="A576" s="24">
        <v>44083</v>
      </c>
      <c r="B576" s="29" t="s">
        <v>14</v>
      </c>
      <c r="C576" s="11">
        <v>30</v>
      </c>
      <c r="D576" s="11" t="s">
        <v>11</v>
      </c>
      <c r="E576" s="11">
        <v>67620</v>
      </c>
      <c r="F576" s="11">
        <v>67470</v>
      </c>
      <c r="G576" s="34">
        <v>67320</v>
      </c>
      <c r="H576" s="35">
        <v>0</v>
      </c>
      <c r="I576" s="8">
        <f t="shared" ref="I576" si="1586">(IF(D576="SELL",E576-F576,IF(D576="BUY",F576-E576)))*C576</f>
        <v>4500</v>
      </c>
      <c r="J576" s="8">
        <f>C576*150</f>
        <v>4500</v>
      </c>
      <c r="K576" s="2">
        <v>0</v>
      </c>
      <c r="L576" s="8">
        <f t="shared" ref="L576" si="1587">(J576+I576+K576)/C576</f>
        <v>300</v>
      </c>
      <c r="M576" s="8">
        <f t="shared" ref="M576" si="1588">L576*C576</f>
        <v>9000</v>
      </c>
    </row>
    <row r="577" spans="1:13" ht="15.75" customHeight="1" x14ac:dyDescent="0.25">
      <c r="A577" s="24">
        <v>44083</v>
      </c>
      <c r="B577" s="29" t="s">
        <v>16</v>
      </c>
      <c r="C577" s="11">
        <v>100</v>
      </c>
      <c r="D577" s="11" t="s">
        <v>10</v>
      </c>
      <c r="E577" s="11">
        <v>2765</v>
      </c>
      <c r="F577" s="11">
        <v>2785</v>
      </c>
      <c r="G577" s="34">
        <v>2815</v>
      </c>
      <c r="H577" s="35">
        <v>0</v>
      </c>
      <c r="I577" s="8">
        <f t="shared" ref="I577" si="1589">(IF(D577="SELL",E577-F577,IF(D577="BUY",F577-E577)))*C577</f>
        <v>2000</v>
      </c>
      <c r="J577" s="8">
        <f>C577*30</f>
        <v>3000</v>
      </c>
      <c r="K577" s="2">
        <v>0</v>
      </c>
      <c r="L577" s="8">
        <f t="shared" ref="L577" si="1590">(J577+I577+K577)/C577</f>
        <v>50</v>
      </c>
      <c r="M577" s="8">
        <f t="shared" ref="M577" si="1591">L577*C577</f>
        <v>5000</v>
      </c>
    </row>
    <row r="578" spans="1:13" ht="15.75" customHeight="1" x14ac:dyDescent="0.25">
      <c r="A578" s="24">
        <v>44083</v>
      </c>
      <c r="B578" s="29" t="s">
        <v>52</v>
      </c>
      <c r="C578" s="11">
        <v>1250</v>
      </c>
      <c r="D578" s="11" t="s">
        <v>11</v>
      </c>
      <c r="E578" s="11">
        <v>175</v>
      </c>
      <c r="F578" s="11">
        <v>173.5</v>
      </c>
      <c r="G578" s="34">
        <v>0</v>
      </c>
      <c r="H578" s="35">
        <v>0</v>
      </c>
      <c r="I578" s="8">
        <f t="shared" ref="I578" si="1592">(IF(D578="SELL",E578-F578,IF(D578="BUY",F578-E578)))*C578</f>
        <v>1875</v>
      </c>
      <c r="J578" s="8">
        <v>0</v>
      </c>
      <c r="K578" s="2">
        <v>0</v>
      </c>
      <c r="L578" s="8">
        <f t="shared" ref="L578" si="1593">(J578+I578+K578)/C578</f>
        <v>1.5</v>
      </c>
      <c r="M578" s="8">
        <f t="shared" ref="M578" si="1594">L578*C578</f>
        <v>1875</v>
      </c>
    </row>
    <row r="579" spans="1:13" ht="15.75" customHeight="1" x14ac:dyDescent="0.25">
      <c r="A579" s="24">
        <v>44083</v>
      </c>
      <c r="B579" s="29" t="s">
        <v>17</v>
      </c>
      <c r="C579" s="11">
        <v>5000</v>
      </c>
      <c r="D579" s="11" t="s">
        <v>11</v>
      </c>
      <c r="E579" s="11">
        <v>188.1</v>
      </c>
      <c r="F579" s="11">
        <v>187.6</v>
      </c>
      <c r="G579" s="34">
        <v>0</v>
      </c>
      <c r="H579" s="35">
        <v>0</v>
      </c>
      <c r="I579" s="8">
        <f t="shared" ref="I579" si="1595">(IF(D579="SELL",E579-F579,IF(D579="BUY",F579-E579)))*C579</f>
        <v>2500</v>
      </c>
      <c r="J579" s="8">
        <v>0</v>
      </c>
      <c r="K579" s="2">
        <v>0</v>
      </c>
      <c r="L579" s="8">
        <f t="shared" ref="L579" si="1596">(J579+I579+K579)/C579</f>
        <v>0.5</v>
      </c>
      <c r="M579" s="8">
        <f t="shared" ref="M579" si="1597">L579*C579</f>
        <v>2500</v>
      </c>
    </row>
    <row r="580" spans="1:13" ht="15.75" customHeight="1" x14ac:dyDescent="0.25">
      <c r="A580" s="24">
        <v>44082</v>
      </c>
      <c r="B580" s="29" t="s">
        <v>52</v>
      </c>
      <c r="C580" s="11">
        <v>1250</v>
      </c>
      <c r="D580" s="11" t="s">
        <v>10</v>
      </c>
      <c r="E580" s="11">
        <v>189</v>
      </c>
      <c r="F580" s="11">
        <v>190</v>
      </c>
      <c r="G580" s="34">
        <v>0</v>
      </c>
      <c r="H580" s="35">
        <v>0</v>
      </c>
      <c r="I580" s="8">
        <f t="shared" ref="I580" si="1598">(IF(D580="SELL",E580-F580,IF(D580="BUY",F580-E580)))*C580</f>
        <v>1250</v>
      </c>
      <c r="J580" s="8">
        <v>0</v>
      </c>
      <c r="K580" s="2">
        <v>0</v>
      </c>
      <c r="L580" s="8">
        <f t="shared" ref="L580" si="1599">(J580+I580+K580)/C580</f>
        <v>1</v>
      </c>
      <c r="M580" s="8">
        <f t="shared" ref="M580" si="1600">L580*C580</f>
        <v>1250</v>
      </c>
    </row>
    <row r="581" spans="1:13" ht="15.75" customHeight="1" x14ac:dyDescent="0.25">
      <c r="A581" s="24">
        <v>44082</v>
      </c>
      <c r="B581" s="29" t="s">
        <v>16</v>
      </c>
      <c r="C581" s="11">
        <v>100</v>
      </c>
      <c r="D581" s="11" t="s">
        <v>11</v>
      </c>
      <c r="E581" s="11">
        <v>2745</v>
      </c>
      <c r="F581" s="11">
        <v>2725</v>
      </c>
      <c r="G581" s="34">
        <v>2700</v>
      </c>
      <c r="H581" s="35">
        <v>0</v>
      </c>
      <c r="I581" s="8">
        <f t="shared" ref="I581" si="1601">(IF(D581="SELL",E581-F581,IF(D581="BUY",F581-E581)))*C581</f>
        <v>2000</v>
      </c>
      <c r="J581" s="8">
        <f>C581*25</f>
        <v>2500</v>
      </c>
      <c r="K581" s="2">
        <v>0</v>
      </c>
      <c r="L581" s="8">
        <f t="shared" ref="L581" si="1602">(J581+I581+K581)/C581</f>
        <v>45</v>
      </c>
      <c r="M581" s="8">
        <f t="shared" ref="M581" si="1603">L581*C581</f>
        <v>4500</v>
      </c>
    </row>
    <row r="582" spans="1:13" ht="15.75" customHeight="1" x14ac:dyDescent="0.25">
      <c r="A582" s="24">
        <v>44082</v>
      </c>
      <c r="B582" s="29" t="s">
        <v>52</v>
      </c>
      <c r="C582" s="11">
        <v>1250</v>
      </c>
      <c r="D582" s="11" t="s">
        <v>10</v>
      </c>
      <c r="E582" s="11">
        <v>189</v>
      </c>
      <c r="F582" s="11">
        <v>190</v>
      </c>
      <c r="G582" s="34">
        <v>0</v>
      </c>
      <c r="H582" s="35">
        <v>0</v>
      </c>
      <c r="I582" s="8">
        <f t="shared" ref="I582" si="1604">(IF(D582="SELL",E582-F582,IF(D582="BUY",F582-E582)))*C582</f>
        <v>1250</v>
      </c>
      <c r="J582" s="8">
        <v>0</v>
      </c>
      <c r="K582" s="2">
        <v>0</v>
      </c>
      <c r="L582" s="8">
        <f t="shared" ref="L582" si="1605">(J582+I582+K582)/C582</f>
        <v>1</v>
      </c>
      <c r="M582" s="8">
        <f t="shared" ref="M582" si="1606">L582*C582</f>
        <v>1250</v>
      </c>
    </row>
    <row r="583" spans="1:13" ht="15.75" customHeight="1" x14ac:dyDescent="0.25">
      <c r="A583" s="24">
        <v>44082</v>
      </c>
      <c r="B583" s="29" t="s">
        <v>14</v>
      </c>
      <c r="C583" s="11">
        <v>30</v>
      </c>
      <c r="D583" s="11" t="s">
        <v>10</v>
      </c>
      <c r="E583" s="11">
        <v>67550</v>
      </c>
      <c r="F583" s="11">
        <v>67250</v>
      </c>
      <c r="G583" s="34">
        <v>0</v>
      </c>
      <c r="H583" s="35">
        <v>0</v>
      </c>
      <c r="I583" s="8">
        <f t="shared" ref="I583" si="1607">(IF(D583="SELL",E583-F583,IF(D583="BUY",F583-E583)))*C583</f>
        <v>-9000</v>
      </c>
      <c r="J583" s="8">
        <v>0</v>
      </c>
      <c r="K583" s="2">
        <v>0</v>
      </c>
      <c r="L583" s="8">
        <f t="shared" ref="L583" si="1608">(J583+I583+K583)/C583</f>
        <v>-300</v>
      </c>
      <c r="M583" s="8">
        <f t="shared" ref="M583" si="1609">L583*C583</f>
        <v>-9000</v>
      </c>
    </row>
    <row r="584" spans="1:13" ht="15.75" customHeight="1" x14ac:dyDescent="0.25">
      <c r="A584" s="24">
        <v>44082</v>
      </c>
      <c r="B584" s="29" t="s">
        <v>21</v>
      </c>
      <c r="C584" s="11">
        <v>1500</v>
      </c>
      <c r="D584" s="11" t="s">
        <v>11</v>
      </c>
      <c r="E584" s="11">
        <v>1120</v>
      </c>
      <c r="F584" s="11">
        <v>1117</v>
      </c>
      <c r="G584" s="34">
        <v>1111</v>
      </c>
      <c r="H584" s="35">
        <v>0</v>
      </c>
      <c r="I584" s="8">
        <f t="shared" ref="I584" si="1610">(IF(D584="SELL",E584-F584,IF(D584="BUY",F584-E584)))*C584</f>
        <v>4500</v>
      </c>
      <c r="J584" s="8">
        <f>C584*6</f>
        <v>9000</v>
      </c>
      <c r="K584" s="2">
        <v>0</v>
      </c>
      <c r="L584" s="8">
        <f t="shared" ref="L584" si="1611">(J584+I584+K584)/C584</f>
        <v>9</v>
      </c>
      <c r="M584" s="8">
        <f t="shared" ref="M584" si="1612">L584*C584</f>
        <v>13500</v>
      </c>
    </row>
    <row r="585" spans="1:13" ht="15.75" customHeight="1" x14ac:dyDescent="0.25">
      <c r="A585" s="24">
        <v>44082</v>
      </c>
      <c r="B585" s="29" t="s">
        <v>14</v>
      </c>
      <c r="C585" s="11">
        <v>30</v>
      </c>
      <c r="D585" s="11" t="s">
        <v>11</v>
      </c>
      <c r="E585" s="11">
        <v>67840</v>
      </c>
      <c r="F585" s="11">
        <v>67640</v>
      </c>
      <c r="G585" s="34">
        <v>67240</v>
      </c>
      <c r="H585" s="35">
        <v>0</v>
      </c>
      <c r="I585" s="8">
        <f t="shared" ref="I585" si="1613">(IF(D585="SELL",E585-F585,IF(D585="BUY",F585-E585)))*C585</f>
        <v>6000</v>
      </c>
      <c r="J585" s="8">
        <f>C585*400</f>
        <v>12000</v>
      </c>
      <c r="K585" s="2">
        <v>0</v>
      </c>
      <c r="L585" s="8">
        <f t="shared" ref="L585" si="1614">(J585+I585+K585)/C585</f>
        <v>600</v>
      </c>
      <c r="M585" s="8">
        <f t="shared" ref="M585" si="1615">L585*C585</f>
        <v>18000</v>
      </c>
    </row>
    <row r="586" spans="1:13" ht="15.75" customHeight="1" x14ac:dyDescent="0.25">
      <c r="A586" s="24">
        <v>44082</v>
      </c>
      <c r="B586" s="29" t="s">
        <v>19</v>
      </c>
      <c r="C586" s="11">
        <v>100</v>
      </c>
      <c r="D586" s="11" t="s">
        <v>11</v>
      </c>
      <c r="E586" s="11">
        <v>50830</v>
      </c>
      <c r="F586" s="11">
        <v>50780</v>
      </c>
      <c r="G586" s="34">
        <v>50700</v>
      </c>
      <c r="H586" s="35">
        <v>0</v>
      </c>
      <c r="I586" s="8">
        <f t="shared" ref="I586" si="1616">(IF(D586="SELL",E586-F586,IF(D586="BUY",F586-E586)))*C586</f>
        <v>5000</v>
      </c>
      <c r="J586" s="8">
        <f>C586*80</f>
        <v>8000</v>
      </c>
      <c r="K586" s="2">
        <v>0</v>
      </c>
      <c r="L586" s="8">
        <f t="shared" ref="L586" si="1617">(J586+I586+K586)/C586</f>
        <v>130</v>
      </c>
      <c r="M586" s="8">
        <f t="shared" ref="M586" si="1618">L586*C586</f>
        <v>13000</v>
      </c>
    </row>
    <row r="587" spans="1:13" ht="15.75" customHeight="1" x14ac:dyDescent="0.25">
      <c r="A587" s="24">
        <v>44082</v>
      </c>
      <c r="B587" s="29" t="s">
        <v>17</v>
      </c>
      <c r="C587" s="11">
        <v>5000</v>
      </c>
      <c r="D587" s="11" t="s">
        <v>11</v>
      </c>
      <c r="E587" s="11">
        <v>192.5</v>
      </c>
      <c r="F587" s="11">
        <v>192</v>
      </c>
      <c r="G587" s="34">
        <v>191.3</v>
      </c>
      <c r="H587" s="35">
        <v>0</v>
      </c>
      <c r="I587" s="8">
        <f t="shared" ref="I587" si="1619">(IF(D587="SELL",E587-F587,IF(D587="BUY",F587-E587)))*C587</f>
        <v>2500</v>
      </c>
      <c r="J587" s="8">
        <f>C587*0.7</f>
        <v>3500</v>
      </c>
      <c r="K587" s="2">
        <v>0</v>
      </c>
      <c r="L587" s="8">
        <f t="shared" ref="L587" si="1620">(J587+I587+K587)/C587</f>
        <v>1.2</v>
      </c>
      <c r="M587" s="8">
        <f t="shared" ref="M587" si="1621">L587*C587</f>
        <v>6000</v>
      </c>
    </row>
    <row r="588" spans="1:13" ht="15.75" customHeight="1" x14ac:dyDescent="0.25">
      <c r="A588" s="24">
        <v>44082</v>
      </c>
      <c r="B588" s="29" t="s">
        <v>14</v>
      </c>
      <c r="C588" s="11">
        <v>30</v>
      </c>
      <c r="D588" s="11" t="s">
        <v>11</v>
      </c>
      <c r="E588" s="11">
        <v>68350</v>
      </c>
      <c r="F588" s="11">
        <v>68150</v>
      </c>
      <c r="G588" s="34">
        <v>67900</v>
      </c>
      <c r="H588" s="35">
        <v>0</v>
      </c>
      <c r="I588" s="8">
        <f t="shared" ref="I588" si="1622">(IF(D588="SELL",E588-F588,IF(D588="BUY",F588-E588)))*C588</f>
        <v>6000</v>
      </c>
      <c r="J588" s="8">
        <f>C588*250</f>
        <v>7500</v>
      </c>
      <c r="K588" s="2">
        <v>0</v>
      </c>
      <c r="L588" s="8">
        <f t="shared" ref="L588" si="1623">(J588+I588+K588)/C588</f>
        <v>450</v>
      </c>
      <c r="M588" s="8">
        <f t="shared" ref="M588" si="1624">L588*C588</f>
        <v>13500</v>
      </c>
    </row>
    <row r="589" spans="1:13" ht="15.75" customHeight="1" x14ac:dyDescent="0.25">
      <c r="A589" s="24">
        <v>44082</v>
      </c>
      <c r="B589" s="29" t="s">
        <v>16</v>
      </c>
      <c r="C589" s="11">
        <v>100</v>
      </c>
      <c r="D589" s="11" t="s">
        <v>11</v>
      </c>
      <c r="E589" s="11">
        <v>2850</v>
      </c>
      <c r="F589" s="11">
        <v>2830</v>
      </c>
      <c r="G589" s="34">
        <v>2800</v>
      </c>
      <c r="H589" s="35">
        <v>0</v>
      </c>
      <c r="I589" s="8">
        <f t="shared" ref="I589" si="1625">(IF(D589="SELL",E589-F589,IF(D589="BUY",F589-E589)))*C589</f>
        <v>2000</v>
      </c>
      <c r="J589" s="8">
        <f>C589*30</f>
        <v>3000</v>
      </c>
      <c r="K589" s="2">
        <v>0</v>
      </c>
      <c r="L589" s="8">
        <f t="shared" ref="L589" si="1626">(J589+I589+K589)/C589</f>
        <v>50</v>
      </c>
      <c r="M589" s="8">
        <f t="shared" ref="M589" si="1627">L589*C589</f>
        <v>5000</v>
      </c>
    </row>
    <row r="590" spans="1:13" ht="15.75" customHeight="1" x14ac:dyDescent="0.25">
      <c r="A590" s="24">
        <v>44082</v>
      </c>
      <c r="B590" s="29" t="s">
        <v>19</v>
      </c>
      <c r="C590" s="11">
        <v>100</v>
      </c>
      <c r="D590" s="11" t="s">
        <v>11</v>
      </c>
      <c r="E590" s="11">
        <v>51020</v>
      </c>
      <c r="F590" s="11">
        <v>50970</v>
      </c>
      <c r="G590" s="34">
        <v>50900</v>
      </c>
      <c r="H590" s="35">
        <v>0</v>
      </c>
      <c r="I590" s="8">
        <f t="shared" ref="I590" si="1628">(IF(D590="SELL",E590-F590,IF(D590="BUY",F590-E590)))*C590</f>
        <v>5000</v>
      </c>
      <c r="J590" s="8">
        <f>C590*70</f>
        <v>7000</v>
      </c>
      <c r="K590" s="2">
        <v>0</v>
      </c>
      <c r="L590" s="8">
        <f t="shared" ref="L590" si="1629">(J590+I590+K590)/C590</f>
        <v>120</v>
      </c>
      <c r="M590" s="8">
        <f t="shared" ref="M590" si="1630">L590*C590</f>
        <v>12000</v>
      </c>
    </row>
    <row r="591" spans="1:13" ht="15.75" customHeight="1" x14ac:dyDescent="0.25">
      <c r="A591" s="24">
        <v>44082</v>
      </c>
      <c r="B591" s="29" t="s">
        <v>18</v>
      </c>
      <c r="C591" s="11">
        <v>2500</v>
      </c>
      <c r="D591" s="11" t="s">
        <v>10</v>
      </c>
      <c r="E591" s="11">
        <v>527.5</v>
      </c>
      <c r="F591" s="11">
        <v>525</v>
      </c>
      <c r="G591" s="34">
        <v>0</v>
      </c>
      <c r="H591" s="35">
        <v>0</v>
      </c>
      <c r="I591" s="8">
        <f t="shared" ref="I591" si="1631">(IF(D591="SELL",E591-F591,IF(D591="BUY",F591-E591)))*C591</f>
        <v>-6250</v>
      </c>
      <c r="J591" s="8">
        <v>0</v>
      </c>
      <c r="K591" s="2">
        <v>0</v>
      </c>
      <c r="L591" s="8">
        <f t="shared" ref="L591" si="1632">(J591+I591+K591)/C591</f>
        <v>-2.5</v>
      </c>
      <c r="M591" s="8">
        <f t="shared" ref="M591" si="1633">L591*C591</f>
        <v>-6250</v>
      </c>
    </row>
    <row r="592" spans="1:13" ht="15.75" customHeight="1" x14ac:dyDescent="0.25">
      <c r="A592" s="24">
        <v>44081</v>
      </c>
      <c r="B592" s="29" t="s">
        <v>14</v>
      </c>
      <c r="C592" s="11">
        <v>30</v>
      </c>
      <c r="D592" s="11" t="s">
        <v>10</v>
      </c>
      <c r="E592" s="11">
        <v>68100</v>
      </c>
      <c r="F592" s="11">
        <v>68250</v>
      </c>
      <c r="G592" s="34">
        <v>68400</v>
      </c>
      <c r="H592" s="35">
        <v>0</v>
      </c>
      <c r="I592" s="8">
        <f t="shared" ref="I592" si="1634">(IF(D592="SELL",E592-F592,IF(D592="BUY",F592-E592)))*C592</f>
        <v>4500</v>
      </c>
      <c r="J592" s="8">
        <f>C592*150</f>
        <v>4500</v>
      </c>
      <c r="K592" s="2">
        <v>0</v>
      </c>
      <c r="L592" s="8">
        <f t="shared" ref="L592" si="1635">(J592+I592+K592)/C592</f>
        <v>300</v>
      </c>
      <c r="M592" s="8">
        <f t="shared" ref="M592" si="1636">L592*C592</f>
        <v>9000</v>
      </c>
    </row>
    <row r="593" spans="1:13" ht="15.75" customHeight="1" x14ac:dyDescent="0.25">
      <c r="A593" s="24">
        <v>44081</v>
      </c>
      <c r="B593" s="29" t="s">
        <v>21</v>
      </c>
      <c r="C593" s="11">
        <v>1500</v>
      </c>
      <c r="D593" s="11" t="s">
        <v>10</v>
      </c>
      <c r="E593" s="11">
        <v>1124</v>
      </c>
      <c r="F593" s="11">
        <v>1121</v>
      </c>
      <c r="G593" s="34">
        <v>0</v>
      </c>
      <c r="H593" s="35">
        <v>0</v>
      </c>
      <c r="I593" s="8">
        <f t="shared" ref="I593" si="1637">(IF(D593="SELL",E593-F593,IF(D593="BUY",F593-E593)))*C593</f>
        <v>-4500</v>
      </c>
      <c r="J593" s="8">
        <v>0</v>
      </c>
      <c r="K593" s="2">
        <v>0</v>
      </c>
      <c r="L593" s="8">
        <f t="shared" ref="L593" si="1638">(J593+I593+K593)/C593</f>
        <v>-3</v>
      </c>
      <c r="M593" s="8">
        <f t="shared" ref="M593" si="1639">L593*C593</f>
        <v>-4500</v>
      </c>
    </row>
    <row r="594" spans="1:13" ht="15.75" customHeight="1" x14ac:dyDescent="0.25">
      <c r="A594" s="24">
        <v>44081</v>
      </c>
      <c r="B594" s="29" t="s">
        <v>16</v>
      </c>
      <c r="C594" s="11">
        <v>100</v>
      </c>
      <c r="D594" s="11" t="s">
        <v>11</v>
      </c>
      <c r="E594" s="11">
        <v>2865</v>
      </c>
      <c r="F594" s="11">
        <v>2900</v>
      </c>
      <c r="G594" s="34">
        <v>0</v>
      </c>
      <c r="H594" s="35">
        <v>0</v>
      </c>
      <c r="I594" s="8">
        <f t="shared" ref="I594" si="1640">(IF(D594="SELL",E594-F594,IF(D594="BUY",F594-E594)))*C594</f>
        <v>-3500</v>
      </c>
      <c r="J594" s="8">
        <v>0</v>
      </c>
      <c r="K594" s="2">
        <v>0</v>
      </c>
      <c r="L594" s="8">
        <f t="shared" ref="L594" si="1641">(J594+I594+K594)/C594</f>
        <v>-35</v>
      </c>
      <c r="M594" s="8">
        <f t="shared" ref="M594" si="1642">L594*C594</f>
        <v>-3500</v>
      </c>
    </row>
    <row r="595" spans="1:13" ht="15.75" customHeight="1" x14ac:dyDescent="0.25">
      <c r="A595" s="24">
        <v>44081</v>
      </c>
      <c r="B595" s="29" t="s">
        <v>19</v>
      </c>
      <c r="C595" s="11">
        <v>100</v>
      </c>
      <c r="D595" s="11" t="s">
        <v>10</v>
      </c>
      <c r="E595" s="11">
        <v>50800</v>
      </c>
      <c r="F595" s="11">
        <v>50850</v>
      </c>
      <c r="G595" s="34">
        <v>50920</v>
      </c>
      <c r="H595" s="35">
        <v>0</v>
      </c>
      <c r="I595" s="8">
        <f t="shared" ref="I595" si="1643">(IF(D595="SELL",E595-F595,IF(D595="BUY",F595-E595)))*C595</f>
        <v>5000</v>
      </c>
      <c r="J595" s="8">
        <f>C595*70</f>
        <v>7000</v>
      </c>
      <c r="K595" s="2">
        <v>0</v>
      </c>
      <c r="L595" s="8">
        <f t="shared" ref="L595" si="1644">(J595+I595+K595)/C595</f>
        <v>120</v>
      </c>
      <c r="M595" s="8">
        <f t="shared" ref="M595" si="1645">L595*C595</f>
        <v>12000</v>
      </c>
    </row>
    <row r="596" spans="1:13" ht="15.75" customHeight="1" x14ac:dyDescent="0.25">
      <c r="A596" s="24">
        <v>44081</v>
      </c>
      <c r="B596" s="29" t="s">
        <v>18</v>
      </c>
      <c r="C596" s="11">
        <v>2500</v>
      </c>
      <c r="D596" s="11" t="s">
        <v>11</v>
      </c>
      <c r="E596" s="11">
        <v>524.5</v>
      </c>
      <c r="F596" s="11">
        <v>526.5</v>
      </c>
      <c r="G596" s="34">
        <v>0</v>
      </c>
      <c r="H596" s="35">
        <v>0</v>
      </c>
      <c r="I596" s="8">
        <f t="shared" ref="I596" si="1646">(IF(D596="SELL",E596-F596,IF(D596="BUY",F596-E596)))*C596</f>
        <v>-5000</v>
      </c>
      <c r="J596" s="8">
        <v>0</v>
      </c>
      <c r="K596" s="2">
        <v>0</v>
      </c>
      <c r="L596" s="8">
        <f t="shared" ref="L596" si="1647">(J596+I596+K596)/C596</f>
        <v>-2</v>
      </c>
      <c r="M596" s="8">
        <f t="shared" ref="M596" si="1648">L596*C596</f>
        <v>-5000</v>
      </c>
    </row>
    <row r="597" spans="1:13" ht="15.75" customHeight="1" x14ac:dyDescent="0.25">
      <c r="A597" s="24">
        <v>44078</v>
      </c>
      <c r="B597" s="29" t="s">
        <v>14</v>
      </c>
      <c r="C597" s="11">
        <v>30</v>
      </c>
      <c r="D597" s="11" t="s">
        <v>10</v>
      </c>
      <c r="E597" s="11">
        <v>67450</v>
      </c>
      <c r="F597" s="11">
        <v>67200</v>
      </c>
      <c r="G597" s="34">
        <v>0</v>
      </c>
      <c r="H597" s="35">
        <v>0</v>
      </c>
      <c r="I597" s="8">
        <f t="shared" ref="I597" si="1649">(IF(D597="SELL",E597-F597,IF(D597="BUY",F597-E597)))*C597</f>
        <v>-7500</v>
      </c>
      <c r="J597" s="8">
        <v>0</v>
      </c>
      <c r="K597" s="2">
        <v>0</v>
      </c>
      <c r="L597" s="8">
        <f t="shared" ref="L597" si="1650">(J597+I597+K597)/C597</f>
        <v>-250</v>
      </c>
      <c r="M597" s="8">
        <f t="shared" ref="M597" si="1651">L597*C597</f>
        <v>-7500</v>
      </c>
    </row>
    <row r="598" spans="1:13" ht="15.75" customHeight="1" x14ac:dyDescent="0.25">
      <c r="A598" s="24">
        <v>44078</v>
      </c>
      <c r="B598" s="29" t="s">
        <v>19</v>
      </c>
      <c r="C598" s="11">
        <v>100</v>
      </c>
      <c r="D598" s="11" t="s">
        <v>10</v>
      </c>
      <c r="E598" s="11">
        <v>50930</v>
      </c>
      <c r="F598" s="11">
        <v>50980</v>
      </c>
      <c r="G598" s="34">
        <v>51030</v>
      </c>
      <c r="H598" s="35">
        <v>0</v>
      </c>
      <c r="I598" s="8">
        <f t="shared" ref="I598" si="1652">(IF(D598="SELL",E598-F598,IF(D598="BUY",F598-E598)))*C598</f>
        <v>5000</v>
      </c>
      <c r="J598" s="8">
        <f>C598*50</f>
        <v>5000</v>
      </c>
      <c r="K598" s="2">
        <v>0</v>
      </c>
      <c r="L598" s="8">
        <f t="shared" ref="L598" si="1653">(J598+I598+K598)/C598</f>
        <v>100</v>
      </c>
      <c r="M598" s="8">
        <f t="shared" ref="M598" si="1654">L598*C598</f>
        <v>10000</v>
      </c>
    </row>
    <row r="599" spans="1:13" ht="15.75" customHeight="1" x14ac:dyDescent="0.25">
      <c r="A599" s="24">
        <v>44078</v>
      </c>
      <c r="B599" s="29" t="s">
        <v>16</v>
      </c>
      <c r="C599" s="11">
        <v>100</v>
      </c>
      <c r="D599" s="11" t="s">
        <v>10</v>
      </c>
      <c r="E599" s="11">
        <v>3060</v>
      </c>
      <c r="F599" s="11">
        <v>3020</v>
      </c>
      <c r="G599" s="34">
        <v>0</v>
      </c>
      <c r="H599" s="35">
        <v>0</v>
      </c>
      <c r="I599" s="8">
        <f t="shared" ref="I599" si="1655">(IF(D599="SELL",E599-F599,IF(D599="BUY",F599-E599)))*C599</f>
        <v>-4000</v>
      </c>
      <c r="J599" s="8">
        <v>0</v>
      </c>
      <c r="K599" s="2">
        <v>0</v>
      </c>
      <c r="L599" s="8">
        <f t="shared" ref="L599" si="1656">(J599+I599+K599)/C599</f>
        <v>-40</v>
      </c>
      <c r="M599" s="8">
        <f t="shared" ref="M599" si="1657">L599*C599</f>
        <v>-4000</v>
      </c>
    </row>
    <row r="600" spans="1:13" ht="15.75" customHeight="1" x14ac:dyDescent="0.25">
      <c r="A600" s="24">
        <v>44078</v>
      </c>
      <c r="B600" s="29" t="s">
        <v>52</v>
      </c>
      <c r="C600" s="11">
        <v>1250</v>
      </c>
      <c r="D600" s="11" t="s">
        <v>11</v>
      </c>
      <c r="E600" s="11">
        <v>182.2</v>
      </c>
      <c r="F600" s="11">
        <v>184</v>
      </c>
      <c r="G600" s="34">
        <v>0</v>
      </c>
      <c r="H600" s="35">
        <v>0</v>
      </c>
      <c r="I600" s="8">
        <f t="shared" ref="I600" si="1658">(IF(D600="SELL",E600-F600,IF(D600="BUY",F600-E600)))*C600</f>
        <v>-2250.0000000000141</v>
      </c>
      <c r="J600" s="8">
        <v>0</v>
      </c>
      <c r="K600" s="2">
        <v>0</v>
      </c>
      <c r="L600" s="8">
        <f t="shared" ref="L600" si="1659">(J600+I600+K600)/C600</f>
        <v>-1.8000000000000114</v>
      </c>
      <c r="M600" s="8">
        <f t="shared" ref="M600" si="1660">L600*C600</f>
        <v>-2250.0000000000141</v>
      </c>
    </row>
    <row r="601" spans="1:13" ht="15.75" customHeight="1" x14ac:dyDescent="0.25">
      <c r="A601" s="24">
        <v>44078</v>
      </c>
      <c r="B601" s="29" t="s">
        <v>17</v>
      </c>
      <c r="C601" s="11">
        <v>5000</v>
      </c>
      <c r="D601" s="11" t="s">
        <v>11</v>
      </c>
      <c r="E601" s="11">
        <v>193.3</v>
      </c>
      <c r="F601" s="11">
        <v>194.3</v>
      </c>
      <c r="G601" s="34">
        <v>0</v>
      </c>
      <c r="H601" s="35">
        <v>0</v>
      </c>
      <c r="I601" s="8">
        <f t="shared" ref="I601" si="1661">(IF(D601="SELL",E601-F601,IF(D601="BUY",F601-E601)))*C601</f>
        <v>-5000</v>
      </c>
      <c r="J601" s="8">
        <v>0</v>
      </c>
      <c r="K601" s="2">
        <v>0</v>
      </c>
      <c r="L601" s="8">
        <f t="shared" ref="L601" si="1662">(J601+I601+K601)/C601</f>
        <v>-1</v>
      </c>
      <c r="M601" s="8">
        <f t="shared" ref="M601" si="1663">L601*C601</f>
        <v>-5000</v>
      </c>
    </row>
    <row r="602" spans="1:13" ht="15.75" customHeight="1" x14ac:dyDescent="0.25">
      <c r="A602" s="24">
        <v>44078</v>
      </c>
      <c r="B602" s="29" t="s">
        <v>14</v>
      </c>
      <c r="C602" s="11">
        <v>30</v>
      </c>
      <c r="D602" s="11" t="s">
        <v>11</v>
      </c>
      <c r="E602" s="11">
        <v>66730</v>
      </c>
      <c r="F602" s="11">
        <v>66580</v>
      </c>
      <c r="G602" s="34">
        <v>0</v>
      </c>
      <c r="H602" s="35">
        <v>0</v>
      </c>
      <c r="I602" s="8">
        <f t="shared" ref="I602" si="1664">(IF(D602="SELL",E602-F602,IF(D602="BUY",F602-E602)))*C602</f>
        <v>4500</v>
      </c>
      <c r="J602" s="8">
        <v>0</v>
      </c>
      <c r="K602" s="2">
        <v>0</v>
      </c>
      <c r="L602" s="8">
        <f t="shared" ref="L602" si="1665">(J602+I602+K602)/C602</f>
        <v>150</v>
      </c>
      <c r="M602" s="8">
        <f t="shared" ref="M602" si="1666">L602*C602</f>
        <v>4500</v>
      </c>
    </row>
    <row r="603" spans="1:13" ht="15.75" customHeight="1" x14ac:dyDescent="0.25">
      <c r="A603" s="24">
        <v>44077</v>
      </c>
      <c r="B603" s="29" t="s">
        <v>21</v>
      </c>
      <c r="C603" s="11">
        <v>1500</v>
      </c>
      <c r="D603" s="11" t="s">
        <v>11</v>
      </c>
      <c r="E603" s="11">
        <v>1121</v>
      </c>
      <c r="F603" s="11">
        <v>1126</v>
      </c>
      <c r="G603" s="34">
        <v>0</v>
      </c>
      <c r="H603" s="35">
        <v>0</v>
      </c>
      <c r="I603" s="8">
        <f t="shared" ref="I603" si="1667">(IF(D603="SELL",E603-F603,IF(D603="BUY",F603-E603)))*C603</f>
        <v>-7500</v>
      </c>
      <c r="J603" s="8">
        <v>0</v>
      </c>
      <c r="K603" s="2">
        <v>0</v>
      </c>
      <c r="L603" s="8">
        <f t="shared" ref="L603" si="1668">(J603+I603+K603)/C603</f>
        <v>-5</v>
      </c>
      <c r="M603" s="8">
        <f t="shared" ref="M603" si="1669">L603*C603</f>
        <v>-7500</v>
      </c>
    </row>
    <row r="604" spans="1:13" ht="15.75" customHeight="1" x14ac:dyDescent="0.25">
      <c r="A604" s="24">
        <v>44077</v>
      </c>
      <c r="B604" s="29" t="s">
        <v>16</v>
      </c>
      <c r="C604" s="11">
        <v>100</v>
      </c>
      <c r="D604" s="11" t="s">
        <v>11</v>
      </c>
      <c r="E604" s="11">
        <v>3005</v>
      </c>
      <c r="F604" s="11">
        <v>2985</v>
      </c>
      <c r="G604" s="34">
        <v>2960</v>
      </c>
      <c r="H604" s="35">
        <v>0</v>
      </c>
      <c r="I604" s="8">
        <f t="shared" ref="I604" si="1670">(IF(D604="SELL",E604-F604,IF(D604="BUY",F604-E604)))*C604</f>
        <v>2000</v>
      </c>
      <c r="J604" s="8">
        <f>C604*25</f>
        <v>2500</v>
      </c>
      <c r="K604" s="2">
        <v>0</v>
      </c>
      <c r="L604" s="8">
        <f t="shared" ref="L604" si="1671">(J604+I604+K604)/C604</f>
        <v>45</v>
      </c>
      <c r="M604" s="8">
        <f t="shared" ref="M604" si="1672">L604*C604</f>
        <v>4500</v>
      </c>
    </row>
    <row r="605" spans="1:13" ht="15.75" customHeight="1" x14ac:dyDescent="0.25">
      <c r="A605" s="24">
        <v>44077</v>
      </c>
      <c r="B605" s="29" t="s">
        <v>21</v>
      </c>
      <c r="C605" s="11">
        <v>1500</v>
      </c>
      <c r="D605" s="11" t="s">
        <v>10</v>
      </c>
      <c r="E605" s="11">
        <v>1124</v>
      </c>
      <c r="F605" s="11">
        <v>1127</v>
      </c>
      <c r="G605" s="34">
        <v>0</v>
      </c>
      <c r="H605" s="35">
        <v>0</v>
      </c>
      <c r="I605" s="8">
        <f t="shared" ref="I605" si="1673">(IF(D605="SELL",E605-F605,IF(D605="BUY",F605-E605)))*C605</f>
        <v>4500</v>
      </c>
      <c r="J605" s="8">
        <v>0</v>
      </c>
      <c r="K605" s="2">
        <v>0</v>
      </c>
      <c r="L605" s="8">
        <f t="shared" ref="L605" si="1674">(J605+I605+K605)/C605</f>
        <v>3</v>
      </c>
      <c r="M605" s="8">
        <f t="shared" ref="M605" si="1675">L605*C605</f>
        <v>4500</v>
      </c>
    </row>
    <row r="606" spans="1:13" ht="15.75" customHeight="1" x14ac:dyDescent="0.25">
      <c r="A606" s="24">
        <v>44077</v>
      </c>
      <c r="B606" s="29" t="s">
        <v>18</v>
      </c>
      <c r="C606" s="11">
        <v>2500</v>
      </c>
      <c r="D606" s="11" t="s">
        <v>11</v>
      </c>
      <c r="E606" s="11">
        <v>519.1</v>
      </c>
      <c r="F606" s="11">
        <v>518</v>
      </c>
      <c r="G606" s="34">
        <v>516</v>
      </c>
      <c r="H606" s="35">
        <v>0</v>
      </c>
      <c r="I606" s="8">
        <f t="shared" ref="I606" si="1676">(IF(D606="SELL",E606-F606,IF(D606="BUY",F606-E606)))*C606</f>
        <v>2750.0000000000568</v>
      </c>
      <c r="J606" s="8">
        <f>C606*2</f>
        <v>5000</v>
      </c>
      <c r="K606" s="2">
        <v>0</v>
      </c>
      <c r="L606" s="8">
        <f t="shared" ref="L606" si="1677">(J606+I606+K606)/C606</f>
        <v>3.1000000000000227</v>
      </c>
      <c r="M606" s="8">
        <f t="shared" ref="M606" si="1678">L606*C606</f>
        <v>7750.0000000000564</v>
      </c>
    </row>
    <row r="607" spans="1:13" ht="15.75" customHeight="1" x14ac:dyDescent="0.25">
      <c r="A607" s="24">
        <v>44077</v>
      </c>
      <c r="B607" s="29" t="s">
        <v>52</v>
      </c>
      <c r="C607" s="11">
        <v>1250</v>
      </c>
      <c r="D607" s="11" t="s">
        <v>10</v>
      </c>
      <c r="E607" s="11">
        <v>183.9</v>
      </c>
      <c r="F607" s="11">
        <v>181.4</v>
      </c>
      <c r="G607" s="34">
        <v>0</v>
      </c>
      <c r="H607" s="35">
        <v>0</v>
      </c>
      <c r="I607" s="8">
        <f t="shared" ref="I607" si="1679">(IF(D607="SELL",E607-F607,IF(D607="BUY",F607-E607)))*C607</f>
        <v>-3125</v>
      </c>
      <c r="J607" s="8">
        <v>0</v>
      </c>
      <c r="K607" s="2">
        <v>0</v>
      </c>
      <c r="L607" s="8">
        <f t="shared" ref="L607" si="1680">(J607+I607+K607)/C607</f>
        <v>-2.5</v>
      </c>
      <c r="M607" s="8">
        <f t="shared" ref="M607" si="1681">L607*C607</f>
        <v>-3125</v>
      </c>
    </row>
    <row r="608" spans="1:13" ht="15.75" customHeight="1" x14ac:dyDescent="0.25">
      <c r="A608" s="24">
        <v>44077</v>
      </c>
      <c r="B608" s="29" t="s">
        <v>17</v>
      </c>
      <c r="C608" s="11">
        <v>5000</v>
      </c>
      <c r="D608" s="11" t="s">
        <v>11</v>
      </c>
      <c r="E608" s="11">
        <v>196.1</v>
      </c>
      <c r="F608" s="11">
        <v>195.6</v>
      </c>
      <c r="G608" s="34">
        <v>195</v>
      </c>
      <c r="H608" s="35">
        <v>0</v>
      </c>
      <c r="I608" s="8">
        <f t="shared" ref="I608" si="1682">(IF(D608="SELL",E608-F608,IF(D608="BUY",F608-E608)))*C608</f>
        <v>2500</v>
      </c>
      <c r="J608" s="8">
        <f>C608*0.6</f>
        <v>3000</v>
      </c>
      <c r="K608" s="2">
        <v>0</v>
      </c>
      <c r="L608" s="8">
        <f t="shared" ref="L608" si="1683">(J608+I608+K608)/C608</f>
        <v>1.1000000000000001</v>
      </c>
      <c r="M608" s="8">
        <f t="shared" ref="M608" si="1684">L608*C608</f>
        <v>5500</v>
      </c>
    </row>
    <row r="609" spans="1:13" ht="15.75" customHeight="1" x14ac:dyDescent="0.25">
      <c r="A609" s="24">
        <v>44077</v>
      </c>
      <c r="B609" s="29" t="s">
        <v>14</v>
      </c>
      <c r="C609" s="11">
        <v>30</v>
      </c>
      <c r="D609" s="11" t="s">
        <v>11</v>
      </c>
      <c r="E609" s="11">
        <v>67720</v>
      </c>
      <c r="F609" s="11">
        <v>67570</v>
      </c>
      <c r="G609" s="34">
        <v>67420</v>
      </c>
      <c r="H609" s="35">
        <v>0</v>
      </c>
      <c r="I609" s="8">
        <f t="shared" ref="I609" si="1685">(IF(D609="SELL",E609-F609,IF(D609="BUY",F609-E609)))*C609</f>
        <v>4500</v>
      </c>
      <c r="J609" s="8">
        <f>C609*150</f>
        <v>4500</v>
      </c>
      <c r="K609" s="2">
        <v>0</v>
      </c>
      <c r="L609" s="8">
        <f t="shared" ref="L609" si="1686">(J609+I609+K609)/C609</f>
        <v>300</v>
      </c>
      <c r="M609" s="8">
        <f t="shared" ref="M609" si="1687">L609*C609</f>
        <v>9000</v>
      </c>
    </row>
    <row r="610" spans="1:13" ht="15.75" customHeight="1" x14ac:dyDescent="0.25">
      <c r="A610" s="24">
        <v>44077</v>
      </c>
      <c r="B610" s="29" t="s">
        <v>19</v>
      </c>
      <c r="C610" s="11">
        <v>100</v>
      </c>
      <c r="D610" s="11" t="s">
        <v>11</v>
      </c>
      <c r="E610" s="11">
        <v>50750</v>
      </c>
      <c r="F610" s="11">
        <v>50700</v>
      </c>
      <c r="G610" s="34">
        <v>50650</v>
      </c>
      <c r="H610" s="35">
        <v>0</v>
      </c>
      <c r="I610" s="8">
        <f t="shared" ref="I610" si="1688">(IF(D610="SELL",E610-F610,IF(D610="BUY",F610-E610)))*C610</f>
        <v>5000</v>
      </c>
      <c r="J610" s="8">
        <f>C610*150</f>
        <v>15000</v>
      </c>
      <c r="K610" s="2">
        <v>0</v>
      </c>
      <c r="L610" s="8">
        <f t="shared" ref="L610" si="1689">(J610+I610+K610)/C610</f>
        <v>200</v>
      </c>
      <c r="M610" s="8">
        <f t="shared" ref="M610" si="1690">L610*C610</f>
        <v>20000</v>
      </c>
    </row>
    <row r="611" spans="1:13" ht="15.75" customHeight="1" x14ac:dyDescent="0.25">
      <c r="A611" s="24">
        <v>44076</v>
      </c>
      <c r="B611" s="29" t="s">
        <v>21</v>
      </c>
      <c r="C611" s="11">
        <v>1500</v>
      </c>
      <c r="D611" s="11" t="s">
        <v>10</v>
      </c>
      <c r="E611" s="11">
        <v>1151</v>
      </c>
      <c r="F611" s="11">
        <v>1147</v>
      </c>
      <c r="G611" s="34">
        <v>0</v>
      </c>
      <c r="H611" s="35">
        <v>0</v>
      </c>
      <c r="I611" s="8">
        <f t="shared" ref="I611" si="1691">(IF(D611="SELL",E611-F611,IF(D611="BUY",F611-E611)))*C611</f>
        <v>-6000</v>
      </c>
      <c r="J611" s="8">
        <v>0</v>
      </c>
      <c r="K611" s="2">
        <v>0</v>
      </c>
      <c r="L611" s="8">
        <f t="shared" ref="L611" si="1692">(J611+I611+K611)/C611</f>
        <v>-4</v>
      </c>
      <c r="M611" s="8">
        <f t="shared" ref="M611" si="1693">L611*C611</f>
        <v>-6000</v>
      </c>
    </row>
    <row r="612" spans="1:13" ht="15.75" customHeight="1" x14ac:dyDescent="0.25">
      <c r="A612" s="24">
        <v>44076</v>
      </c>
      <c r="B612" s="29" t="s">
        <v>19</v>
      </c>
      <c r="C612" s="11">
        <v>100</v>
      </c>
      <c r="D612" s="11" t="s">
        <v>11</v>
      </c>
      <c r="E612" s="11">
        <v>51210</v>
      </c>
      <c r="F612" s="11">
        <v>51300</v>
      </c>
      <c r="G612" s="34">
        <v>0</v>
      </c>
      <c r="H612" s="35">
        <v>0</v>
      </c>
      <c r="I612" s="8">
        <f t="shared" ref="I612" si="1694">(IF(D612="SELL",E612-F612,IF(D612="BUY",F612-E612)))*C612</f>
        <v>-9000</v>
      </c>
      <c r="J612" s="8">
        <v>0</v>
      </c>
      <c r="K612" s="2">
        <v>0</v>
      </c>
      <c r="L612" s="8">
        <f t="shared" ref="L612" si="1695">(J612+I612+K612)/C612</f>
        <v>-90</v>
      </c>
      <c r="M612" s="8">
        <f t="shared" ref="M612" si="1696">L612*C612</f>
        <v>-9000</v>
      </c>
    </row>
    <row r="613" spans="1:13" ht="15.75" customHeight="1" x14ac:dyDescent="0.25">
      <c r="A613" s="24">
        <v>44076</v>
      </c>
      <c r="B613" s="29" t="s">
        <v>17</v>
      </c>
      <c r="C613" s="11">
        <v>5000</v>
      </c>
      <c r="D613" s="11" t="s">
        <v>10</v>
      </c>
      <c r="E613" s="11">
        <v>198.7</v>
      </c>
      <c r="F613" s="11">
        <v>197.7</v>
      </c>
      <c r="G613" s="34">
        <v>0</v>
      </c>
      <c r="H613" s="35">
        <v>0</v>
      </c>
      <c r="I613" s="8">
        <f t="shared" ref="I613" si="1697">(IF(D613="SELL",E613-F613,IF(D613="BUY",F613-E613)))*C613</f>
        <v>-5000</v>
      </c>
      <c r="J613" s="8">
        <v>0</v>
      </c>
      <c r="K613" s="2">
        <v>0</v>
      </c>
      <c r="L613" s="8">
        <f t="shared" ref="L613" si="1698">(J613+I613+K613)/C613</f>
        <v>-1</v>
      </c>
      <c r="M613" s="8">
        <f t="shared" ref="M613" si="1699">L613*C613</f>
        <v>-5000</v>
      </c>
    </row>
    <row r="614" spans="1:13" ht="15.75" customHeight="1" x14ac:dyDescent="0.25">
      <c r="A614" s="24">
        <v>44076</v>
      </c>
      <c r="B614" s="29" t="s">
        <v>52</v>
      </c>
      <c r="C614" s="11">
        <v>1250</v>
      </c>
      <c r="D614" s="11" t="s">
        <v>11</v>
      </c>
      <c r="E614" s="11">
        <v>179.6</v>
      </c>
      <c r="F614" s="11">
        <v>178.5</v>
      </c>
      <c r="G614" s="34">
        <v>0</v>
      </c>
      <c r="H614" s="35">
        <v>0</v>
      </c>
      <c r="I614" s="8">
        <f t="shared" ref="I614" si="1700">(IF(D614="SELL",E614-F614,IF(D614="BUY",F614-E614)))*C614</f>
        <v>1374.999999999993</v>
      </c>
      <c r="J614" s="8">
        <v>0</v>
      </c>
      <c r="K614" s="2">
        <v>0</v>
      </c>
      <c r="L614" s="8">
        <f t="shared" ref="L614" si="1701">(J614+I614+K614)/C614</f>
        <v>1.0999999999999943</v>
      </c>
      <c r="M614" s="8">
        <f t="shared" ref="M614" si="1702">L614*C614</f>
        <v>1374.999999999993</v>
      </c>
    </row>
    <row r="615" spans="1:13" ht="15.75" customHeight="1" x14ac:dyDescent="0.25">
      <c r="A615" s="24">
        <v>44076</v>
      </c>
      <c r="B615" s="29" t="s">
        <v>14</v>
      </c>
      <c r="C615" s="11">
        <v>30</v>
      </c>
      <c r="D615" s="11" t="s">
        <v>10</v>
      </c>
      <c r="E615" s="11">
        <v>69300</v>
      </c>
      <c r="F615" s="11">
        <v>69450</v>
      </c>
      <c r="G615" s="34">
        <v>0</v>
      </c>
      <c r="H615" s="35">
        <v>0</v>
      </c>
      <c r="I615" s="8">
        <f t="shared" ref="I615" si="1703">(IF(D615="SELL",E615-F615,IF(D615="BUY",F615-E615)))*C615</f>
        <v>4500</v>
      </c>
      <c r="J615" s="8">
        <v>0</v>
      </c>
      <c r="K615" s="2">
        <v>0</v>
      </c>
      <c r="L615" s="8">
        <f t="shared" ref="L615" si="1704">(J615+I615+K615)/C615</f>
        <v>150</v>
      </c>
      <c r="M615" s="8">
        <f t="shared" ref="M615" si="1705">L615*C615</f>
        <v>4500</v>
      </c>
    </row>
    <row r="616" spans="1:13" ht="15.75" customHeight="1" x14ac:dyDescent="0.25">
      <c r="A616" s="24">
        <v>44076</v>
      </c>
      <c r="B616" s="29" t="s">
        <v>16</v>
      </c>
      <c r="C616" s="11">
        <v>100</v>
      </c>
      <c r="D616" s="11" t="s">
        <v>11</v>
      </c>
      <c r="E616" s="11">
        <v>3137</v>
      </c>
      <c r="F616" s="11">
        <v>3117</v>
      </c>
      <c r="G616" s="34">
        <v>3090</v>
      </c>
      <c r="H616" s="35">
        <v>0</v>
      </c>
      <c r="I616" s="8">
        <f t="shared" ref="I616" si="1706">(IF(D616="SELL",E616-F616,IF(D616="BUY",F616-E616)))*C616</f>
        <v>2000</v>
      </c>
      <c r="J616" s="8">
        <f>C616*27</f>
        <v>2700</v>
      </c>
      <c r="K616" s="2">
        <v>0</v>
      </c>
      <c r="L616" s="8">
        <f t="shared" ref="L616" si="1707">(J616+I616+K616)/C616</f>
        <v>47</v>
      </c>
      <c r="M616" s="8">
        <f t="shared" ref="M616" si="1708">L616*C616</f>
        <v>4700</v>
      </c>
    </row>
    <row r="617" spans="1:13" ht="15.75" customHeight="1" x14ac:dyDescent="0.25">
      <c r="A617" s="24">
        <v>44076</v>
      </c>
      <c r="B617" s="29" t="s">
        <v>19</v>
      </c>
      <c r="C617" s="11">
        <v>100</v>
      </c>
      <c r="D617" s="11" t="s">
        <v>10</v>
      </c>
      <c r="E617" s="11">
        <v>51370</v>
      </c>
      <c r="F617" s="11">
        <v>51420</v>
      </c>
      <c r="G617" s="34">
        <v>51470</v>
      </c>
      <c r="H617" s="35">
        <v>0</v>
      </c>
      <c r="I617" s="8">
        <f t="shared" ref="I617" si="1709">(IF(D617="SELL",E617-F617,IF(D617="BUY",F617-E617)))*C617</f>
        <v>5000</v>
      </c>
      <c r="J617" s="8">
        <f>C617*50</f>
        <v>5000</v>
      </c>
      <c r="K617" s="2">
        <v>0</v>
      </c>
      <c r="L617" s="8">
        <f t="shared" ref="L617" si="1710">(J617+I617+K617)/C617</f>
        <v>100</v>
      </c>
      <c r="M617" s="8">
        <f t="shared" ref="M617" si="1711">L617*C617</f>
        <v>10000</v>
      </c>
    </row>
    <row r="618" spans="1:13" ht="15.75" customHeight="1" x14ac:dyDescent="0.25">
      <c r="A618" s="24">
        <v>44076</v>
      </c>
      <c r="B618" s="29" t="s">
        <v>18</v>
      </c>
      <c r="C618" s="11">
        <v>2500</v>
      </c>
      <c r="D618" s="11" t="s">
        <v>10</v>
      </c>
      <c r="E618" s="11">
        <v>522</v>
      </c>
      <c r="F618" s="11">
        <v>523</v>
      </c>
      <c r="G618" s="34">
        <v>0</v>
      </c>
      <c r="H618" s="35">
        <v>0</v>
      </c>
      <c r="I618" s="8">
        <f t="shared" ref="I618" si="1712">(IF(D618="SELL",E618-F618,IF(D618="BUY",F618-E618)))*C618</f>
        <v>2500</v>
      </c>
      <c r="J618" s="8">
        <v>0</v>
      </c>
      <c r="K618" s="2">
        <v>0</v>
      </c>
      <c r="L618" s="8">
        <f t="shared" ref="L618" si="1713">(J618+I618+K618)/C618</f>
        <v>1</v>
      </c>
      <c r="M618" s="8">
        <f t="shared" ref="M618" si="1714">L618*C618</f>
        <v>2500</v>
      </c>
    </row>
    <row r="619" spans="1:13" ht="15.75" customHeight="1" x14ac:dyDescent="0.25">
      <c r="A619" s="24">
        <v>44076</v>
      </c>
      <c r="B619" s="29" t="s">
        <v>17</v>
      </c>
      <c r="C619" s="11">
        <v>5000</v>
      </c>
      <c r="D619" s="11" t="s">
        <v>11</v>
      </c>
      <c r="E619" s="11">
        <v>197.4</v>
      </c>
      <c r="F619" s="11">
        <v>198.4</v>
      </c>
      <c r="G619" s="34">
        <v>0</v>
      </c>
      <c r="H619" s="35">
        <v>0</v>
      </c>
      <c r="I619" s="8">
        <f t="shared" ref="I619" si="1715">(IF(D619="SELL",E619-F619,IF(D619="BUY",F619-E619)))*C619</f>
        <v>-5000</v>
      </c>
      <c r="J619" s="8">
        <v>0</v>
      </c>
      <c r="K619" s="2">
        <v>0</v>
      </c>
      <c r="L619" s="8">
        <f t="shared" ref="L619" si="1716">(J619+I619+K619)/C619</f>
        <v>-1</v>
      </c>
      <c r="M619" s="8">
        <f t="shared" ref="M619" si="1717">L619*C619</f>
        <v>-5000</v>
      </c>
    </row>
    <row r="620" spans="1:13" ht="15.75" customHeight="1" x14ac:dyDescent="0.25">
      <c r="A620" s="24">
        <v>44076</v>
      </c>
      <c r="B620" s="29" t="s">
        <v>52</v>
      </c>
      <c r="C620" s="11">
        <v>1250</v>
      </c>
      <c r="D620" s="11" t="s">
        <v>10</v>
      </c>
      <c r="E620" s="11">
        <v>185</v>
      </c>
      <c r="F620" s="11">
        <v>183</v>
      </c>
      <c r="G620" s="34">
        <v>0</v>
      </c>
      <c r="H620" s="35">
        <v>0</v>
      </c>
      <c r="I620" s="8">
        <f t="shared" ref="I620" si="1718">(IF(D620="SELL",E620-F620,IF(D620="BUY",F620-E620)))*C620</f>
        <v>-2500</v>
      </c>
      <c r="J620" s="8">
        <v>0</v>
      </c>
      <c r="K620" s="2">
        <v>0</v>
      </c>
      <c r="L620" s="8">
        <f t="shared" ref="L620" si="1719">(J620+I620+K620)/C620</f>
        <v>-2</v>
      </c>
      <c r="M620" s="8">
        <f t="shared" ref="M620" si="1720">L620*C620</f>
        <v>-2500</v>
      </c>
    </row>
    <row r="621" spans="1:13" ht="15.75" customHeight="1" x14ac:dyDescent="0.25">
      <c r="A621" s="24">
        <v>44075</v>
      </c>
      <c r="B621" s="29" t="s">
        <v>16</v>
      </c>
      <c r="C621" s="11">
        <v>100</v>
      </c>
      <c r="D621" s="11" t="s">
        <v>10</v>
      </c>
      <c r="E621" s="11">
        <v>3155</v>
      </c>
      <c r="F621" s="11">
        <v>3175</v>
      </c>
      <c r="G621" s="34">
        <v>0</v>
      </c>
      <c r="H621" s="35">
        <v>0</v>
      </c>
      <c r="I621" s="8">
        <f t="shared" ref="I621" si="1721">(IF(D621="SELL",E621-F621,IF(D621="BUY",F621-E621)))*C621</f>
        <v>2000</v>
      </c>
      <c r="J621" s="8">
        <v>0</v>
      </c>
      <c r="K621" s="2">
        <v>0</v>
      </c>
      <c r="L621" s="8">
        <f t="shared" ref="L621" si="1722">(J621+I621+K621)/C621</f>
        <v>20</v>
      </c>
      <c r="M621" s="8">
        <f t="shared" ref="M621" si="1723">L621*C621</f>
        <v>2000</v>
      </c>
    </row>
    <row r="622" spans="1:13" ht="15.75" customHeight="1" x14ac:dyDescent="0.25">
      <c r="A622" s="24">
        <v>44075</v>
      </c>
      <c r="B622" s="29" t="s">
        <v>21</v>
      </c>
      <c r="C622" s="11">
        <v>1500</v>
      </c>
      <c r="D622" s="11" t="s">
        <v>10</v>
      </c>
      <c r="E622" s="11">
        <v>1150</v>
      </c>
      <c r="F622" s="11">
        <v>1147</v>
      </c>
      <c r="G622" s="34">
        <v>0</v>
      </c>
      <c r="H622" s="35">
        <v>0</v>
      </c>
      <c r="I622" s="8">
        <f t="shared" ref="I622" si="1724">(IF(D622="SELL",E622-F622,IF(D622="BUY",F622-E622)))*C622</f>
        <v>-4500</v>
      </c>
      <c r="J622" s="8">
        <v>0</v>
      </c>
      <c r="K622" s="2">
        <v>0</v>
      </c>
      <c r="L622" s="8">
        <f t="shared" ref="L622" si="1725">(J622+I622+K622)/C622</f>
        <v>-3</v>
      </c>
      <c r="M622" s="8">
        <f t="shared" ref="M622" si="1726">L622*C622</f>
        <v>-4500</v>
      </c>
    </row>
    <row r="623" spans="1:13" ht="15.75" customHeight="1" x14ac:dyDescent="0.25">
      <c r="A623" s="24">
        <v>44075</v>
      </c>
      <c r="B623" s="29" t="s">
        <v>17</v>
      </c>
      <c r="C623" s="11">
        <v>5000</v>
      </c>
      <c r="D623" s="11" t="s">
        <v>10</v>
      </c>
      <c r="E623" s="11">
        <v>198.7</v>
      </c>
      <c r="F623" s="11">
        <v>199.2</v>
      </c>
      <c r="G623" s="34">
        <v>0</v>
      </c>
      <c r="H623" s="35">
        <v>0</v>
      </c>
      <c r="I623" s="8">
        <f t="shared" ref="I623" si="1727">(IF(D623="SELL",E623-F623,IF(D623="BUY",F623-E623)))*C623</f>
        <v>2500</v>
      </c>
      <c r="J623" s="8">
        <v>0</v>
      </c>
      <c r="K623" s="2">
        <v>0</v>
      </c>
      <c r="L623" s="8">
        <f t="shared" ref="L623" si="1728">(J623+I623+K623)/C623</f>
        <v>0.5</v>
      </c>
      <c r="M623" s="8">
        <f t="shared" ref="M623" si="1729">L623*C623</f>
        <v>2500</v>
      </c>
    </row>
    <row r="624" spans="1:13" ht="15.75" customHeight="1" x14ac:dyDescent="0.25">
      <c r="A624" s="24">
        <v>44075</v>
      </c>
      <c r="B624" s="29" t="s">
        <v>14</v>
      </c>
      <c r="C624" s="11">
        <v>30</v>
      </c>
      <c r="D624" s="11" t="s">
        <v>11</v>
      </c>
      <c r="E624" s="11">
        <v>71000</v>
      </c>
      <c r="F624" s="11">
        <v>70850</v>
      </c>
      <c r="G624" s="34">
        <v>0</v>
      </c>
      <c r="H624" s="35">
        <v>0</v>
      </c>
      <c r="I624" s="8">
        <f t="shared" ref="I624" si="1730">(IF(D624="SELL",E624-F624,IF(D624="BUY",F624-E624)))*C624</f>
        <v>4500</v>
      </c>
      <c r="J624" s="8">
        <v>0</v>
      </c>
      <c r="K624" s="2">
        <v>0</v>
      </c>
      <c r="L624" s="8">
        <f t="shared" ref="L624" si="1731">(J624+I624+K624)/C624</f>
        <v>150</v>
      </c>
      <c r="M624" s="8">
        <f t="shared" ref="M624" si="1732">L624*C624</f>
        <v>4500</v>
      </c>
    </row>
    <row r="625" spans="1:13" ht="15.75" customHeight="1" x14ac:dyDescent="0.25">
      <c r="A625" s="24">
        <v>44075</v>
      </c>
      <c r="B625" s="29" t="s">
        <v>19</v>
      </c>
      <c r="C625" s="11">
        <v>100</v>
      </c>
      <c r="D625" s="11" t="s">
        <v>11</v>
      </c>
      <c r="E625" s="11">
        <v>51830</v>
      </c>
      <c r="F625" s="11">
        <v>51790</v>
      </c>
      <c r="G625" s="34">
        <v>51730</v>
      </c>
      <c r="H625" s="35">
        <v>0</v>
      </c>
      <c r="I625" s="8">
        <f t="shared" ref="I625" si="1733">(IF(D625="SELL",E625-F625,IF(D625="BUY",F625-E625)))*C625</f>
        <v>4000</v>
      </c>
      <c r="J625" s="8">
        <f>C625*60</f>
        <v>6000</v>
      </c>
      <c r="K625" s="2">
        <v>0</v>
      </c>
      <c r="L625" s="8">
        <f t="shared" ref="L625" si="1734">(J625+I625+K625)/C625</f>
        <v>100</v>
      </c>
      <c r="M625" s="8">
        <f t="shared" ref="M625" si="1735">L625*C625</f>
        <v>10000</v>
      </c>
    </row>
    <row r="626" spans="1:13" ht="15.75" customHeight="1" x14ac:dyDescent="0.25">
      <c r="A626" s="24">
        <v>44074</v>
      </c>
      <c r="B626" s="29" t="s">
        <v>52</v>
      </c>
      <c r="C626" s="11">
        <v>1250</v>
      </c>
      <c r="D626" s="11" t="s">
        <v>11</v>
      </c>
      <c r="E626" s="11">
        <v>190.6</v>
      </c>
      <c r="F626" s="11">
        <v>189.6</v>
      </c>
      <c r="G626" s="34">
        <v>187</v>
      </c>
      <c r="H626" s="35">
        <v>0</v>
      </c>
      <c r="I626" s="8">
        <f t="shared" ref="I626" si="1736">(IF(D626="SELL",E626-F626,IF(D626="BUY",F626-E626)))*C626</f>
        <v>1250</v>
      </c>
      <c r="J626" s="8">
        <f>C626*2.6</f>
        <v>3250</v>
      </c>
      <c r="K626" s="2">
        <v>0</v>
      </c>
      <c r="L626" s="8">
        <f t="shared" ref="L626" si="1737">(J626+I626+K626)/C626</f>
        <v>3.6</v>
      </c>
      <c r="M626" s="8">
        <f t="shared" ref="M626" si="1738">L626*C626</f>
        <v>4500</v>
      </c>
    </row>
    <row r="627" spans="1:13" ht="15.75" customHeight="1" x14ac:dyDescent="0.25">
      <c r="A627" s="24">
        <v>44074</v>
      </c>
      <c r="B627" s="29" t="s">
        <v>21</v>
      </c>
      <c r="C627" s="11">
        <v>1500</v>
      </c>
      <c r="D627" s="11" t="s">
        <v>11</v>
      </c>
      <c r="E627" s="11">
        <v>1133</v>
      </c>
      <c r="F627" s="11">
        <v>1130</v>
      </c>
      <c r="G627" s="34">
        <v>0</v>
      </c>
      <c r="H627" s="35">
        <v>0</v>
      </c>
      <c r="I627" s="8">
        <f t="shared" ref="I627" si="1739">(IF(D627="SELL",E627-F627,IF(D627="BUY",F627-E627)))*C627</f>
        <v>4500</v>
      </c>
      <c r="J627" s="8">
        <v>0</v>
      </c>
      <c r="K627" s="2">
        <v>0</v>
      </c>
      <c r="L627" s="8">
        <f t="shared" ref="L627" si="1740">(J627+I627+K627)/C627</f>
        <v>3</v>
      </c>
      <c r="M627" s="8">
        <f t="shared" ref="M627" si="1741">L627*C627</f>
        <v>4500</v>
      </c>
    </row>
    <row r="628" spans="1:13" ht="15.75" customHeight="1" x14ac:dyDescent="0.25">
      <c r="A628" s="24">
        <v>44074</v>
      </c>
      <c r="B628" s="29" t="s">
        <v>14</v>
      </c>
      <c r="C628" s="11">
        <v>30</v>
      </c>
      <c r="D628" s="11" t="s">
        <v>11</v>
      </c>
      <c r="E628" s="11">
        <v>69420</v>
      </c>
      <c r="F628" s="11">
        <v>69320</v>
      </c>
      <c r="G628" s="34">
        <v>69150</v>
      </c>
      <c r="H628" s="35">
        <v>0</v>
      </c>
      <c r="I628" s="8">
        <f t="shared" ref="I628" si="1742">(IF(D628="SELL",E628-F628,IF(D628="BUY",F628-E628)))*C628</f>
        <v>3000</v>
      </c>
      <c r="J628" s="8">
        <f>C628*170</f>
        <v>5100</v>
      </c>
      <c r="K628" s="2">
        <v>0</v>
      </c>
      <c r="L628" s="8">
        <f t="shared" ref="L628" si="1743">(J628+I628+K628)/C628</f>
        <v>270</v>
      </c>
      <c r="M628" s="8">
        <f t="shared" ref="M628" si="1744">L628*C628</f>
        <v>8100</v>
      </c>
    </row>
    <row r="629" spans="1:13" ht="15.75" customHeight="1" x14ac:dyDescent="0.25">
      <c r="A629" s="24">
        <v>44074</v>
      </c>
      <c r="B629" s="29" t="s">
        <v>18</v>
      </c>
      <c r="C629" s="11">
        <v>2500</v>
      </c>
      <c r="D629" s="11" t="s">
        <v>11</v>
      </c>
      <c r="E629" s="11">
        <v>525</v>
      </c>
      <c r="F629" s="11">
        <v>524</v>
      </c>
      <c r="G629" s="34">
        <v>523</v>
      </c>
      <c r="H629" s="35">
        <v>0</v>
      </c>
      <c r="I629" s="8">
        <f t="shared" ref="I629" si="1745">(IF(D629="SELL",E629-F629,IF(D629="BUY",F629-E629)))*C629</f>
        <v>2500</v>
      </c>
      <c r="J629" s="8">
        <f>C629*1</f>
        <v>2500</v>
      </c>
      <c r="K629" s="2">
        <v>0</v>
      </c>
      <c r="L629" s="8">
        <f t="shared" ref="L629" si="1746">(J629+I629+K629)/C629</f>
        <v>2</v>
      </c>
      <c r="M629" s="8">
        <f t="shared" ref="M629" si="1747">L629*C629</f>
        <v>5000</v>
      </c>
    </row>
    <row r="630" spans="1:13" ht="15.75" customHeight="1" x14ac:dyDescent="0.25">
      <c r="A630" s="24">
        <v>44074</v>
      </c>
      <c r="B630" s="29" t="s">
        <v>16</v>
      </c>
      <c r="C630" s="11">
        <v>100</v>
      </c>
      <c r="D630" s="11" t="s">
        <v>11</v>
      </c>
      <c r="E630" s="11">
        <v>3190</v>
      </c>
      <c r="F630" s="11">
        <v>3165</v>
      </c>
      <c r="G630" s="34">
        <v>3145</v>
      </c>
      <c r="H630" s="35">
        <v>0</v>
      </c>
      <c r="I630" s="8">
        <f t="shared" ref="I630" si="1748">(IF(D630="SELL",E630-F630,IF(D630="BUY",F630-E630)))*C630</f>
        <v>2500</v>
      </c>
      <c r="J630" s="8">
        <f>C630*20</f>
        <v>2000</v>
      </c>
      <c r="K630" s="2">
        <v>0</v>
      </c>
      <c r="L630" s="8">
        <f t="shared" ref="L630" si="1749">(J630+I630+K630)/C630</f>
        <v>45</v>
      </c>
      <c r="M630" s="8">
        <f t="shared" ref="M630" si="1750">L630*C630</f>
        <v>4500</v>
      </c>
    </row>
    <row r="631" spans="1:13" ht="15.75" customHeight="1" x14ac:dyDescent="0.25">
      <c r="A631" s="24">
        <v>44074</v>
      </c>
      <c r="B631" s="29" t="s">
        <v>52</v>
      </c>
      <c r="C631" s="11">
        <v>1250</v>
      </c>
      <c r="D631" s="11" t="s">
        <v>10</v>
      </c>
      <c r="E631" s="11">
        <v>194.7</v>
      </c>
      <c r="F631" s="11">
        <v>192.4</v>
      </c>
      <c r="G631" s="34">
        <v>0</v>
      </c>
      <c r="H631" s="35">
        <v>0</v>
      </c>
      <c r="I631" s="8">
        <f t="shared" ref="I631" si="1751">(IF(D631="SELL",E631-F631,IF(D631="BUY",F631-E631)))*C631</f>
        <v>-2874.9999999999786</v>
      </c>
      <c r="J631" s="8">
        <v>0</v>
      </c>
      <c r="K631" s="2">
        <v>0</v>
      </c>
      <c r="L631" s="8">
        <f t="shared" ref="L631" si="1752">(J631+I631+K631)/C631</f>
        <v>-2.2999999999999829</v>
      </c>
      <c r="M631" s="8">
        <f t="shared" ref="M631" si="1753">L631*C631</f>
        <v>-2874.9999999999786</v>
      </c>
    </row>
    <row r="632" spans="1:13" ht="15.75" customHeight="1" x14ac:dyDescent="0.25">
      <c r="A632" s="24">
        <v>44074</v>
      </c>
      <c r="B632" s="29" t="s">
        <v>14</v>
      </c>
      <c r="C632" s="11">
        <v>30</v>
      </c>
      <c r="D632" s="11" t="s">
        <v>10</v>
      </c>
      <c r="E632" s="11">
        <v>70250</v>
      </c>
      <c r="F632" s="11">
        <v>70000</v>
      </c>
      <c r="G632" s="34">
        <v>0</v>
      </c>
      <c r="H632" s="35">
        <v>0</v>
      </c>
      <c r="I632" s="8">
        <f t="shared" ref="I632" si="1754">(IF(D632="SELL",E632-F632,IF(D632="BUY",F632-E632)))*C632</f>
        <v>-7500</v>
      </c>
      <c r="J632" s="8">
        <v>0</v>
      </c>
      <c r="K632" s="2">
        <v>0</v>
      </c>
      <c r="L632" s="8">
        <f t="shared" ref="L632" si="1755">(J632+I632+K632)/C632</f>
        <v>-250</v>
      </c>
      <c r="M632" s="8">
        <f t="shared" ref="M632" si="1756">L632*C632</f>
        <v>-7500</v>
      </c>
    </row>
    <row r="633" spans="1:13" ht="15.75" customHeight="1" x14ac:dyDescent="0.25">
      <c r="A633" s="24">
        <v>44074</v>
      </c>
      <c r="B633" s="29" t="s">
        <v>19</v>
      </c>
      <c r="C633" s="11">
        <v>100</v>
      </c>
      <c r="D633" s="11" t="s">
        <v>10</v>
      </c>
      <c r="E633" s="11">
        <v>51730</v>
      </c>
      <c r="F633" s="11">
        <v>51780</v>
      </c>
      <c r="G633" s="34">
        <v>0</v>
      </c>
      <c r="H633" s="35">
        <v>0</v>
      </c>
      <c r="I633" s="8">
        <f t="shared" ref="I633" si="1757">(IF(D633="SELL",E633-F633,IF(D633="BUY",F633-E633)))*C633</f>
        <v>5000</v>
      </c>
      <c r="J633" s="8">
        <v>0</v>
      </c>
      <c r="K633" s="2">
        <v>0</v>
      </c>
      <c r="L633" s="8">
        <f t="shared" ref="L633" si="1758">(J633+I633+K633)/C633</f>
        <v>50</v>
      </c>
      <c r="M633" s="8">
        <f t="shared" ref="M633" si="1759">L633*C633</f>
        <v>5000</v>
      </c>
    </row>
    <row r="634" spans="1:13" ht="15.75" customHeight="1" x14ac:dyDescent="0.25">
      <c r="A634" s="24">
        <v>44071</v>
      </c>
      <c r="B634" s="29" t="s">
        <v>16</v>
      </c>
      <c r="C634" s="11">
        <v>100</v>
      </c>
      <c r="D634" s="11" t="s">
        <v>11</v>
      </c>
      <c r="E634" s="11">
        <v>3155</v>
      </c>
      <c r="F634" s="11">
        <v>3135</v>
      </c>
      <c r="G634" s="34">
        <v>0</v>
      </c>
      <c r="H634" s="35">
        <v>0</v>
      </c>
      <c r="I634" s="8">
        <f t="shared" ref="I634" si="1760">(IF(D634="SELL",E634-F634,IF(D634="BUY",F634-E634)))*C634</f>
        <v>2000</v>
      </c>
      <c r="J634" s="8">
        <v>0</v>
      </c>
      <c r="K634" s="2">
        <v>0</v>
      </c>
      <c r="L634" s="8">
        <f t="shared" ref="L634" si="1761">(J634+I634+K634)/C634</f>
        <v>20</v>
      </c>
      <c r="M634" s="8">
        <f t="shared" ref="M634" si="1762">L634*C634</f>
        <v>2000</v>
      </c>
    </row>
    <row r="635" spans="1:13" ht="15.75" customHeight="1" x14ac:dyDescent="0.25">
      <c r="A635" s="24">
        <v>44071</v>
      </c>
      <c r="B635" s="29" t="s">
        <v>14</v>
      </c>
      <c r="C635" s="11">
        <v>100</v>
      </c>
      <c r="D635" s="11" t="s">
        <v>10</v>
      </c>
      <c r="E635" s="11">
        <v>66250</v>
      </c>
      <c r="F635" s="11">
        <v>65950</v>
      </c>
      <c r="G635" s="34">
        <v>0</v>
      </c>
      <c r="H635" s="35">
        <v>0</v>
      </c>
      <c r="I635" s="8">
        <f t="shared" ref="I635" si="1763">(IF(D635="SELL",E635-F635,IF(D635="BUY",F635-E635)))*C635</f>
        <v>-30000</v>
      </c>
      <c r="J635" s="8">
        <v>0</v>
      </c>
      <c r="K635" s="2">
        <v>0</v>
      </c>
      <c r="L635" s="8">
        <f t="shared" ref="L635" si="1764">(J635+I635+K635)/C635</f>
        <v>-300</v>
      </c>
      <c r="M635" s="8">
        <f t="shared" ref="M635" si="1765">L635*C635</f>
        <v>-30000</v>
      </c>
    </row>
    <row r="636" spans="1:13" ht="15.75" customHeight="1" x14ac:dyDescent="0.25">
      <c r="A636" s="24">
        <v>44071</v>
      </c>
      <c r="B636" s="29" t="s">
        <v>19</v>
      </c>
      <c r="C636" s="11">
        <v>100</v>
      </c>
      <c r="D636" s="11" t="s">
        <v>10</v>
      </c>
      <c r="E636" s="11">
        <v>51330</v>
      </c>
      <c r="F636" s="11">
        <v>51370</v>
      </c>
      <c r="G636" s="34">
        <v>51430</v>
      </c>
      <c r="H636" s="35">
        <v>0</v>
      </c>
      <c r="I636" s="8">
        <f t="shared" ref="I636" si="1766">(IF(D636="SELL",E636-F636,IF(D636="BUY",F636-E636)))*C636</f>
        <v>4000</v>
      </c>
      <c r="J636" s="8">
        <f>C636*60</f>
        <v>6000</v>
      </c>
      <c r="K636" s="2">
        <v>0</v>
      </c>
      <c r="L636" s="8">
        <f t="shared" ref="L636" si="1767">(J636+I636+K636)/C636</f>
        <v>100</v>
      </c>
      <c r="M636" s="8">
        <f t="shared" ref="M636" si="1768">L636*C636</f>
        <v>10000</v>
      </c>
    </row>
    <row r="637" spans="1:13" ht="15.75" customHeight="1" x14ac:dyDescent="0.25">
      <c r="A637" s="24">
        <v>44071</v>
      </c>
      <c r="B637" s="29" t="s">
        <v>18</v>
      </c>
      <c r="C637" s="11">
        <v>2500</v>
      </c>
      <c r="D637" s="11" t="s">
        <v>10</v>
      </c>
      <c r="E637" s="11">
        <v>524.4</v>
      </c>
      <c r="F637" s="11">
        <v>522.4</v>
      </c>
      <c r="G637" s="34">
        <v>0</v>
      </c>
      <c r="H637" s="35">
        <v>0</v>
      </c>
      <c r="I637" s="8">
        <f t="shared" ref="I637" si="1769">(IF(D637="SELL",E637-F637,IF(D637="BUY",F637-E637)))*C637</f>
        <v>-5000</v>
      </c>
      <c r="J637" s="8">
        <v>0</v>
      </c>
      <c r="K637" s="2">
        <v>0</v>
      </c>
      <c r="L637" s="8">
        <f t="shared" ref="L637" si="1770">(J637+I637+K637)/C637</f>
        <v>-2</v>
      </c>
      <c r="M637" s="8">
        <f t="shared" ref="M637" si="1771">L637*C637</f>
        <v>-5000</v>
      </c>
    </row>
    <row r="638" spans="1:13" ht="15.75" customHeight="1" x14ac:dyDescent="0.25">
      <c r="A638" s="24">
        <v>44071</v>
      </c>
      <c r="B638" s="29" t="s">
        <v>14</v>
      </c>
      <c r="C638" s="11">
        <v>30</v>
      </c>
      <c r="D638" s="11" t="s">
        <v>10</v>
      </c>
      <c r="E638" s="11">
        <v>66300</v>
      </c>
      <c r="F638" s="11">
        <v>66100</v>
      </c>
      <c r="G638" s="34">
        <v>0</v>
      </c>
      <c r="H638" s="35">
        <v>0</v>
      </c>
      <c r="I638" s="8">
        <f t="shared" ref="I638" si="1772">(IF(D638="SELL",E638-F638,IF(D638="BUY",F638-E638)))*C638</f>
        <v>-6000</v>
      </c>
      <c r="J638" s="8">
        <v>0</v>
      </c>
      <c r="K638" s="2">
        <v>0</v>
      </c>
      <c r="L638" s="8">
        <f t="shared" ref="L638" si="1773">(J638+I638+K638)/C638</f>
        <v>-200</v>
      </c>
      <c r="M638" s="8">
        <f t="shared" ref="M638" si="1774">L638*C638</f>
        <v>-6000</v>
      </c>
    </row>
    <row r="639" spans="1:13" ht="15.75" customHeight="1" x14ac:dyDescent="0.25">
      <c r="A639" s="24">
        <v>44071</v>
      </c>
      <c r="B639" s="29" t="s">
        <v>18</v>
      </c>
      <c r="C639" s="11">
        <v>2500</v>
      </c>
      <c r="D639" s="11" t="s">
        <v>10</v>
      </c>
      <c r="E639" s="11">
        <v>524.4</v>
      </c>
      <c r="F639" s="11">
        <v>3175</v>
      </c>
      <c r="G639" s="34">
        <v>3155</v>
      </c>
      <c r="H639" s="35">
        <v>0</v>
      </c>
      <c r="I639" s="8">
        <f t="shared" ref="I639" si="1775">(IF(D639="SELL",E639-F639,IF(D639="BUY",F639-E639)))*C639</f>
        <v>6626500</v>
      </c>
      <c r="J639" s="8">
        <f>C639*20</f>
        <v>50000</v>
      </c>
      <c r="K639" s="2">
        <v>0</v>
      </c>
      <c r="L639" s="8">
        <f t="shared" ref="L639" si="1776">(J639+I639+K639)/C639</f>
        <v>2670.6</v>
      </c>
      <c r="M639" s="8">
        <f t="shared" ref="M639" si="1777">L639*C639</f>
        <v>6676500</v>
      </c>
    </row>
    <row r="640" spans="1:13" ht="15.75" customHeight="1" x14ac:dyDescent="0.25">
      <c r="A640" s="24">
        <v>44071</v>
      </c>
      <c r="B640" s="29" t="s">
        <v>52</v>
      </c>
      <c r="C640" s="11">
        <v>1250</v>
      </c>
      <c r="D640" s="11" t="s">
        <v>10</v>
      </c>
      <c r="E640" s="11">
        <v>198.5</v>
      </c>
      <c r="F640" s="11">
        <v>199.5</v>
      </c>
      <c r="G640" s="34">
        <v>201</v>
      </c>
      <c r="H640" s="35">
        <v>0</v>
      </c>
      <c r="I640" s="8">
        <f t="shared" ref="I640" si="1778">(IF(D640="SELL",E640-F640,IF(D640="BUY",F640-E640)))*C640</f>
        <v>1250</v>
      </c>
      <c r="J640" s="8">
        <f>C640*1.5</f>
        <v>1875</v>
      </c>
      <c r="K640" s="2">
        <v>0</v>
      </c>
      <c r="L640" s="8">
        <f t="shared" ref="L640" si="1779">(J640+I640+K640)/C640</f>
        <v>2.5</v>
      </c>
      <c r="M640" s="8">
        <f t="shared" ref="M640" si="1780">L640*C640</f>
        <v>3125</v>
      </c>
    </row>
    <row r="641" spans="1:13" ht="15.75" customHeight="1" x14ac:dyDescent="0.25">
      <c r="A641" s="24">
        <v>44071</v>
      </c>
      <c r="B641" s="29" t="s">
        <v>19</v>
      </c>
      <c r="C641" s="11">
        <v>100</v>
      </c>
      <c r="D641" s="11" t="s">
        <v>10</v>
      </c>
      <c r="E641" s="11">
        <v>51260</v>
      </c>
      <c r="F641" s="11">
        <v>51140</v>
      </c>
      <c r="G641" s="34">
        <v>0</v>
      </c>
      <c r="H641" s="35">
        <v>0</v>
      </c>
      <c r="I641" s="8">
        <f t="shared" ref="I641" si="1781">(IF(D641="SELL",E641-F641,IF(D641="BUY",F641-E641)))*C641</f>
        <v>-12000</v>
      </c>
      <c r="J641" s="8">
        <v>0</v>
      </c>
      <c r="K641" s="2">
        <v>0</v>
      </c>
      <c r="L641" s="8">
        <f t="shared" ref="L641" si="1782">(J641+I641+K641)/C641</f>
        <v>-120</v>
      </c>
      <c r="M641" s="8">
        <f t="shared" ref="M641" si="1783">L641*C641</f>
        <v>-12000</v>
      </c>
    </row>
    <row r="642" spans="1:13" ht="15.75" customHeight="1" x14ac:dyDescent="0.25">
      <c r="A642" s="24">
        <v>44071</v>
      </c>
      <c r="B642" s="29" t="s">
        <v>21</v>
      </c>
      <c r="C642" s="11">
        <v>1500</v>
      </c>
      <c r="D642" s="11" t="s">
        <v>10</v>
      </c>
      <c r="E642" s="11">
        <v>1131.5</v>
      </c>
      <c r="F642" s="11">
        <v>1134.5</v>
      </c>
      <c r="G642" s="34">
        <v>1137.5</v>
      </c>
      <c r="H642" s="35">
        <v>0</v>
      </c>
      <c r="I642" s="8">
        <f t="shared" ref="I642" si="1784">(IF(D642="SELL",E642-F642,IF(D642="BUY",F642-E642)))*C642</f>
        <v>4500</v>
      </c>
      <c r="J642" s="8">
        <f>C642*3</f>
        <v>4500</v>
      </c>
      <c r="K642" s="2">
        <v>0</v>
      </c>
      <c r="L642" s="8">
        <f t="shared" ref="L642" si="1785">(J642+I642+K642)/C642</f>
        <v>6</v>
      </c>
      <c r="M642" s="8">
        <f t="shared" ref="M642" si="1786">L642*C642</f>
        <v>9000</v>
      </c>
    </row>
    <row r="643" spans="1:13" ht="15.75" customHeight="1" x14ac:dyDescent="0.25">
      <c r="A643" s="24">
        <v>44071</v>
      </c>
      <c r="B643" s="29" t="s">
        <v>17</v>
      </c>
      <c r="C643" s="11">
        <v>5000</v>
      </c>
      <c r="D643" s="11" t="s">
        <v>10</v>
      </c>
      <c r="E643" s="11">
        <v>195.9</v>
      </c>
      <c r="F643" s="11">
        <v>196.4</v>
      </c>
      <c r="G643" s="34">
        <v>197</v>
      </c>
      <c r="H643" s="35">
        <v>0</v>
      </c>
      <c r="I643" s="8">
        <f t="shared" ref="I643" si="1787">(IF(D643="SELL",E643-F643,IF(D643="BUY",F643-E643)))*C643</f>
        <v>2500</v>
      </c>
      <c r="J643" s="8">
        <f>C643*0.6</f>
        <v>3000</v>
      </c>
      <c r="K643" s="2">
        <v>0</v>
      </c>
      <c r="L643" s="8">
        <f t="shared" ref="L643" si="1788">(J643+I643+K643)/C643</f>
        <v>1.1000000000000001</v>
      </c>
      <c r="M643" s="8">
        <f t="shared" ref="M643" si="1789">L643*C643</f>
        <v>5500</v>
      </c>
    </row>
    <row r="644" spans="1:13" ht="15.75" customHeight="1" x14ac:dyDescent="0.25">
      <c r="A644" s="24">
        <v>44070</v>
      </c>
      <c r="B644" s="29" t="s">
        <v>21</v>
      </c>
      <c r="C644" s="11">
        <v>1500</v>
      </c>
      <c r="D644" s="11" t="s">
        <v>11</v>
      </c>
      <c r="E644" s="11">
        <v>1130</v>
      </c>
      <c r="F644" s="11">
        <v>1127</v>
      </c>
      <c r="G644" s="34">
        <v>1124</v>
      </c>
      <c r="H644" s="35">
        <v>0</v>
      </c>
      <c r="I644" s="8">
        <f t="shared" ref="I644" si="1790">(IF(D644="SELL",E644-F644,IF(D644="BUY",F644-E644)))*C644</f>
        <v>4500</v>
      </c>
      <c r="J644" s="8">
        <f>C644*3</f>
        <v>4500</v>
      </c>
      <c r="K644" s="2">
        <v>0</v>
      </c>
      <c r="L644" s="8">
        <f t="shared" ref="L644" si="1791">(J644+I644+K644)/C644</f>
        <v>6</v>
      </c>
      <c r="M644" s="8">
        <f t="shared" ref="M644" si="1792">L644*C644</f>
        <v>9000</v>
      </c>
    </row>
    <row r="645" spans="1:13" ht="15.75" customHeight="1" x14ac:dyDescent="0.25">
      <c r="A645" s="24">
        <v>44070</v>
      </c>
      <c r="B645" s="29" t="s">
        <v>17</v>
      </c>
      <c r="C645" s="11">
        <v>5000</v>
      </c>
      <c r="D645" s="11" t="s">
        <v>11</v>
      </c>
      <c r="E645" s="11">
        <v>194</v>
      </c>
      <c r="F645" s="11">
        <v>193.5</v>
      </c>
      <c r="G645" s="34">
        <v>0</v>
      </c>
      <c r="H645" s="35">
        <v>0</v>
      </c>
      <c r="I645" s="8">
        <f t="shared" ref="I645" si="1793">(IF(D645="SELL",E645-F645,IF(D645="BUY",F645-E645)))*C645</f>
        <v>2500</v>
      </c>
      <c r="J645" s="8">
        <v>0</v>
      </c>
      <c r="K645" s="2">
        <v>0</v>
      </c>
      <c r="L645" s="8">
        <f t="shared" ref="L645" si="1794">(J645+I645+K645)/C645</f>
        <v>0.5</v>
      </c>
      <c r="M645" s="8">
        <f t="shared" ref="M645" si="1795">L645*C645</f>
        <v>2500</v>
      </c>
    </row>
    <row r="646" spans="1:13" ht="15.75" customHeight="1" x14ac:dyDescent="0.25">
      <c r="A646" s="24">
        <v>44070</v>
      </c>
      <c r="B646" s="29" t="s">
        <v>14</v>
      </c>
      <c r="C646" s="11">
        <v>30</v>
      </c>
      <c r="D646" s="11" t="s">
        <v>11</v>
      </c>
      <c r="E646" s="11">
        <v>66660</v>
      </c>
      <c r="F646" s="11">
        <v>66560</v>
      </c>
      <c r="G646" s="34">
        <v>66400</v>
      </c>
      <c r="H646" s="35">
        <v>0</v>
      </c>
      <c r="I646" s="8">
        <f t="shared" ref="I646" si="1796">(IF(D646="SELL",E646-F646,IF(D646="BUY",F646-E646)))*C646</f>
        <v>3000</v>
      </c>
      <c r="J646" s="8">
        <f>C646*160</f>
        <v>4800</v>
      </c>
      <c r="K646" s="2">
        <v>0</v>
      </c>
      <c r="L646" s="8">
        <f t="shared" ref="L646" si="1797">(J646+I646+K646)/C646</f>
        <v>260</v>
      </c>
      <c r="M646" s="8">
        <f t="shared" ref="M646" si="1798">L646*C646</f>
        <v>7800</v>
      </c>
    </row>
    <row r="647" spans="1:13" ht="15.75" customHeight="1" x14ac:dyDescent="0.25">
      <c r="A647" s="24">
        <v>44070</v>
      </c>
      <c r="B647" s="29" t="s">
        <v>52</v>
      </c>
      <c r="C647" s="11">
        <v>1250</v>
      </c>
      <c r="D647" s="11" t="s">
        <v>10</v>
      </c>
      <c r="E647" s="11">
        <v>189</v>
      </c>
      <c r="F647" s="11">
        <v>190</v>
      </c>
      <c r="G647" s="34">
        <v>191</v>
      </c>
      <c r="H647" s="35">
        <v>0</v>
      </c>
      <c r="I647" s="8">
        <f t="shared" ref="I647" si="1799">(IF(D647="SELL",E647-F647,IF(D647="BUY",F647-E647)))*C647</f>
        <v>1250</v>
      </c>
      <c r="J647" s="8">
        <f>C647*1</f>
        <v>1250</v>
      </c>
      <c r="K647" s="2">
        <v>0</v>
      </c>
      <c r="L647" s="8">
        <f t="shared" ref="L647" si="1800">(J647+I647+K647)/C647</f>
        <v>2</v>
      </c>
      <c r="M647" s="8">
        <f t="shared" ref="M647" si="1801">L647*C647</f>
        <v>2500</v>
      </c>
    </row>
    <row r="648" spans="1:13" ht="15.75" customHeight="1" x14ac:dyDescent="0.25">
      <c r="A648" s="24">
        <v>44070</v>
      </c>
      <c r="B648" s="29" t="s">
        <v>18</v>
      </c>
      <c r="C648" s="11">
        <v>2500</v>
      </c>
      <c r="D648" s="11" t="s">
        <v>10</v>
      </c>
      <c r="E648" s="11">
        <v>522.70000000000005</v>
      </c>
      <c r="F648" s="11">
        <v>521</v>
      </c>
      <c r="G648" s="34">
        <v>0</v>
      </c>
      <c r="H648" s="35">
        <v>0</v>
      </c>
      <c r="I648" s="8">
        <f t="shared" ref="I648" si="1802">(IF(D648="SELL",E648-F648,IF(D648="BUY",F648-E648)))*C648</f>
        <v>-4250.0000000001137</v>
      </c>
      <c r="J648" s="8">
        <v>0</v>
      </c>
      <c r="K648" s="2">
        <v>0</v>
      </c>
      <c r="L648" s="8">
        <f t="shared" ref="L648" si="1803">(J648+I648+K648)/C648</f>
        <v>-1.7000000000000455</v>
      </c>
      <c r="M648" s="8">
        <f t="shared" ref="M648" si="1804">L648*C648</f>
        <v>-4250.0000000001137</v>
      </c>
    </row>
    <row r="649" spans="1:13" ht="15.75" customHeight="1" x14ac:dyDescent="0.25">
      <c r="A649" s="24">
        <v>44070</v>
      </c>
      <c r="B649" s="29" t="s">
        <v>19</v>
      </c>
      <c r="C649" s="11">
        <v>100</v>
      </c>
      <c r="D649" s="11" t="s">
        <v>10</v>
      </c>
      <c r="E649" s="11">
        <v>51800</v>
      </c>
      <c r="F649" s="11">
        <v>51840</v>
      </c>
      <c r="G649" s="34">
        <v>0</v>
      </c>
      <c r="H649" s="35">
        <v>0</v>
      </c>
      <c r="I649" s="8">
        <f t="shared" ref="I649" si="1805">(IF(D649="SELL",E649-F649,IF(D649="BUY",F649-E649)))*C649</f>
        <v>4000</v>
      </c>
      <c r="J649" s="8">
        <v>0</v>
      </c>
      <c r="K649" s="2">
        <v>0</v>
      </c>
      <c r="L649" s="8">
        <f t="shared" ref="L649" si="1806">(J649+I649+K649)/C649</f>
        <v>40</v>
      </c>
      <c r="M649" s="8">
        <f t="shared" ref="M649" si="1807">L649*C649</f>
        <v>4000</v>
      </c>
    </row>
    <row r="650" spans="1:13" ht="15.75" customHeight="1" x14ac:dyDescent="0.25">
      <c r="A650" s="24">
        <v>44069</v>
      </c>
      <c r="B650" s="29" t="s">
        <v>16</v>
      </c>
      <c r="C650" s="11">
        <v>100</v>
      </c>
      <c r="D650" s="11" t="s">
        <v>10</v>
      </c>
      <c r="E650" s="11">
        <v>3225</v>
      </c>
      <c r="F650" s="11">
        <v>3245</v>
      </c>
      <c r="G650" s="34">
        <v>0</v>
      </c>
      <c r="H650" s="35">
        <v>0</v>
      </c>
      <c r="I650" s="8">
        <f t="shared" ref="I650" si="1808">(IF(D650="SELL",E650-F650,IF(D650="BUY",F650-E650)))*C650</f>
        <v>2000</v>
      </c>
      <c r="J650" s="8">
        <v>0</v>
      </c>
      <c r="K650" s="2">
        <v>0</v>
      </c>
      <c r="L650" s="8">
        <f t="shared" ref="L650" si="1809">(J650+I650+K650)/C650</f>
        <v>20</v>
      </c>
      <c r="M650" s="8">
        <f t="shared" ref="M650" si="1810">L650*C650</f>
        <v>2000</v>
      </c>
    </row>
    <row r="651" spans="1:13" ht="15.75" customHeight="1" x14ac:dyDescent="0.25">
      <c r="A651" s="24">
        <v>44069</v>
      </c>
      <c r="B651" s="29" t="s">
        <v>21</v>
      </c>
      <c r="C651" s="11">
        <v>1500</v>
      </c>
      <c r="D651" s="11" t="s">
        <v>10</v>
      </c>
      <c r="E651" s="11">
        <v>1129</v>
      </c>
      <c r="F651" s="11">
        <v>1132</v>
      </c>
      <c r="G651" s="34">
        <v>1135</v>
      </c>
      <c r="H651" s="35">
        <v>0</v>
      </c>
      <c r="I651" s="8">
        <f t="shared" ref="I651" si="1811">(IF(D651="SELL",E651-F651,IF(D651="BUY",F651-E651)))*C651</f>
        <v>4500</v>
      </c>
      <c r="J651" s="8">
        <f>C651*3</f>
        <v>4500</v>
      </c>
      <c r="K651" s="2">
        <v>0</v>
      </c>
      <c r="L651" s="8">
        <f t="shared" ref="L651" si="1812">(J651+I651+K651)/C651</f>
        <v>6</v>
      </c>
      <c r="M651" s="8">
        <f t="shared" ref="M651" si="1813">L651*C651</f>
        <v>9000</v>
      </c>
    </row>
    <row r="652" spans="1:13" ht="15.75" customHeight="1" x14ac:dyDescent="0.25">
      <c r="A652" s="24">
        <v>44069</v>
      </c>
      <c r="B652" s="29" t="s">
        <v>14</v>
      </c>
      <c r="C652" s="11">
        <v>30</v>
      </c>
      <c r="D652" s="11" t="s">
        <v>11</v>
      </c>
      <c r="E652" s="11">
        <v>63750</v>
      </c>
      <c r="F652" s="11">
        <v>63650</v>
      </c>
      <c r="G652" s="34">
        <v>63550</v>
      </c>
      <c r="H652" s="35">
        <v>0</v>
      </c>
      <c r="I652" s="8">
        <f t="shared" ref="I652" si="1814">(IF(D652="SELL",E652-F652,IF(D652="BUY",F652-E652)))*C652</f>
        <v>3000</v>
      </c>
      <c r="J652" s="8">
        <f>C652*100</f>
        <v>3000</v>
      </c>
      <c r="K652" s="2">
        <v>0</v>
      </c>
      <c r="L652" s="8">
        <f t="shared" ref="L652" si="1815">(J652+I652+K652)/C652</f>
        <v>200</v>
      </c>
      <c r="M652" s="8">
        <f t="shared" ref="M652" si="1816">L652*C652</f>
        <v>6000</v>
      </c>
    </row>
    <row r="653" spans="1:13" ht="15.75" customHeight="1" x14ac:dyDescent="0.25">
      <c r="A653" s="24">
        <v>44069</v>
      </c>
      <c r="B653" s="29" t="s">
        <v>52</v>
      </c>
      <c r="C653" s="11">
        <v>1250</v>
      </c>
      <c r="D653" s="11" t="s">
        <v>10</v>
      </c>
      <c r="E653" s="11">
        <v>186.2</v>
      </c>
      <c r="F653" s="11">
        <v>187.2</v>
      </c>
      <c r="G653" s="34">
        <v>188.2</v>
      </c>
      <c r="H653" s="35">
        <v>0</v>
      </c>
      <c r="I653" s="8">
        <f t="shared" ref="I653" si="1817">(IF(D653="SELL",E653-F653,IF(D653="BUY",F653-E653)))*C653</f>
        <v>1250</v>
      </c>
      <c r="J653" s="8">
        <f>C653*1</f>
        <v>1250</v>
      </c>
      <c r="K653" s="2">
        <v>0</v>
      </c>
      <c r="L653" s="8">
        <f t="shared" ref="L653" si="1818">(J653+I653+K653)/C653</f>
        <v>2</v>
      </c>
      <c r="M653" s="8">
        <f t="shared" ref="M653" si="1819">L653*C653</f>
        <v>2500</v>
      </c>
    </row>
    <row r="654" spans="1:13" ht="15.75" customHeight="1" x14ac:dyDescent="0.25">
      <c r="A654" s="24">
        <v>44069</v>
      </c>
      <c r="B654" s="29" t="s">
        <v>18</v>
      </c>
      <c r="C654" s="11">
        <v>2500</v>
      </c>
      <c r="D654" s="11" t="s">
        <v>10</v>
      </c>
      <c r="E654" s="11">
        <v>519</v>
      </c>
      <c r="F654" s="11">
        <v>520</v>
      </c>
      <c r="G654" s="34">
        <v>521</v>
      </c>
      <c r="H654" s="35">
        <v>0</v>
      </c>
      <c r="I654" s="8">
        <f t="shared" ref="I654" si="1820">(IF(D654="SELL",E654-F654,IF(D654="BUY",F654-E654)))*C654</f>
        <v>2500</v>
      </c>
      <c r="J654" s="8">
        <f>C654*1</f>
        <v>2500</v>
      </c>
      <c r="K654" s="2">
        <v>0</v>
      </c>
      <c r="L654" s="8">
        <f t="shared" ref="L654" si="1821">(J654+I654+K654)/C654</f>
        <v>2</v>
      </c>
      <c r="M654" s="8">
        <f t="shared" ref="M654" si="1822">L654*C654</f>
        <v>5000</v>
      </c>
    </row>
    <row r="655" spans="1:13" ht="15.75" customHeight="1" x14ac:dyDescent="0.25">
      <c r="A655" s="24">
        <v>44069</v>
      </c>
      <c r="B655" s="29" t="s">
        <v>14</v>
      </c>
      <c r="C655" s="11">
        <v>30</v>
      </c>
      <c r="D655" s="11" t="s">
        <v>11</v>
      </c>
      <c r="E655" s="11">
        <v>63300</v>
      </c>
      <c r="F655" s="11">
        <v>63640</v>
      </c>
      <c r="G655" s="34">
        <v>0</v>
      </c>
      <c r="H655" s="35">
        <v>0</v>
      </c>
      <c r="I655" s="8">
        <f t="shared" ref="I655" si="1823">(IF(D655="SELL",E655-F655,IF(D655="BUY",F655-E655)))*C655</f>
        <v>-10200</v>
      </c>
      <c r="J655" s="8">
        <v>0</v>
      </c>
      <c r="K655" s="2">
        <v>0</v>
      </c>
      <c r="L655" s="8">
        <f t="shared" ref="L655" si="1824">(J655+I655+K655)/C655</f>
        <v>-340</v>
      </c>
      <c r="M655" s="8">
        <f t="shared" ref="M655" si="1825">L655*C655</f>
        <v>-10200</v>
      </c>
    </row>
    <row r="656" spans="1:13" ht="15.75" customHeight="1" x14ac:dyDescent="0.25">
      <c r="A656" s="24">
        <v>44069</v>
      </c>
      <c r="B656" s="29" t="s">
        <v>19</v>
      </c>
      <c r="C656" s="11">
        <v>100</v>
      </c>
      <c r="D656" s="11" t="s">
        <v>11</v>
      </c>
      <c r="E656" s="11">
        <v>50940</v>
      </c>
      <c r="F656" s="11">
        <v>50900</v>
      </c>
      <c r="G656" s="34">
        <v>0</v>
      </c>
      <c r="H656" s="35">
        <v>0</v>
      </c>
      <c r="I656" s="8">
        <f t="shared" ref="I656" si="1826">(IF(D656="SELL",E656-F656,IF(D656="BUY",F656-E656)))*C656</f>
        <v>4000</v>
      </c>
      <c r="J656" s="8">
        <v>0</v>
      </c>
      <c r="K656" s="2">
        <v>0</v>
      </c>
      <c r="L656" s="8">
        <f t="shared" ref="L656" si="1827">(J656+I656+K656)/C656</f>
        <v>40</v>
      </c>
      <c r="M656" s="8">
        <f t="shared" ref="M656" si="1828">L656*C656</f>
        <v>4000</v>
      </c>
    </row>
    <row r="657" spans="1:13" ht="15.75" customHeight="1" x14ac:dyDescent="0.25">
      <c r="A657" s="24">
        <v>44069</v>
      </c>
      <c r="B657" s="29" t="s">
        <v>17</v>
      </c>
      <c r="C657" s="11">
        <v>5000</v>
      </c>
      <c r="D657" s="11" t="s">
        <v>10</v>
      </c>
      <c r="E657" s="11">
        <v>195.6</v>
      </c>
      <c r="F657" s="11">
        <v>196.1</v>
      </c>
      <c r="G657" s="34">
        <v>0</v>
      </c>
      <c r="H657" s="35">
        <v>0</v>
      </c>
      <c r="I657" s="8">
        <f t="shared" ref="I657" si="1829">(IF(D657="SELL",E657-F657,IF(D657="BUY",F657-E657)))*C657</f>
        <v>2500</v>
      </c>
      <c r="J657" s="8">
        <v>0</v>
      </c>
      <c r="K657" s="2">
        <v>0</v>
      </c>
      <c r="L657" s="8">
        <f t="shared" ref="L657" si="1830">(J657+I657+K657)/C657</f>
        <v>0.5</v>
      </c>
      <c r="M657" s="8">
        <f t="shared" ref="M657" si="1831">L657*C657</f>
        <v>2500</v>
      </c>
    </row>
    <row r="658" spans="1:13" ht="15.75" customHeight="1" x14ac:dyDescent="0.25">
      <c r="A658" s="24">
        <v>44068</v>
      </c>
      <c r="B658" s="29" t="s">
        <v>16</v>
      </c>
      <c r="C658" s="11">
        <v>100</v>
      </c>
      <c r="D658" s="11" t="s">
        <v>10</v>
      </c>
      <c r="E658" s="11">
        <v>3190</v>
      </c>
      <c r="F658" s="11">
        <v>3210</v>
      </c>
      <c r="G658" s="34">
        <v>3230</v>
      </c>
      <c r="H658" s="35">
        <v>0</v>
      </c>
      <c r="I658" s="8">
        <f t="shared" ref="I658" si="1832">(IF(D658="SELL",E658-F658,IF(D658="BUY",F658-E658)))*C658</f>
        <v>2000</v>
      </c>
      <c r="J658" s="8">
        <f>C658*20</f>
        <v>2000</v>
      </c>
      <c r="K658" s="2">
        <v>0</v>
      </c>
      <c r="L658" s="8">
        <f t="shared" ref="L658" si="1833">(J658+I658+K658)/C658</f>
        <v>40</v>
      </c>
      <c r="M658" s="8">
        <f t="shared" ref="M658" si="1834">L658*C658</f>
        <v>4000</v>
      </c>
    </row>
    <row r="659" spans="1:13" ht="15.75" customHeight="1" x14ac:dyDescent="0.25">
      <c r="A659" s="24">
        <v>44068</v>
      </c>
      <c r="B659" s="29" t="s">
        <v>21</v>
      </c>
      <c r="C659" s="11">
        <v>1500</v>
      </c>
      <c r="D659" s="11" t="s">
        <v>11</v>
      </c>
      <c r="E659" s="11">
        <v>1115</v>
      </c>
      <c r="F659" s="11">
        <v>1119</v>
      </c>
      <c r="G659" s="34">
        <v>0</v>
      </c>
      <c r="H659" s="35">
        <v>0</v>
      </c>
      <c r="I659" s="8">
        <f t="shared" ref="I659" si="1835">(IF(D659="SELL",E659-F659,IF(D659="BUY",F659-E659)))*C659</f>
        <v>-6000</v>
      </c>
      <c r="J659" s="8">
        <v>0</v>
      </c>
      <c r="K659" s="2">
        <v>0</v>
      </c>
      <c r="L659" s="8">
        <f t="shared" ref="L659" si="1836">(J659+I659+K659)/C659</f>
        <v>-4</v>
      </c>
      <c r="M659" s="8">
        <f t="shared" ref="M659" si="1837">L659*C659</f>
        <v>-6000</v>
      </c>
    </row>
    <row r="660" spans="1:13" ht="15.75" customHeight="1" x14ac:dyDescent="0.25">
      <c r="A660" s="24">
        <v>44068</v>
      </c>
      <c r="B660" s="29" t="s">
        <v>17</v>
      </c>
      <c r="C660" s="11">
        <v>5000</v>
      </c>
      <c r="D660" s="11" t="s">
        <v>10</v>
      </c>
      <c r="E660" s="11">
        <v>195.2</v>
      </c>
      <c r="F660" s="11">
        <v>194.2</v>
      </c>
      <c r="G660" s="34">
        <v>0</v>
      </c>
      <c r="H660" s="35">
        <v>0</v>
      </c>
      <c r="I660" s="8">
        <f t="shared" ref="I660" si="1838">(IF(D660="SELL",E660-F660,IF(D660="BUY",F660-E660)))*C660</f>
        <v>-5000</v>
      </c>
      <c r="J660" s="8">
        <v>0</v>
      </c>
      <c r="K660" s="2">
        <v>0</v>
      </c>
      <c r="L660" s="8">
        <f t="shared" ref="L660" si="1839">(J660+I660+K660)/C660</f>
        <v>-1</v>
      </c>
      <c r="M660" s="8">
        <f t="shared" ref="M660" si="1840">L660*C660</f>
        <v>-5000</v>
      </c>
    </row>
    <row r="661" spans="1:13" ht="15.75" customHeight="1" x14ac:dyDescent="0.25">
      <c r="A661" s="24">
        <v>44068</v>
      </c>
      <c r="B661" s="29" t="s">
        <v>14</v>
      </c>
      <c r="C661" s="11">
        <v>30</v>
      </c>
      <c r="D661" s="11" t="s">
        <v>11</v>
      </c>
      <c r="E661" s="11">
        <v>65400</v>
      </c>
      <c r="F661" s="11">
        <v>65300</v>
      </c>
      <c r="G661" s="34">
        <v>0</v>
      </c>
      <c r="H661" s="35">
        <v>0</v>
      </c>
      <c r="I661" s="8">
        <f t="shared" ref="I661" si="1841">(IF(D661="SELL",E661-F661,IF(D661="BUY",F661-E661)))*C661</f>
        <v>3000</v>
      </c>
      <c r="J661" s="8">
        <v>0</v>
      </c>
      <c r="K661" s="2">
        <v>0</v>
      </c>
      <c r="L661" s="8">
        <f t="shared" ref="L661" si="1842">(J661+I661+K661)/C661</f>
        <v>100</v>
      </c>
      <c r="M661" s="8">
        <f t="shared" ref="M661" si="1843">L661*C661</f>
        <v>3000</v>
      </c>
    </row>
    <row r="662" spans="1:13" ht="15.75" customHeight="1" x14ac:dyDescent="0.25">
      <c r="A662" s="24">
        <v>44068</v>
      </c>
      <c r="B662" s="29" t="s">
        <v>52</v>
      </c>
      <c r="C662" s="11">
        <v>1250</v>
      </c>
      <c r="D662" s="11" t="s">
        <v>10</v>
      </c>
      <c r="E662" s="11">
        <v>188</v>
      </c>
      <c r="F662" s="11">
        <v>186</v>
      </c>
      <c r="G662" s="34">
        <v>0</v>
      </c>
      <c r="H662" s="35">
        <v>0</v>
      </c>
      <c r="I662" s="8">
        <f t="shared" ref="I662" si="1844">(IF(D662="SELL",E662-F662,IF(D662="BUY",F662-E662)))*C662</f>
        <v>-2500</v>
      </c>
      <c r="J662" s="8">
        <v>0</v>
      </c>
      <c r="K662" s="2">
        <v>0</v>
      </c>
      <c r="L662" s="8">
        <f t="shared" ref="L662" si="1845">(J662+I662+K662)/C662</f>
        <v>-2</v>
      </c>
      <c r="M662" s="8">
        <f t="shared" ref="M662" si="1846">L662*C662</f>
        <v>-2500</v>
      </c>
    </row>
    <row r="663" spans="1:13" ht="15.75" customHeight="1" x14ac:dyDescent="0.25">
      <c r="A663" s="24">
        <v>44068</v>
      </c>
      <c r="B663" s="29" t="s">
        <v>19</v>
      </c>
      <c r="C663" s="11">
        <v>100</v>
      </c>
      <c r="D663" s="11" t="s">
        <v>10</v>
      </c>
      <c r="E663" s="11">
        <v>51440</v>
      </c>
      <c r="F663" s="11">
        <v>51360</v>
      </c>
      <c r="G663" s="34">
        <v>0</v>
      </c>
      <c r="H663" s="35">
        <v>0</v>
      </c>
      <c r="I663" s="8">
        <f t="shared" ref="I663" si="1847">(IF(D663="SELL",E663-F663,IF(D663="BUY",F663-E663)))*C663</f>
        <v>-8000</v>
      </c>
      <c r="J663" s="8">
        <v>0</v>
      </c>
      <c r="K663" s="2">
        <v>0</v>
      </c>
      <c r="L663" s="8">
        <f t="shared" ref="L663" si="1848">(J663+I663+K663)/C663</f>
        <v>-80</v>
      </c>
      <c r="M663" s="8">
        <f t="shared" ref="M663" si="1849">L663*C663</f>
        <v>-8000</v>
      </c>
    </row>
    <row r="664" spans="1:13" ht="15.75" customHeight="1" x14ac:dyDescent="0.25">
      <c r="A664" s="24">
        <v>44067</v>
      </c>
      <c r="B664" s="29" t="s">
        <v>16</v>
      </c>
      <c r="C664" s="11">
        <v>100</v>
      </c>
      <c r="D664" s="11" t="s">
        <v>10</v>
      </c>
      <c r="E664" s="11">
        <v>3180</v>
      </c>
      <c r="F664" s="11">
        <v>3170</v>
      </c>
      <c r="G664" s="34">
        <v>0</v>
      </c>
      <c r="H664" s="35">
        <v>0</v>
      </c>
      <c r="I664" s="8">
        <f t="shared" ref="I664" si="1850">(IF(D664="SELL",E664-F664,IF(D664="BUY",F664-E664)))*C664</f>
        <v>-1000</v>
      </c>
      <c r="J664" s="8">
        <v>0</v>
      </c>
      <c r="K664" s="2">
        <v>0</v>
      </c>
      <c r="L664" s="8">
        <f t="shared" ref="L664" si="1851">(J664+I664+K664)/C664</f>
        <v>-10</v>
      </c>
      <c r="M664" s="8">
        <f t="shared" ref="M664" si="1852">L664*C664</f>
        <v>-1000</v>
      </c>
    </row>
    <row r="665" spans="1:13" ht="15.75" customHeight="1" x14ac:dyDescent="0.25">
      <c r="A665" s="24">
        <v>44067</v>
      </c>
      <c r="B665" s="29" t="s">
        <v>52</v>
      </c>
      <c r="C665" s="11">
        <v>1250</v>
      </c>
      <c r="D665" s="11" t="s">
        <v>11</v>
      </c>
      <c r="E665" s="11">
        <v>179.1</v>
      </c>
      <c r="F665" s="11">
        <v>181.2</v>
      </c>
      <c r="G665" s="34">
        <v>0</v>
      </c>
      <c r="H665" s="35">
        <v>0</v>
      </c>
      <c r="I665" s="8">
        <f t="shared" ref="I665" si="1853">(IF(D665="SELL",E665-F665,IF(D665="BUY",F665-E665)))*C665</f>
        <v>-2624.9999999999927</v>
      </c>
      <c r="J665" s="8">
        <v>0</v>
      </c>
      <c r="K665" s="2">
        <v>0</v>
      </c>
      <c r="L665" s="8">
        <f t="shared" ref="L665" si="1854">(J665+I665+K665)/C665</f>
        <v>-2.0999999999999943</v>
      </c>
      <c r="M665" s="8">
        <f t="shared" ref="M665" si="1855">L665*C665</f>
        <v>-2624.9999999999927</v>
      </c>
    </row>
    <row r="666" spans="1:13" ht="15.75" customHeight="1" x14ac:dyDescent="0.25">
      <c r="A666" s="24">
        <v>44067</v>
      </c>
      <c r="B666" s="29" t="s">
        <v>18</v>
      </c>
      <c r="C666" s="11">
        <v>2500</v>
      </c>
      <c r="D666" s="11" t="s">
        <v>11</v>
      </c>
      <c r="E666" s="11">
        <v>521</v>
      </c>
      <c r="F666" s="11">
        <v>519</v>
      </c>
      <c r="G666" s="34">
        <v>0</v>
      </c>
      <c r="H666" s="35">
        <v>0</v>
      </c>
      <c r="I666" s="8">
        <f t="shared" ref="I666" si="1856">(IF(D666="SELL",E666-F666,IF(D666="BUY",F666-E666)))*C666</f>
        <v>5000</v>
      </c>
      <c r="J666" s="8">
        <v>0</v>
      </c>
      <c r="K666" s="2">
        <v>0</v>
      </c>
      <c r="L666" s="8">
        <f t="shared" ref="L666" si="1857">(J666+I666+K666)/C666</f>
        <v>2</v>
      </c>
      <c r="M666" s="8">
        <f t="shared" ref="M666" si="1858">L666*C666</f>
        <v>5000</v>
      </c>
    </row>
    <row r="667" spans="1:13" ht="15.75" customHeight="1" x14ac:dyDescent="0.25">
      <c r="A667" s="24">
        <v>44064</v>
      </c>
      <c r="B667" s="29" t="s">
        <v>52</v>
      </c>
      <c r="C667" s="11">
        <v>1250</v>
      </c>
      <c r="D667" s="11" t="s">
        <v>10</v>
      </c>
      <c r="E667" s="11">
        <v>177.5</v>
      </c>
      <c r="F667" s="11">
        <v>178.5</v>
      </c>
      <c r="G667" s="34">
        <v>0</v>
      </c>
      <c r="H667" s="35">
        <v>0</v>
      </c>
      <c r="I667" s="8">
        <f t="shared" ref="I667" si="1859">(IF(D667="SELL",E667-F667,IF(D667="BUY",F667-E667)))*C667</f>
        <v>1250</v>
      </c>
      <c r="J667" s="8">
        <v>0</v>
      </c>
      <c r="K667" s="2">
        <v>0</v>
      </c>
      <c r="L667" s="8">
        <f t="shared" ref="L667" si="1860">(J667+I667+K667)/C667</f>
        <v>1</v>
      </c>
      <c r="M667" s="8">
        <f t="shared" ref="M667" si="1861">L667*C667</f>
        <v>1250</v>
      </c>
    </row>
    <row r="668" spans="1:13" ht="15.75" customHeight="1" x14ac:dyDescent="0.25">
      <c r="A668" s="24">
        <v>44064</v>
      </c>
      <c r="B668" s="29" t="s">
        <v>18</v>
      </c>
      <c r="C668" s="11">
        <v>2500</v>
      </c>
      <c r="D668" s="11" t="s">
        <v>11</v>
      </c>
      <c r="E668" s="11">
        <v>523.70000000000005</v>
      </c>
      <c r="F668" s="11">
        <v>522.70000000000005</v>
      </c>
      <c r="G668" s="34">
        <v>520</v>
      </c>
      <c r="H668" s="35">
        <v>0</v>
      </c>
      <c r="I668" s="8">
        <f t="shared" ref="I668" si="1862">(IF(D668="SELL",E668-F668,IF(D668="BUY",F668-E668)))*C668</f>
        <v>2500</v>
      </c>
      <c r="J668" s="8">
        <f>C668*2.7</f>
        <v>6750</v>
      </c>
      <c r="K668" s="2">
        <v>0</v>
      </c>
      <c r="L668" s="8">
        <f t="shared" ref="L668" si="1863">(J668+I668+K668)/C668</f>
        <v>3.7</v>
      </c>
      <c r="M668" s="8">
        <f t="shared" ref="M668" si="1864">L668*C668</f>
        <v>9250</v>
      </c>
    </row>
    <row r="669" spans="1:13" ht="15.75" customHeight="1" x14ac:dyDescent="0.25">
      <c r="A669" s="24">
        <v>44064</v>
      </c>
      <c r="B669" s="29" t="s">
        <v>17</v>
      </c>
      <c r="C669" s="11">
        <v>5000</v>
      </c>
      <c r="D669" s="11" t="s">
        <v>11</v>
      </c>
      <c r="E669" s="11">
        <v>198.1</v>
      </c>
      <c r="F669" s="11">
        <v>197.6</v>
      </c>
      <c r="G669" s="34">
        <v>197</v>
      </c>
      <c r="H669" s="35">
        <v>0</v>
      </c>
      <c r="I669" s="8">
        <f t="shared" ref="I669" si="1865">(IF(D669="SELL",E669-F669,IF(D669="BUY",F669-E669)))*C669</f>
        <v>2500</v>
      </c>
      <c r="J669" s="8">
        <f>C669*0.6</f>
        <v>3000</v>
      </c>
      <c r="K669" s="2">
        <v>0</v>
      </c>
      <c r="L669" s="8">
        <f t="shared" ref="L669" si="1866">(J669+I669+K669)/C669</f>
        <v>1.1000000000000001</v>
      </c>
      <c r="M669" s="8">
        <f t="shared" ref="M669" si="1867">L669*C669</f>
        <v>5500</v>
      </c>
    </row>
    <row r="670" spans="1:13" ht="15.75" customHeight="1" x14ac:dyDescent="0.25">
      <c r="A670" s="24">
        <v>44064</v>
      </c>
      <c r="B670" s="29" t="s">
        <v>19</v>
      </c>
      <c r="C670" s="11">
        <v>100</v>
      </c>
      <c r="D670" s="11" t="s">
        <v>10</v>
      </c>
      <c r="E670" s="11">
        <v>52360</v>
      </c>
      <c r="F670" s="11">
        <v>52270</v>
      </c>
      <c r="G670" s="34">
        <v>0</v>
      </c>
      <c r="H670" s="35">
        <v>0</v>
      </c>
      <c r="I670" s="8">
        <f t="shared" ref="I670" si="1868">(IF(D670="SELL",E670-F670,IF(D670="BUY",F670-E670)))*C670</f>
        <v>-9000</v>
      </c>
      <c r="J670" s="8">
        <v>0</v>
      </c>
      <c r="K670" s="2">
        <v>0</v>
      </c>
      <c r="L670" s="8">
        <f t="shared" ref="L670" si="1869">(J670+I670+K670)/C670</f>
        <v>-90</v>
      </c>
      <c r="M670" s="8">
        <f t="shared" ref="M670" si="1870">L670*C670</f>
        <v>-9000</v>
      </c>
    </row>
    <row r="671" spans="1:13" ht="15.75" customHeight="1" x14ac:dyDescent="0.25">
      <c r="A671" s="24">
        <v>44063</v>
      </c>
      <c r="B671" s="29" t="s">
        <v>21</v>
      </c>
      <c r="C671" s="11">
        <v>1500</v>
      </c>
      <c r="D671" s="11" t="s">
        <v>10</v>
      </c>
      <c r="E671" s="11">
        <v>1112</v>
      </c>
      <c r="F671" s="11">
        <v>1008</v>
      </c>
      <c r="G671" s="34">
        <v>0</v>
      </c>
      <c r="H671" s="35">
        <v>0</v>
      </c>
      <c r="I671" s="8">
        <f>C671*-4</f>
        <v>-6000</v>
      </c>
      <c r="J671" s="8">
        <v>0</v>
      </c>
      <c r="K671" s="2">
        <v>0</v>
      </c>
      <c r="L671" s="8">
        <f t="shared" ref="L671" si="1871">(J671+I671+K671)/C671</f>
        <v>-4</v>
      </c>
      <c r="M671" s="8">
        <f t="shared" ref="M671" si="1872">L671*C671</f>
        <v>-6000</v>
      </c>
    </row>
    <row r="672" spans="1:13" ht="15.75" customHeight="1" x14ac:dyDescent="0.25">
      <c r="A672" s="24">
        <v>44063</v>
      </c>
      <c r="B672" s="29" t="s">
        <v>52</v>
      </c>
      <c r="C672" s="11">
        <v>1250</v>
      </c>
      <c r="D672" s="11" t="s">
        <v>10</v>
      </c>
      <c r="E672" s="11">
        <v>183.4</v>
      </c>
      <c r="F672" s="11">
        <v>181.4</v>
      </c>
      <c r="G672" s="34">
        <v>0</v>
      </c>
      <c r="H672" s="35">
        <v>0</v>
      </c>
      <c r="I672" s="8">
        <f t="shared" ref="I672" si="1873">(IF(D672="SELL",E672-F672,IF(D672="BUY",F672-E672)))*C672</f>
        <v>-2500</v>
      </c>
      <c r="J672" s="8">
        <v>0</v>
      </c>
      <c r="K672" s="2">
        <v>0</v>
      </c>
      <c r="L672" s="8">
        <f t="shared" ref="L672" si="1874">(J672+I672+K672)/C672</f>
        <v>-2</v>
      </c>
      <c r="M672" s="8">
        <f t="shared" ref="M672" si="1875">L672*C672</f>
        <v>-2500</v>
      </c>
    </row>
    <row r="673" spans="1:13" ht="15.75" customHeight="1" x14ac:dyDescent="0.25">
      <c r="A673" s="24">
        <v>44063</v>
      </c>
      <c r="B673" s="29" t="s">
        <v>18</v>
      </c>
      <c r="C673" s="11">
        <v>2500</v>
      </c>
      <c r="D673" s="11" t="s">
        <v>10</v>
      </c>
      <c r="E673" s="11">
        <v>529.70000000000005</v>
      </c>
      <c r="F673" s="11">
        <v>531.20000000000005</v>
      </c>
      <c r="G673" s="34">
        <v>0</v>
      </c>
      <c r="H673" s="35">
        <v>0</v>
      </c>
      <c r="I673" s="8">
        <f t="shared" ref="I673" si="1876">(IF(D673="SELL",E673-F673,IF(D673="BUY",F673-E673)))*C673</f>
        <v>3750</v>
      </c>
      <c r="J673" s="8">
        <v>0</v>
      </c>
      <c r="K673" s="2">
        <v>0</v>
      </c>
      <c r="L673" s="8">
        <f t="shared" ref="L673" si="1877">(J673+I673+K673)/C673</f>
        <v>1.5</v>
      </c>
      <c r="M673" s="8">
        <f t="shared" ref="M673" si="1878">L673*C673</f>
        <v>3750</v>
      </c>
    </row>
    <row r="674" spans="1:13" ht="15.75" customHeight="1" x14ac:dyDescent="0.25">
      <c r="A674" s="24">
        <v>44063</v>
      </c>
      <c r="B674" s="29" t="s">
        <v>14</v>
      </c>
      <c r="C674" s="11">
        <v>30</v>
      </c>
      <c r="D674" s="11" t="s">
        <v>10</v>
      </c>
      <c r="E674" s="11">
        <v>66800</v>
      </c>
      <c r="F674" s="11">
        <v>66900</v>
      </c>
      <c r="G674" s="34">
        <v>67100</v>
      </c>
      <c r="H674" s="35">
        <v>67500</v>
      </c>
      <c r="I674" s="8">
        <f t="shared" ref="I674" si="1879">(IF(D674="SELL",E674-F674,IF(D674="BUY",F674-E674)))*C674</f>
        <v>3000</v>
      </c>
      <c r="J674" s="8">
        <f>C674*200</f>
        <v>6000</v>
      </c>
      <c r="K674" s="2">
        <f>C674*400</f>
        <v>12000</v>
      </c>
      <c r="L674" s="8">
        <f t="shared" ref="L674" si="1880">(J674+I674+K674)/C674</f>
        <v>700</v>
      </c>
      <c r="M674" s="8">
        <f t="shared" ref="M674" si="1881">L674*C674</f>
        <v>21000</v>
      </c>
    </row>
    <row r="675" spans="1:13" ht="15.75" customHeight="1" x14ac:dyDescent="0.25">
      <c r="A675" s="24">
        <v>44063</v>
      </c>
      <c r="B675" s="29" t="s">
        <v>19</v>
      </c>
      <c r="C675" s="11">
        <v>100</v>
      </c>
      <c r="D675" s="11" t="s">
        <v>10</v>
      </c>
      <c r="E675" s="11">
        <v>51900</v>
      </c>
      <c r="F675" s="11">
        <v>51950</v>
      </c>
      <c r="G675" s="34">
        <v>52100</v>
      </c>
      <c r="H675" s="35">
        <v>0</v>
      </c>
      <c r="I675" s="8">
        <f t="shared" ref="I675" si="1882">(IF(D675="SELL",E675-F675,IF(D675="BUY",F675-E675)))*C675</f>
        <v>5000</v>
      </c>
      <c r="J675" s="8">
        <f>C675*150</f>
        <v>15000</v>
      </c>
      <c r="K675" s="2">
        <v>0</v>
      </c>
      <c r="L675" s="8">
        <f t="shared" ref="L675" si="1883">(J675+I675+K675)/C675</f>
        <v>200</v>
      </c>
      <c r="M675" s="8">
        <f t="shared" ref="M675" si="1884">L675*C675</f>
        <v>20000</v>
      </c>
    </row>
    <row r="676" spans="1:13" ht="15.75" customHeight="1" x14ac:dyDescent="0.25">
      <c r="A676" s="24">
        <v>44063</v>
      </c>
      <c r="B676" s="29" t="s">
        <v>19</v>
      </c>
      <c r="C676" s="11">
        <v>100</v>
      </c>
      <c r="D676" s="11" t="s">
        <v>10</v>
      </c>
      <c r="E676" s="11">
        <v>52150</v>
      </c>
      <c r="F676" s="11">
        <v>52210</v>
      </c>
      <c r="G676" s="34">
        <v>52300</v>
      </c>
      <c r="H676" s="35">
        <v>0</v>
      </c>
      <c r="I676" s="8">
        <f t="shared" ref="I676" si="1885">(IF(D676="SELL",E676-F676,IF(D676="BUY",F676-E676)))*C676</f>
        <v>6000</v>
      </c>
      <c r="J676" s="8">
        <f>C676*90</f>
        <v>9000</v>
      </c>
      <c r="K676" s="2">
        <v>0</v>
      </c>
      <c r="L676" s="8">
        <f t="shared" ref="L676" si="1886">(J676+I676+K676)/C676</f>
        <v>150</v>
      </c>
      <c r="M676" s="8">
        <f t="shared" ref="M676" si="1887">L676*C676</f>
        <v>15000</v>
      </c>
    </row>
    <row r="677" spans="1:13" ht="15.75" customHeight="1" x14ac:dyDescent="0.25">
      <c r="A677" s="24">
        <v>44062</v>
      </c>
      <c r="B677" s="29" t="s">
        <v>19</v>
      </c>
      <c r="C677" s="11">
        <v>100</v>
      </c>
      <c r="D677" s="11" t="s">
        <v>10</v>
      </c>
      <c r="E677" s="11">
        <v>53120</v>
      </c>
      <c r="F677" s="11">
        <v>53170</v>
      </c>
      <c r="G677" s="34">
        <v>53300</v>
      </c>
      <c r="H677" s="35">
        <v>0</v>
      </c>
      <c r="I677" s="8">
        <f t="shared" ref="I677" si="1888">(IF(D677="SELL",E677-F677,IF(D677="BUY",F677-E677)))*C677</f>
        <v>5000</v>
      </c>
      <c r="J677" s="8">
        <f>C677*130</f>
        <v>13000</v>
      </c>
      <c r="K677" s="2">
        <v>0</v>
      </c>
      <c r="L677" s="8">
        <f t="shared" ref="L677" si="1889">(J677+I677+K677)/C677</f>
        <v>180</v>
      </c>
      <c r="M677" s="8">
        <f t="shared" ref="M677" si="1890">L677*C677</f>
        <v>18000</v>
      </c>
    </row>
    <row r="678" spans="1:13" ht="15.75" customHeight="1" x14ac:dyDescent="0.25">
      <c r="A678" s="24">
        <v>44062</v>
      </c>
      <c r="B678" s="29" t="s">
        <v>52</v>
      </c>
      <c r="C678" s="11">
        <v>1250</v>
      </c>
      <c r="D678" s="11" t="s">
        <v>10</v>
      </c>
      <c r="E678" s="11">
        <v>179.5</v>
      </c>
      <c r="F678" s="11">
        <v>180.5</v>
      </c>
      <c r="G678" s="34">
        <v>0</v>
      </c>
      <c r="H678" s="35">
        <v>0</v>
      </c>
      <c r="I678" s="8">
        <f t="shared" ref="I678" si="1891">(IF(D678="SELL",E678-F678,IF(D678="BUY",F678-E678)))*C678</f>
        <v>1250</v>
      </c>
      <c r="J678" s="8">
        <v>0</v>
      </c>
      <c r="K678" s="2">
        <v>0</v>
      </c>
      <c r="L678" s="8">
        <f t="shared" ref="L678" si="1892">(J678+I678+K678)/C678</f>
        <v>1</v>
      </c>
      <c r="M678" s="8">
        <f t="shared" ref="M678" si="1893">L678*C678</f>
        <v>1250</v>
      </c>
    </row>
    <row r="679" spans="1:13" ht="15.75" customHeight="1" x14ac:dyDescent="0.25">
      <c r="A679" s="24">
        <v>44062</v>
      </c>
      <c r="B679" s="29" t="s">
        <v>52</v>
      </c>
      <c r="C679" s="11">
        <v>1250</v>
      </c>
      <c r="D679" s="11" t="s">
        <v>10</v>
      </c>
      <c r="E679" s="11">
        <v>181.7</v>
      </c>
      <c r="F679" s="11">
        <v>183</v>
      </c>
      <c r="G679" s="34">
        <v>0</v>
      </c>
      <c r="H679" s="35">
        <v>0</v>
      </c>
      <c r="I679" s="8">
        <f t="shared" ref="I679" si="1894">(IF(D679="SELL",E679-F679,IF(D679="BUY",F679-E679)))*C679</f>
        <v>1625.0000000000141</v>
      </c>
      <c r="J679" s="8">
        <v>0</v>
      </c>
      <c r="K679" s="2">
        <v>0</v>
      </c>
      <c r="L679" s="8">
        <f t="shared" ref="L679" si="1895">(J679+I679+K679)/C679</f>
        <v>1.3000000000000114</v>
      </c>
      <c r="M679" s="8">
        <f t="shared" ref="M679" si="1896">L679*C679</f>
        <v>1625.0000000000141</v>
      </c>
    </row>
    <row r="680" spans="1:13" ht="15.75" customHeight="1" x14ac:dyDescent="0.25">
      <c r="A680" s="24">
        <v>44062</v>
      </c>
      <c r="B680" s="29" t="s">
        <v>21</v>
      </c>
      <c r="C680" s="11">
        <v>1500</v>
      </c>
      <c r="D680" s="11" t="s">
        <v>10</v>
      </c>
      <c r="E680" s="11">
        <v>1111</v>
      </c>
      <c r="F680" s="11">
        <v>1115</v>
      </c>
      <c r="G680" s="34">
        <v>0</v>
      </c>
      <c r="H680" s="35">
        <v>0</v>
      </c>
      <c r="I680" s="8">
        <f t="shared" ref="I680" si="1897">(IF(D680="SELL",E680-F680,IF(D680="BUY",F680-E680)))*C680</f>
        <v>6000</v>
      </c>
      <c r="J680" s="8">
        <v>0</v>
      </c>
      <c r="K680" s="2">
        <v>0</v>
      </c>
      <c r="L680" s="8">
        <f t="shared" ref="L680" si="1898">(J680+I680+K680)/C680</f>
        <v>4</v>
      </c>
      <c r="M680" s="8">
        <f t="shared" ref="M680" si="1899">L680*C680</f>
        <v>6000</v>
      </c>
    </row>
    <row r="681" spans="1:13" ht="15.75" customHeight="1" x14ac:dyDescent="0.25">
      <c r="A681" s="24">
        <v>44062</v>
      </c>
      <c r="B681" s="29" t="s">
        <v>14</v>
      </c>
      <c r="C681" s="11">
        <v>30</v>
      </c>
      <c r="D681" s="11" t="s">
        <v>10</v>
      </c>
      <c r="E681" s="11">
        <v>68300</v>
      </c>
      <c r="F681" s="11">
        <v>68400</v>
      </c>
      <c r="G681" s="34">
        <v>0</v>
      </c>
      <c r="H681" s="35">
        <v>0</v>
      </c>
      <c r="I681" s="8">
        <f t="shared" ref="I681" si="1900">(IF(D681="SELL",E681-F681,IF(D681="BUY",F681-E681)))*C681</f>
        <v>3000</v>
      </c>
      <c r="J681" s="8">
        <v>0</v>
      </c>
      <c r="K681" s="2">
        <v>0</v>
      </c>
      <c r="L681" s="8">
        <f t="shared" ref="L681" si="1901">(J681+I681+K681)/C681</f>
        <v>100</v>
      </c>
      <c r="M681" s="8">
        <f t="shared" ref="M681" si="1902">L681*C681</f>
        <v>3000</v>
      </c>
    </row>
    <row r="682" spans="1:13" ht="15.75" customHeight="1" x14ac:dyDescent="0.25">
      <c r="A682" s="24">
        <v>44062</v>
      </c>
      <c r="B682" s="29" t="s">
        <v>18</v>
      </c>
      <c r="C682" s="11">
        <v>2500</v>
      </c>
      <c r="D682" s="11" t="s">
        <v>10</v>
      </c>
      <c r="E682" s="11">
        <v>530</v>
      </c>
      <c r="F682" s="11">
        <v>531.5</v>
      </c>
      <c r="G682" s="34">
        <v>535</v>
      </c>
      <c r="H682" s="35">
        <v>0</v>
      </c>
      <c r="I682" s="8">
        <f t="shared" ref="I682" si="1903">(IF(D682="SELL",E682-F682,IF(D682="BUY",F682-E682)))*C682</f>
        <v>3750</v>
      </c>
      <c r="J682" s="8">
        <f>C682*3.5</f>
        <v>8750</v>
      </c>
      <c r="K682" s="2">
        <v>0</v>
      </c>
      <c r="L682" s="8">
        <f t="shared" ref="L682" si="1904">(J682+I682+K682)/C682</f>
        <v>5</v>
      </c>
      <c r="M682" s="8">
        <f t="shared" ref="M682" si="1905">L682*C682</f>
        <v>12500</v>
      </c>
    </row>
    <row r="683" spans="1:13" ht="15.75" customHeight="1" x14ac:dyDescent="0.25">
      <c r="A683" s="24">
        <v>44062</v>
      </c>
      <c r="B683" s="29" t="s">
        <v>19</v>
      </c>
      <c r="C683" s="11">
        <v>100</v>
      </c>
      <c r="D683" s="11" t="s">
        <v>10</v>
      </c>
      <c r="E683" s="11">
        <v>53280</v>
      </c>
      <c r="F683" s="11">
        <v>53330</v>
      </c>
      <c r="G683" s="34">
        <v>0</v>
      </c>
      <c r="H683" s="35">
        <v>0</v>
      </c>
      <c r="I683" s="8">
        <f t="shared" ref="I683" si="1906">(IF(D683="SELL",E683-F683,IF(D683="BUY",F683-E683)))*C683</f>
        <v>5000</v>
      </c>
      <c r="J683" s="8">
        <v>0</v>
      </c>
      <c r="K683" s="2">
        <v>0</v>
      </c>
      <c r="L683" s="8">
        <f t="shared" ref="L683" si="1907">(J683+I683+K683)/C683</f>
        <v>50</v>
      </c>
      <c r="M683" s="8">
        <f t="shared" ref="M683" si="1908">L683*C683</f>
        <v>5000</v>
      </c>
    </row>
    <row r="684" spans="1:13" ht="15.75" customHeight="1" x14ac:dyDescent="0.25">
      <c r="A684" s="24">
        <v>44062</v>
      </c>
      <c r="B684" s="29" t="s">
        <v>17</v>
      </c>
      <c r="C684" s="11">
        <v>5000</v>
      </c>
      <c r="D684" s="11" t="s">
        <v>10</v>
      </c>
      <c r="E684" s="11">
        <v>194.7</v>
      </c>
      <c r="F684" s="11">
        <v>195.2</v>
      </c>
      <c r="G684" s="34">
        <v>196</v>
      </c>
      <c r="H684" s="35">
        <v>0</v>
      </c>
      <c r="I684" s="8">
        <f t="shared" ref="I684" si="1909">(IF(D684="SELL",E684-F684,IF(D684="BUY",F684-E684)))*C684</f>
        <v>2500</v>
      </c>
      <c r="J684" s="8">
        <f>C684*0.8</f>
        <v>4000</v>
      </c>
      <c r="K684" s="2">
        <v>0</v>
      </c>
      <c r="L684" s="8">
        <f t="shared" ref="L684" si="1910">(J684+I684+K684)/C684</f>
        <v>1.3</v>
      </c>
      <c r="M684" s="8">
        <f t="shared" ref="M684" si="1911">L684*C684</f>
        <v>6500</v>
      </c>
    </row>
    <row r="685" spans="1:13" ht="15.75" customHeight="1" x14ac:dyDescent="0.25">
      <c r="A685" s="24">
        <v>44061</v>
      </c>
      <c r="B685" s="29" t="s">
        <v>16</v>
      </c>
      <c r="C685" s="11">
        <v>100</v>
      </c>
      <c r="D685" s="11" t="s">
        <v>10</v>
      </c>
      <c r="E685" s="11">
        <v>3190</v>
      </c>
      <c r="F685" s="11">
        <v>3150</v>
      </c>
      <c r="G685" s="34">
        <v>0</v>
      </c>
      <c r="H685" s="35">
        <v>0</v>
      </c>
      <c r="I685" s="8">
        <f t="shared" ref="I685" si="1912">(IF(D685="SELL",E685-F685,IF(D685="BUY",F685-E685)))*C685</f>
        <v>-4000</v>
      </c>
      <c r="J685" s="8">
        <v>0</v>
      </c>
      <c r="K685" s="2">
        <v>0</v>
      </c>
      <c r="L685" s="8">
        <f t="shared" ref="L685" si="1913">(J685+I685+K685)/C685</f>
        <v>-40</v>
      </c>
      <c r="M685" s="8">
        <f t="shared" ref="M685" si="1914">L685*C685</f>
        <v>-4000</v>
      </c>
    </row>
    <row r="686" spans="1:13" ht="15.75" customHeight="1" x14ac:dyDescent="0.25">
      <c r="A686" s="24">
        <v>44061</v>
      </c>
      <c r="B686" s="29" t="s">
        <v>52</v>
      </c>
      <c r="C686" s="11">
        <v>1250</v>
      </c>
      <c r="D686" s="11" t="s">
        <v>10</v>
      </c>
      <c r="E686" s="11">
        <v>175.8</v>
      </c>
      <c r="F686" s="11">
        <v>177</v>
      </c>
      <c r="G686" s="34">
        <v>180</v>
      </c>
      <c r="H686" s="35">
        <v>0</v>
      </c>
      <c r="I686" s="8">
        <f t="shared" ref="I686" si="1915">(IF(D686="SELL",E686-F686,IF(D686="BUY",F686-E686)))*C686</f>
        <v>1499.9999999999859</v>
      </c>
      <c r="J686" s="8">
        <f>C686*3</f>
        <v>3750</v>
      </c>
      <c r="K686" s="2">
        <v>0</v>
      </c>
      <c r="L686" s="8">
        <f t="shared" ref="L686" si="1916">(J686+I686+K686)/C686</f>
        <v>4.1999999999999886</v>
      </c>
      <c r="M686" s="8">
        <f t="shared" ref="M686" si="1917">L686*C686</f>
        <v>5249.9999999999854</v>
      </c>
    </row>
    <row r="687" spans="1:13" ht="15.75" customHeight="1" x14ac:dyDescent="0.25">
      <c r="A687" s="24">
        <v>44061</v>
      </c>
      <c r="B687" s="29" t="s">
        <v>19</v>
      </c>
      <c r="C687" s="11">
        <v>100</v>
      </c>
      <c r="D687" s="11" t="s">
        <v>10</v>
      </c>
      <c r="E687" s="11">
        <v>53890</v>
      </c>
      <c r="F687" s="11">
        <v>53950</v>
      </c>
      <c r="G687" s="34"/>
      <c r="H687" s="35">
        <v>0</v>
      </c>
      <c r="I687" s="8">
        <f t="shared" ref="I687" si="1918">(IF(D687="SELL",E687-F687,IF(D687="BUY",F687-E687)))*C687</f>
        <v>6000</v>
      </c>
      <c r="J687" s="8">
        <v>0</v>
      </c>
      <c r="K687" s="2">
        <v>0</v>
      </c>
      <c r="L687" s="8">
        <f t="shared" ref="L687" si="1919">(J687+I687+K687)/C687</f>
        <v>60</v>
      </c>
      <c r="M687" s="8">
        <f t="shared" ref="M687" si="1920">L687*C687</f>
        <v>6000</v>
      </c>
    </row>
    <row r="688" spans="1:13" ht="15.75" customHeight="1" x14ac:dyDescent="0.25">
      <c r="A688" s="24">
        <v>44061</v>
      </c>
      <c r="B688" s="29" t="s">
        <v>52</v>
      </c>
      <c r="C688" s="11">
        <v>1250</v>
      </c>
      <c r="D688" s="11" t="s">
        <v>10</v>
      </c>
      <c r="E688" s="11">
        <v>175.8</v>
      </c>
      <c r="F688" s="11">
        <v>177</v>
      </c>
      <c r="G688" s="34">
        <v>180</v>
      </c>
      <c r="H688" s="35">
        <v>0</v>
      </c>
      <c r="I688" s="8">
        <f t="shared" ref="I688" si="1921">(IF(D688="SELL",E688-F688,IF(D688="BUY",F688-E688)))*C688</f>
        <v>1499.9999999999859</v>
      </c>
      <c r="J688" s="8">
        <f>C688*3</f>
        <v>3750</v>
      </c>
      <c r="K688" s="2">
        <v>0</v>
      </c>
      <c r="L688" s="8">
        <f t="shared" ref="L688" si="1922">(J688+I688+K688)/C688</f>
        <v>4.1999999999999886</v>
      </c>
      <c r="M688" s="8">
        <f t="shared" ref="M688" si="1923">L688*C688</f>
        <v>5249.9999999999854</v>
      </c>
    </row>
    <row r="689" spans="1:13" ht="15.75" customHeight="1" x14ac:dyDescent="0.25">
      <c r="A689" s="24">
        <v>44061</v>
      </c>
      <c r="B689" s="29" t="s">
        <v>18</v>
      </c>
      <c r="C689" s="11">
        <v>2500</v>
      </c>
      <c r="D689" s="11" t="s">
        <v>10</v>
      </c>
      <c r="E689" s="11">
        <v>517</v>
      </c>
      <c r="F689" s="11">
        <v>518.5</v>
      </c>
      <c r="G689" s="34">
        <v>521.5</v>
      </c>
      <c r="H689" s="35">
        <v>0</v>
      </c>
      <c r="I689" s="8">
        <f t="shared" ref="I689" si="1924">(IF(D689="SELL",E689-F689,IF(D689="BUY",F689-E689)))*C689</f>
        <v>3750</v>
      </c>
      <c r="J689" s="8">
        <f>C689*3</f>
        <v>7500</v>
      </c>
      <c r="K689" s="2">
        <v>0</v>
      </c>
      <c r="L689" s="8">
        <f t="shared" ref="L689" si="1925">(J689+I689+K689)/C689</f>
        <v>4.5</v>
      </c>
      <c r="M689" s="8">
        <f t="shared" ref="M689" si="1926">L689*C689</f>
        <v>11250</v>
      </c>
    </row>
    <row r="690" spans="1:13" ht="15.75" customHeight="1" x14ac:dyDescent="0.25">
      <c r="A690" s="24">
        <v>44061</v>
      </c>
      <c r="B690" s="29" t="s">
        <v>21</v>
      </c>
      <c r="C690" s="11">
        <v>1250</v>
      </c>
      <c r="D690" s="11" t="s">
        <v>10</v>
      </c>
      <c r="E690" s="11">
        <v>1107.5999999999999</v>
      </c>
      <c r="F690" s="11">
        <v>1112</v>
      </c>
      <c r="G690" s="34">
        <v>0</v>
      </c>
      <c r="H690" s="35">
        <v>0</v>
      </c>
      <c r="I690" s="8">
        <f t="shared" ref="I690" si="1927">(IF(D690="SELL",E690-F690,IF(D690="BUY",F690-E690)))*C690</f>
        <v>5500.0000000001137</v>
      </c>
      <c r="J690" s="8">
        <v>0</v>
      </c>
      <c r="K690" s="2">
        <v>0</v>
      </c>
      <c r="L690" s="8">
        <f t="shared" ref="L690" si="1928">(J690+I690+K690)/C690</f>
        <v>4.4000000000000909</v>
      </c>
      <c r="M690" s="8">
        <f t="shared" ref="M690" si="1929">L690*C690</f>
        <v>5500.0000000001137</v>
      </c>
    </row>
    <row r="691" spans="1:13" ht="15.75" customHeight="1" x14ac:dyDescent="0.25">
      <c r="A691" s="24">
        <v>44061</v>
      </c>
      <c r="B691" s="29" t="s">
        <v>14</v>
      </c>
      <c r="C691" s="11">
        <v>30</v>
      </c>
      <c r="D691" s="11" t="s">
        <v>10</v>
      </c>
      <c r="E691" s="11">
        <v>70650</v>
      </c>
      <c r="F691" s="11">
        <v>70750</v>
      </c>
      <c r="G691" s="34">
        <v>71000</v>
      </c>
      <c r="H691" s="35">
        <v>0</v>
      </c>
      <c r="I691" s="8">
        <f t="shared" ref="I691" si="1930">(IF(D691="SELL",E691-F691,IF(D691="BUY",F691-E691)))*C691</f>
        <v>3000</v>
      </c>
      <c r="J691" s="8">
        <f>C691*250</f>
        <v>7500</v>
      </c>
      <c r="K691" s="2">
        <v>0</v>
      </c>
      <c r="L691" s="8">
        <f t="shared" ref="L691" si="1931">(J691+I691+K691)/C691</f>
        <v>350</v>
      </c>
      <c r="M691" s="8">
        <f t="shared" ref="M691" si="1932">L691*C691</f>
        <v>10500</v>
      </c>
    </row>
    <row r="692" spans="1:13" ht="15.75" customHeight="1" x14ac:dyDescent="0.25">
      <c r="A692" s="24">
        <v>44061</v>
      </c>
      <c r="B692" s="29" t="s">
        <v>17</v>
      </c>
      <c r="C692" s="11">
        <v>5000</v>
      </c>
      <c r="D692" s="11" t="s">
        <v>10</v>
      </c>
      <c r="E692" s="11">
        <v>193.3</v>
      </c>
      <c r="F692" s="11">
        <v>193.9</v>
      </c>
      <c r="G692" s="34">
        <v>195</v>
      </c>
      <c r="H692" s="35">
        <v>0</v>
      </c>
      <c r="I692" s="8">
        <f t="shared" ref="I692" si="1933">(IF(D692="SELL",E692-F692,IF(D692="BUY",F692-E692)))*C692</f>
        <v>2999.9999999999718</v>
      </c>
      <c r="J692" s="8">
        <f>C692*1.1</f>
        <v>5500</v>
      </c>
      <c r="K692" s="2">
        <v>0</v>
      </c>
      <c r="L692" s="8">
        <f t="shared" ref="L692" si="1934">(J692+I692+K692)/C692</f>
        <v>1.6999999999999942</v>
      </c>
      <c r="M692" s="8">
        <f t="shared" ref="M692" si="1935">L692*C692</f>
        <v>8499.9999999999709</v>
      </c>
    </row>
    <row r="693" spans="1:13" ht="15.75" customHeight="1" x14ac:dyDescent="0.25">
      <c r="A693" s="24">
        <v>44061</v>
      </c>
      <c r="B693" s="29" t="s">
        <v>19</v>
      </c>
      <c r="C693" s="11">
        <v>100</v>
      </c>
      <c r="D693" s="11" t="s">
        <v>10</v>
      </c>
      <c r="E693" s="11">
        <v>53560</v>
      </c>
      <c r="F693" s="11">
        <v>53610</v>
      </c>
      <c r="G693" s="34">
        <v>53710</v>
      </c>
      <c r="H693" s="35">
        <v>0</v>
      </c>
      <c r="I693" s="8">
        <f t="shared" ref="I693" si="1936">(IF(D693="SELL",E693-F693,IF(D693="BUY",F693-E693)))*C693</f>
        <v>5000</v>
      </c>
      <c r="J693" s="8">
        <f>C693*100</f>
        <v>10000</v>
      </c>
      <c r="K693" s="2">
        <v>0</v>
      </c>
      <c r="L693" s="8">
        <f t="shared" ref="L693" si="1937">(J693+I693+K693)/C693</f>
        <v>150</v>
      </c>
      <c r="M693" s="8">
        <f t="shared" ref="M693" si="1938">L693*C693</f>
        <v>15000</v>
      </c>
    </row>
    <row r="694" spans="1:13" ht="15.75" customHeight="1" x14ac:dyDescent="0.25">
      <c r="A694" s="24">
        <v>44060</v>
      </c>
      <c r="B694" s="29" t="s">
        <v>19</v>
      </c>
      <c r="C694" s="11">
        <v>100</v>
      </c>
      <c r="D694" s="11" t="s">
        <v>10</v>
      </c>
      <c r="E694" s="11">
        <v>52570</v>
      </c>
      <c r="F694" s="11">
        <v>52630</v>
      </c>
      <c r="G694" s="34">
        <v>52725</v>
      </c>
      <c r="H694" s="35">
        <v>0</v>
      </c>
      <c r="I694" s="8">
        <f t="shared" ref="I694" si="1939">(IF(D694="SELL",E694-F694,IF(D694="BUY",F694-E694)))*C694</f>
        <v>6000</v>
      </c>
      <c r="J694" s="8">
        <f>C694*95</f>
        <v>9500</v>
      </c>
      <c r="K694" s="2">
        <v>0</v>
      </c>
      <c r="L694" s="8">
        <f t="shared" ref="L694" si="1940">(J694+I694+K694)/C694</f>
        <v>155</v>
      </c>
      <c r="M694" s="8">
        <f t="shared" ref="M694" si="1941">L694*C694</f>
        <v>15500</v>
      </c>
    </row>
    <row r="695" spans="1:13" ht="15.75" customHeight="1" x14ac:dyDescent="0.25">
      <c r="A695" s="24">
        <v>44060</v>
      </c>
      <c r="B695" s="29" t="s">
        <v>16</v>
      </c>
      <c r="C695" s="11">
        <v>100</v>
      </c>
      <c r="D695" s="11" t="s">
        <v>11</v>
      </c>
      <c r="E695" s="11">
        <v>3155</v>
      </c>
      <c r="F695" s="11">
        <v>3135</v>
      </c>
      <c r="G695" s="34">
        <v>3100</v>
      </c>
      <c r="H695" s="35">
        <v>0</v>
      </c>
      <c r="I695" s="8">
        <f t="shared" ref="I695" si="1942">(IF(D695="SELL",E695-F695,IF(D695="BUY",F695-E695)))*C695</f>
        <v>2000</v>
      </c>
      <c r="J695" s="8">
        <f>C695*35</f>
        <v>3500</v>
      </c>
      <c r="K695" s="2">
        <v>0</v>
      </c>
      <c r="L695" s="8">
        <f t="shared" ref="L695" si="1943">(J695+I695+K695)/C695</f>
        <v>55</v>
      </c>
      <c r="M695" s="8">
        <f t="shared" ref="M695" si="1944">L695*C695</f>
        <v>5500</v>
      </c>
    </row>
    <row r="696" spans="1:13" ht="15.75" customHeight="1" x14ac:dyDescent="0.25">
      <c r="A696" s="24">
        <v>44060</v>
      </c>
      <c r="B696" s="29" t="s">
        <v>17</v>
      </c>
      <c r="C696" s="11">
        <v>5000</v>
      </c>
      <c r="D696" s="11" t="s">
        <v>10</v>
      </c>
      <c r="E696" s="11">
        <v>191</v>
      </c>
      <c r="F696" s="11">
        <v>191.6</v>
      </c>
      <c r="G696" s="34">
        <v>193</v>
      </c>
      <c r="H696" s="35">
        <v>0</v>
      </c>
      <c r="I696" s="8">
        <f t="shared" ref="I696" si="1945">(IF(D696="SELL",E696-F696,IF(D696="BUY",F696-E696)))*C696</f>
        <v>2999.9999999999718</v>
      </c>
      <c r="J696" s="8">
        <f>C696*1.4</f>
        <v>7000</v>
      </c>
      <c r="K696" s="2">
        <v>0</v>
      </c>
      <c r="L696" s="8">
        <f t="shared" ref="L696" si="1946">(J696+I696+K696)/C696</f>
        <v>1.9999999999999942</v>
      </c>
      <c r="M696" s="8">
        <f t="shared" ref="M696" si="1947">L696*C696</f>
        <v>9999.9999999999709</v>
      </c>
    </row>
    <row r="697" spans="1:13" ht="15.75" customHeight="1" x14ac:dyDescent="0.25">
      <c r="A697" s="24">
        <v>44060</v>
      </c>
      <c r="B697" s="29" t="s">
        <v>14</v>
      </c>
      <c r="C697" s="11">
        <v>30</v>
      </c>
      <c r="D697" s="11" t="s">
        <v>10</v>
      </c>
      <c r="E697" s="11">
        <v>69080</v>
      </c>
      <c r="F697" s="11">
        <v>68700</v>
      </c>
      <c r="G697" s="34">
        <v>0</v>
      </c>
      <c r="H697" s="35">
        <v>0</v>
      </c>
      <c r="I697" s="8">
        <f t="shared" ref="I697" si="1948">(IF(D697="SELL",E697-F697,IF(D697="BUY",F697-E697)))*C697</f>
        <v>-11400</v>
      </c>
      <c r="J697" s="8">
        <v>0</v>
      </c>
      <c r="K697" s="2">
        <v>0</v>
      </c>
      <c r="L697" s="8">
        <f t="shared" ref="L697" si="1949">(J697+I697+K697)/C697</f>
        <v>-380</v>
      </c>
      <c r="M697" s="8">
        <f t="shared" ref="M697" si="1950">L697*C697</f>
        <v>-11400</v>
      </c>
    </row>
    <row r="698" spans="1:13" ht="15.75" customHeight="1" x14ac:dyDescent="0.25">
      <c r="A698" s="24">
        <v>44060</v>
      </c>
      <c r="B698" s="29" t="s">
        <v>21</v>
      </c>
      <c r="C698" s="11">
        <v>1500</v>
      </c>
      <c r="D698" s="11" t="s">
        <v>10</v>
      </c>
      <c r="E698" s="11">
        <v>1101</v>
      </c>
      <c r="F698" s="11">
        <v>1105</v>
      </c>
      <c r="G698" s="34">
        <v>0</v>
      </c>
      <c r="H698" s="35">
        <v>0</v>
      </c>
      <c r="I698" s="8">
        <f>C698*4</f>
        <v>6000</v>
      </c>
      <c r="J698" s="8">
        <v>0</v>
      </c>
      <c r="K698" s="2">
        <v>0</v>
      </c>
      <c r="L698" s="8">
        <f t="shared" ref="L698" si="1951">(J698+I698+K698)/C698</f>
        <v>4</v>
      </c>
      <c r="M698" s="8">
        <f t="shared" ref="M698" si="1952">L698*C698</f>
        <v>6000</v>
      </c>
    </row>
    <row r="699" spans="1:13" ht="15.75" customHeight="1" x14ac:dyDescent="0.25">
      <c r="A699" s="24">
        <v>44060</v>
      </c>
      <c r="B699" s="29" t="s">
        <v>52</v>
      </c>
      <c r="C699" s="11">
        <v>1250</v>
      </c>
      <c r="D699" s="11" t="s">
        <v>11</v>
      </c>
      <c r="E699" s="11">
        <v>175.7</v>
      </c>
      <c r="F699" s="11">
        <v>174.5</v>
      </c>
      <c r="G699" s="34">
        <v>172</v>
      </c>
      <c r="H699" s="35">
        <v>0</v>
      </c>
      <c r="I699" s="8">
        <f>C699*1.2</f>
        <v>1500</v>
      </c>
      <c r="J699" s="8">
        <f>C699*2.5</f>
        <v>3125</v>
      </c>
      <c r="K699" s="2">
        <v>0</v>
      </c>
      <c r="L699" s="8">
        <f t="shared" ref="L699" si="1953">(J699+I699+K699)/C699</f>
        <v>3.7</v>
      </c>
      <c r="M699" s="8">
        <f t="shared" ref="M699" si="1954">L699*C699</f>
        <v>4625</v>
      </c>
    </row>
    <row r="700" spans="1:13" ht="15.75" customHeight="1" x14ac:dyDescent="0.25">
      <c r="A700" s="24">
        <v>44060</v>
      </c>
      <c r="B700" s="29" t="s">
        <v>18</v>
      </c>
      <c r="C700" s="11">
        <v>2500</v>
      </c>
      <c r="D700" s="11" t="s">
        <v>10</v>
      </c>
      <c r="E700" s="11">
        <v>513</v>
      </c>
      <c r="F700" s="11">
        <v>514.5</v>
      </c>
      <c r="G700" s="34">
        <v>517.5</v>
      </c>
      <c r="H700" s="35">
        <v>0</v>
      </c>
      <c r="I700" s="8">
        <f>C700*1.5</f>
        <v>3750</v>
      </c>
      <c r="J700" s="8">
        <f>C700*3</f>
        <v>7500</v>
      </c>
      <c r="K700" s="2">
        <v>0</v>
      </c>
      <c r="L700" s="8">
        <f t="shared" ref="L700" si="1955">(J700+I700+K700)/C700</f>
        <v>4.5</v>
      </c>
      <c r="M700" s="8">
        <f t="shared" ref="M700" si="1956">L700*C700</f>
        <v>11250</v>
      </c>
    </row>
    <row r="701" spans="1:13" ht="15.75" customHeight="1" x14ac:dyDescent="0.25">
      <c r="A701" s="24">
        <v>44057</v>
      </c>
      <c r="B701" s="29" t="s">
        <v>17</v>
      </c>
      <c r="C701" s="11">
        <v>5000</v>
      </c>
      <c r="D701" s="11" t="s">
        <v>10</v>
      </c>
      <c r="E701" s="11">
        <v>188.6</v>
      </c>
      <c r="F701" s="11">
        <v>189.2</v>
      </c>
      <c r="G701" s="34">
        <v>0</v>
      </c>
      <c r="H701" s="35">
        <v>0</v>
      </c>
      <c r="I701" s="8">
        <f>C701*0.6</f>
        <v>3000</v>
      </c>
      <c r="J701" s="8">
        <v>0</v>
      </c>
      <c r="K701" s="2">
        <v>0</v>
      </c>
      <c r="L701" s="8">
        <f t="shared" ref="L701" si="1957">(J701+I701+K701)/C701</f>
        <v>0.6</v>
      </c>
      <c r="M701" s="8">
        <f t="shared" ref="M701" si="1958">L701*C701</f>
        <v>3000</v>
      </c>
    </row>
    <row r="702" spans="1:13" ht="15.75" customHeight="1" x14ac:dyDescent="0.25">
      <c r="A702" s="24">
        <v>44057</v>
      </c>
      <c r="B702" s="29" t="s">
        <v>19</v>
      </c>
      <c r="C702" s="11">
        <v>100</v>
      </c>
      <c r="D702" s="11" t="s">
        <v>10</v>
      </c>
      <c r="E702" s="11">
        <v>52500</v>
      </c>
      <c r="F702" s="11">
        <v>52560</v>
      </c>
      <c r="G702" s="34">
        <v>52700</v>
      </c>
      <c r="H702" s="35">
        <v>0</v>
      </c>
      <c r="I702" s="8">
        <f>C702*60</f>
        <v>6000</v>
      </c>
      <c r="J702" s="8">
        <f>C702*140</f>
        <v>14000</v>
      </c>
      <c r="K702" s="2">
        <v>0</v>
      </c>
      <c r="L702" s="8">
        <f t="shared" ref="L702" si="1959">(J702+I702+K702)/C702</f>
        <v>200</v>
      </c>
      <c r="M702" s="8">
        <f t="shared" ref="M702" si="1960">L702*C702</f>
        <v>20000</v>
      </c>
    </row>
    <row r="703" spans="1:13" ht="15.75" customHeight="1" x14ac:dyDescent="0.25">
      <c r="A703" s="24">
        <v>44057</v>
      </c>
      <c r="B703" s="29" t="s">
        <v>52</v>
      </c>
      <c r="C703" s="11">
        <v>1250</v>
      </c>
      <c r="D703" s="11" t="s">
        <v>10</v>
      </c>
      <c r="E703" s="11">
        <v>165.5</v>
      </c>
      <c r="F703" s="11">
        <v>166.5</v>
      </c>
      <c r="G703" s="34">
        <v>168.5</v>
      </c>
      <c r="H703" s="35">
        <v>0</v>
      </c>
      <c r="I703" s="8">
        <f>C703*1</f>
        <v>1250</v>
      </c>
      <c r="J703" s="8">
        <f>C703*2</f>
        <v>2500</v>
      </c>
      <c r="K703" s="2">
        <v>0</v>
      </c>
      <c r="L703" s="8">
        <f t="shared" ref="L703" si="1961">(J703+I703+K703)/C703</f>
        <v>3</v>
      </c>
      <c r="M703" s="8">
        <f t="shared" ref="M703" si="1962">L703*C703</f>
        <v>3750</v>
      </c>
    </row>
    <row r="704" spans="1:13" ht="15.75" customHeight="1" x14ac:dyDescent="0.25">
      <c r="A704" s="24">
        <v>44057</v>
      </c>
      <c r="B704" s="29" t="s">
        <v>21</v>
      </c>
      <c r="C704" s="11">
        <v>1500</v>
      </c>
      <c r="D704" s="11" t="s">
        <v>10</v>
      </c>
      <c r="E704" s="11">
        <v>1085</v>
      </c>
      <c r="F704" s="11">
        <v>1090</v>
      </c>
      <c r="G704" s="34">
        <v>0</v>
      </c>
      <c r="H704" s="35">
        <v>0</v>
      </c>
      <c r="I704" s="8">
        <f>C704*5</f>
        <v>7500</v>
      </c>
      <c r="J704" s="8">
        <v>0</v>
      </c>
      <c r="K704" s="2">
        <v>0</v>
      </c>
      <c r="L704" s="8">
        <f t="shared" ref="L704" si="1963">(J704+I704+K704)/C704</f>
        <v>5</v>
      </c>
      <c r="M704" s="8">
        <f t="shared" ref="M704" si="1964">L704*C704</f>
        <v>7500</v>
      </c>
    </row>
    <row r="705" spans="1:13" ht="15.75" customHeight="1" x14ac:dyDescent="0.25">
      <c r="A705" s="24">
        <v>44057</v>
      </c>
      <c r="B705" s="29" t="s">
        <v>19</v>
      </c>
      <c r="C705" s="11">
        <v>100</v>
      </c>
      <c r="D705" s="11" t="s">
        <v>10</v>
      </c>
      <c r="E705" s="11">
        <v>42435</v>
      </c>
      <c r="F705" s="11">
        <v>42485</v>
      </c>
      <c r="G705" s="34">
        <v>0</v>
      </c>
      <c r="H705" s="35">
        <v>0</v>
      </c>
      <c r="I705" s="8">
        <f>C705*50</f>
        <v>5000</v>
      </c>
      <c r="J705" s="8">
        <v>0</v>
      </c>
      <c r="K705" s="2">
        <v>0</v>
      </c>
      <c r="L705" s="8">
        <f t="shared" ref="L705" si="1965">(J705+I705+K705)/C705</f>
        <v>50</v>
      </c>
      <c r="M705" s="8">
        <f t="shared" ref="M705" si="1966">L705*C705</f>
        <v>5000</v>
      </c>
    </row>
    <row r="706" spans="1:13" ht="15.75" customHeight="1" x14ac:dyDescent="0.25">
      <c r="A706" s="24">
        <v>44057</v>
      </c>
      <c r="B706" s="29" t="s">
        <v>16</v>
      </c>
      <c r="C706" s="11">
        <v>100</v>
      </c>
      <c r="D706" s="11" t="s">
        <v>10</v>
      </c>
      <c r="E706" s="11">
        <v>3150</v>
      </c>
      <c r="F706" s="11">
        <v>3130</v>
      </c>
      <c r="G706" s="34">
        <v>0</v>
      </c>
      <c r="H706" s="35">
        <v>0</v>
      </c>
      <c r="I706" s="8">
        <f>C706*20</f>
        <v>2000</v>
      </c>
      <c r="J706" s="8">
        <v>0</v>
      </c>
      <c r="K706" s="2">
        <v>0</v>
      </c>
      <c r="L706" s="8">
        <f t="shared" ref="L706" si="1967">(J706+I706+K706)/C706</f>
        <v>20</v>
      </c>
      <c r="M706" s="8">
        <f t="shared" ref="M706" si="1968">L706*C706</f>
        <v>2000</v>
      </c>
    </row>
    <row r="707" spans="1:13" ht="15.75" customHeight="1" x14ac:dyDescent="0.25">
      <c r="A707" s="24">
        <v>44057</v>
      </c>
      <c r="B707" s="29" t="s">
        <v>19</v>
      </c>
      <c r="C707" s="11">
        <v>100</v>
      </c>
      <c r="D707" s="11" t="s">
        <v>10</v>
      </c>
      <c r="E707" s="11">
        <v>52370</v>
      </c>
      <c r="F707" s="11">
        <v>52420</v>
      </c>
      <c r="G707" s="34">
        <v>52500</v>
      </c>
      <c r="H707" s="35">
        <v>0</v>
      </c>
      <c r="I707" s="8">
        <f>C707*50</f>
        <v>5000</v>
      </c>
      <c r="J707" s="8">
        <f>C707*80</f>
        <v>8000</v>
      </c>
      <c r="K707" s="2">
        <v>0</v>
      </c>
      <c r="L707" s="8">
        <f t="shared" ref="L707" si="1969">(J707+I707+K707)/C707</f>
        <v>130</v>
      </c>
      <c r="M707" s="8">
        <f t="shared" ref="M707" si="1970">L707*C707</f>
        <v>13000</v>
      </c>
    </row>
    <row r="708" spans="1:13" ht="15.75" customHeight="1" x14ac:dyDescent="0.25">
      <c r="A708" s="24">
        <v>44057</v>
      </c>
      <c r="B708" s="29" t="s">
        <v>14</v>
      </c>
      <c r="C708" s="11">
        <v>30</v>
      </c>
      <c r="D708" s="11" t="s">
        <v>10</v>
      </c>
      <c r="E708" s="11">
        <v>68300</v>
      </c>
      <c r="F708" s="11">
        <v>68450</v>
      </c>
      <c r="G708" s="34">
        <v>68700</v>
      </c>
      <c r="H708" s="35">
        <v>69000</v>
      </c>
      <c r="I708" s="8">
        <f>C708*150</f>
        <v>4500</v>
      </c>
      <c r="J708" s="8">
        <f>C708*250</f>
        <v>7500</v>
      </c>
      <c r="K708" s="2">
        <f>C708*300</f>
        <v>9000</v>
      </c>
      <c r="L708" s="8">
        <f t="shared" ref="L708" si="1971">(J708+I708+K708)/C708</f>
        <v>700</v>
      </c>
      <c r="M708" s="8">
        <f t="shared" ref="M708" si="1972">L708*C708</f>
        <v>21000</v>
      </c>
    </row>
    <row r="709" spans="1:13" ht="15.75" customHeight="1" x14ac:dyDescent="0.25">
      <c r="A709" s="24">
        <v>44057</v>
      </c>
      <c r="B709" s="29" t="s">
        <v>14</v>
      </c>
      <c r="C709" s="11">
        <v>30</v>
      </c>
      <c r="D709" s="11" t="s">
        <v>11</v>
      </c>
      <c r="E709" s="11">
        <v>68900</v>
      </c>
      <c r="F709" s="11">
        <v>68800</v>
      </c>
      <c r="G709" s="34">
        <v>68600</v>
      </c>
      <c r="H709" s="35">
        <v>0</v>
      </c>
      <c r="I709" s="8">
        <f>C709*100</f>
        <v>3000</v>
      </c>
      <c r="J709" s="8">
        <f>C709*200</f>
        <v>6000</v>
      </c>
      <c r="K709" s="2">
        <v>0</v>
      </c>
      <c r="L709" s="8">
        <f t="shared" ref="L709" si="1973">(J709+I709+K709)/C709</f>
        <v>300</v>
      </c>
      <c r="M709" s="8">
        <f t="shared" ref="M709" si="1974">L709*C709</f>
        <v>9000</v>
      </c>
    </row>
    <row r="710" spans="1:13" ht="15.75" customHeight="1" x14ac:dyDescent="0.25">
      <c r="A710" s="24">
        <v>44057</v>
      </c>
      <c r="B710" s="29" t="s">
        <v>18</v>
      </c>
      <c r="C710" s="11">
        <v>2500</v>
      </c>
      <c r="D710" s="11" t="s">
        <v>10</v>
      </c>
      <c r="E710" s="11">
        <v>507.8</v>
      </c>
      <c r="F710" s="11">
        <v>509</v>
      </c>
      <c r="G710" s="34">
        <v>513</v>
      </c>
      <c r="H710" s="35">
        <v>0</v>
      </c>
      <c r="I710" s="8">
        <f t="shared" ref="I710" si="1975">(IF(D710="SELL",E710-F710,IF(D710="BUY",F710-E710)))*C710</f>
        <v>2999.9999999999718</v>
      </c>
      <c r="J710" s="8">
        <f>C710*4</f>
        <v>10000</v>
      </c>
      <c r="K710" s="2">
        <v>0</v>
      </c>
      <c r="L710" s="8">
        <f t="shared" ref="L710" si="1976">(J710+I710+K710)/C710</f>
        <v>5.1999999999999886</v>
      </c>
      <c r="M710" s="8">
        <f t="shared" ref="M710" si="1977">L710*C710</f>
        <v>12999.999999999971</v>
      </c>
    </row>
    <row r="711" spans="1:13" ht="15.75" customHeight="1" x14ac:dyDescent="0.25">
      <c r="A711" s="24">
        <v>44056</v>
      </c>
      <c r="B711" s="29" t="s">
        <v>19</v>
      </c>
      <c r="C711" s="11">
        <v>100</v>
      </c>
      <c r="D711" s="11" t="s">
        <v>11</v>
      </c>
      <c r="E711" s="11">
        <v>51920</v>
      </c>
      <c r="F711" s="11">
        <v>51870</v>
      </c>
      <c r="G711" s="34">
        <v>0</v>
      </c>
      <c r="H711" s="35">
        <v>0</v>
      </c>
      <c r="I711" s="8">
        <f t="shared" ref="I711" si="1978">(IF(D711="SELL",E711-F711,IF(D711="BUY",F711-E711)))*C711</f>
        <v>5000</v>
      </c>
      <c r="J711" s="8">
        <v>0</v>
      </c>
      <c r="K711" s="2">
        <v>0</v>
      </c>
      <c r="L711" s="8">
        <f t="shared" ref="L711" si="1979">(J711+I711+K711)/C711</f>
        <v>50</v>
      </c>
      <c r="M711" s="8">
        <f t="shared" ref="M711" si="1980">L711*C711</f>
        <v>5000</v>
      </c>
    </row>
    <row r="712" spans="1:13" ht="15.75" customHeight="1" x14ac:dyDescent="0.25">
      <c r="A712" s="24">
        <v>44056</v>
      </c>
      <c r="B712" s="29" t="s">
        <v>14</v>
      </c>
      <c r="C712" s="11">
        <v>30</v>
      </c>
      <c r="D712" s="11" t="s">
        <v>11</v>
      </c>
      <c r="E712" s="11">
        <v>68300</v>
      </c>
      <c r="F712" s="11">
        <v>68200</v>
      </c>
      <c r="G712" s="34">
        <v>68000</v>
      </c>
      <c r="H712" s="35">
        <v>67600</v>
      </c>
      <c r="I712" s="8">
        <f t="shared" ref="I712" si="1981">(IF(D712="SELL",E712-F712,IF(D712="BUY",F712-E712)))*C712</f>
        <v>3000</v>
      </c>
      <c r="J712" s="8">
        <f>C712*200</f>
        <v>6000</v>
      </c>
      <c r="K712" s="2">
        <f>C712*400</f>
        <v>12000</v>
      </c>
      <c r="L712" s="8">
        <f t="shared" ref="L712" si="1982">(J712+I712+K712)/C712</f>
        <v>700</v>
      </c>
      <c r="M712" s="8">
        <f t="shared" ref="M712" si="1983">L712*C712</f>
        <v>21000</v>
      </c>
    </row>
    <row r="713" spans="1:13" ht="15.75" customHeight="1" x14ac:dyDescent="0.25">
      <c r="A713" s="24">
        <v>44056</v>
      </c>
      <c r="B713" s="29" t="s">
        <v>14</v>
      </c>
      <c r="C713" s="11">
        <v>30</v>
      </c>
      <c r="D713" s="11" t="s">
        <v>10</v>
      </c>
      <c r="E713" s="11">
        <v>67400</v>
      </c>
      <c r="F713" s="11">
        <v>67500</v>
      </c>
      <c r="G713" s="34">
        <v>67700</v>
      </c>
      <c r="H713" s="35">
        <v>0</v>
      </c>
      <c r="I713" s="8">
        <f t="shared" ref="I713" si="1984">(IF(D713="SELL",E713-F713,IF(D713="BUY",F713-E713)))*C713</f>
        <v>3000</v>
      </c>
      <c r="J713" s="8">
        <f>C713*200</f>
        <v>6000</v>
      </c>
      <c r="K713" s="2">
        <v>0</v>
      </c>
      <c r="L713" s="8">
        <f t="shared" ref="L713" si="1985">(J713+I713+K713)/C713</f>
        <v>300</v>
      </c>
      <c r="M713" s="8">
        <f t="shared" ref="M713" si="1986">L713*C713</f>
        <v>9000</v>
      </c>
    </row>
    <row r="714" spans="1:13" ht="15.75" customHeight="1" x14ac:dyDescent="0.25">
      <c r="A714" s="24">
        <v>44056</v>
      </c>
      <c r="B714" s="29" t="s">
        <v>17</v>
      </c>
      <c r="C714" s="11">
        <v>5000</v>
      </c>
      <c r="D714" s="11" t="s">
        <v>11</v>
      </c>
      <c r="E714" s="11">
        <v>188.4</v>
      </c>
      <c r="F714" s="11">
        <v>187.8</v>
      </c>
      <c r="G714" s="34">
        <v>186.4</v>
      </c>
      <c r="H714" s="35">
        <v>0</v>
      </c>
      <c r="I714" s="8">
        <f t="shared" ref="I714" si="1987">(IF(D714="SELL",E714-F714,IF(D714="BUY",F714-E714)))*C714</f>
        <v>2999.9999999999718</v>
      </c>
      <c r="J714" s="8">
        <f>C714*1</f>
        <v>5000</v>
      </c>
      <c r="K714" s="2">
        <v>0</v>
      </c>
      <c r="L714" s="8">
        <f t="shared" ref="L714" si="1988">(J714+I714+K714)/C714</f>
        <v>1.5999999999999943</v>
      </c>
      <c r="M714" s="8">
        <f t="shared" ref="M714" si="1989">L714*C714</f>
        <v>7999.9999999999718</v>
      </c>
    </row>
    <row r="715" spans="1:13" ht="15.75" customHeight="1" x14ac:dyDescent="0.25">
      <c r="A715" s="24">
        <v>44056</v>
      </c>
      <c r="B715" s="29" t="s">
        <v>18</v>
      </c>
      <c r="C715" s="11">
        <v>1500</v>
      </c>
      <c r="D715" s="11" t="s">
        <v>11</v>
      </c>
      <c r="E715" s="11">
        <v>509</v>
      </c>
      <c r="F715" s="11">
        <v>507.5</v>
      </c>
      <c r="G715" s="34">
        <v>505</v>
      </c>
      <c r="H715" s="35">
        <v>0</v>
      </c>
      <c r="I715" s="8">
        <f t="shared" ref="I715" si="1990">(IF(D715="SELL",E715-F715,IF(D715="BUY",F715-E715)))*C715</f>
        <v>2250</v>
      </c>
      <c r="J715" s="8">
        <f>C715*2.5</f>
        <v>3750</v>
      </c>
      <c r="K715" s="2">
        <v>0</v>
      </c>
      <c r="L715" s="8">
        <f t="shared" ref="L715" si="1991">(J715+I715+K715)/C715</f>
        <v>4</v>
      </c>
      <c r="M715" s="8">
        <f t="shared" ref="M715" si="1992">L715*C715</f>
        <v>6000</v>
      </c>
    </row>
    <row r="716" spans="1:13" ht="15.75" customHeight="1" x14ac:dyDescent="0.25">
      <c r="A716" s="24">
        <v>44056</v>
      </c>
      <c r="B716" s="29" t="s">
        <v>52</v>
      </c>
      <c r="C716" s="11">
        <v>1250</v>
      </c>
      <c r="D716" s="11" t="s">
        <v>10</v>
      </c>
      <c r="E716" s="11">
        <v>164</v>
      </c>
      <c r="F716" s="11">
        <v>165</v>
      </c>
      <c r="G716" s="34">
        <v>0</v>
      </c>
      <c r="H716" s="35">
        <v>0</v>
      </c>
      <c r="I716" s="8">
        <f t="shared" ref="I716" si="1993">(IF(D716="SELL",E716-F716,IF(D716="BUY",F716-E716)))*C716</f>
        <v>1250</v>
      </c>
      <c r="J716" s="8">
        <v>0</v>
      </c>
      <c r="K716" s="2">
        <v>0</v>
      </c>
      <c r="L716" s="8">
        <f t="shared" ref="L716" si="1994">(J716+I716+K716)/C716</f>
        <v>1</v>
      </c>
      <c r="M716" s="8">
        <f t="shared" ref="M716" si="1995">L716*C716</f>
        <v>1250</v>
      </c>
    </row>
    <row r="717" spans="1:13" ht="15.75" customHeight="1" x14ac:dyDescent="0.25">
      <c r="A717" s="24">
        <v>44056</v>
      </c>
      <c r="B717" s="29" t="s">
        <v>19</v>
      </c>
      <c r="C717" s="11">
        <v>100</v>
      </c>
      <c r="D717" s="11" t="s">
        <v>10</v>
      </c>
      <c r="E717" s="11">
        <v>52200</v>
      </c>
      <c r="F717" s="11">
        <v>52070</v>
      </c>
      <c r="G717" s="34">
        <v>0</v>
      </c>
      <c r="H717" s="35">
        <v>0</v>
      </c>
      <c r="I717" s="8">
        <f t="shared" ref="I717" si="1996">(IF(D717="SELL",E717-F717,IF(D717="BUY",F717-E717)))*C717</f>
        <v>-13000</v>
      </c>
      <c r="J717" s="8">
        <v>0</v>
      </c>
      <c r="K717" s="2">
        <v>0</v>
      </c>
      <c r="L717" s="8">
        <f t="shared" ref="L717" si="1997">(J717+I717+K717)/C717</f>
        <v>-130</v>
      </c>
      <c r="M717" s="8">
        <f t="shared" ref="M717" si="1998">L717*C717</f>
        <v>-13000</v>
      </c>
    </row>
    <row r="718" spans="1:13" ht="15.75" customHeight="1" x14ac:dyDescent="0.25">
      <c r="A718" s="24">
        <v>44055</v>
      </c>
      <c r="B718" s="29" t="s">
        <v>16</v>
      </c>
      <c r="C718" s="11">
        <v>100</v>
      </c>
      <c r="D718" s="11" t="s">
        <v>10</v>
      </c>
      <c r="E718" s="11">
        <v>3155</v>
      </c>
      <c r="F718" s="11">
        <v>3155</v>
      </c>
      <c r="G718" s="34">
        <v>0</v>
      </c>
      <c r="H718" s="35">
        <v>0</v>
      </c>
      <c r="I718" s="8">
        <f t="shared" ref="I718" si="1999">(IF(D718="SELL",E718-F718,IF(D718="BUY",F718-E718)))*C718</f>
        <v>0</v>
      </c>
      <c r="J718" s="8">
        <v>0</v>
      </c>
      <c r="K718" s="2">
        <v>0</v>
      </c>
      <c r="L718" s="8">
        <f t="shared" ref="L718" si="2000">(J718+I718+K718)/C718</f>
        <v>0</v>
      </c>
      <c r="M718" s="8">
        <f t="shared" ref="M718" si="2001">L718*C718</f>
        <v>0</v>
      </c>
    </row>
    <row r="719" spans="1:13" ht="15.75" customHeight="1" x14ac:dyDescent="0.25">
      <c r="A719" s="24">
        <v>44055</v>
      </c>
      <c r="B719" s="29" t="s">
        <v>14</v>
      </c>
      <c r="C719" s="11">
        <v>30</v>
      </c>
      <c r="D719" s="11" t="s">
        <v>11</v>
      </c>
      <c r="E719" s="11">
        <v>65700</v>
      </c>
      <c r="F719" s="11">
        <v>65600</v>
      </c>
      <c r="G719" s="34">
        <v>65400</v>
      </c>
      <c r="H719" s="35">
        <v>65000</v>
      </c>
      <c r="I719" s="8">
        <f t="shared" ref="I719" si="2002">(IF(D719="SELL",E719-F719,IF(D719="BUY",F719-E719)))*C719</f>
        <v>3000</v>
      </c>
      <c r="J719" s="8">
        <f>C719*200</f>
        <v>6000</v>
      </c>
      <c r="K719" s="2">
        <f>C719*400</f>
        <v>12000</v>
      </c>
      <c r="L719" s="8">
        <f t="shared" ref="L719" si="2003">(J719+I719+K719)/C719</f>
        <v>700</v>
      </c>
      <c r="M719" s="8">
        <f t="shared" ref="M719" si="2004">L719*C719</f>
        <v>21000</v>
      </c>
    </row>
    <row r="720" spans="1:13" ht="15.75" customHeight="1" x14ac:dyDescent="0.25">
      <c r="A720" s="24">
        <v>44055</v>
      </c>
      <c r="B720" s="29" t="s">
        <v>19</v>
      </c>
      <c r="C720" s="11">
        <v>100</v>
      </c>
      <c r="D720" s="11" t="s">
        <v>11</v>
      </c>
      <c r="E720" s="11">
        <v>51740</v>
      </c>
      <c r="F720" s="11">
        <v>51900</v>
      </c>
      <c r="G720" s="34">
        <v>0</v>
      </c>
      <c r="H720" s="35">
        <v>0</v>
      </c>
      <c r="I720" s="8">
        <f t="shared" ref="I720" si="2005">(IF(D720="SELL",E720-F720,IF(D720="BUY",F720-E720)))*C720</f>
        <v>-16000</v>
      </c>
      <c r="J720" s="8">
        <v>0</v>
      </c>
      <c r="K720" s="2">
        <v>0</v>
      </c>
      <c r="L720" s="8">
        <f t="shared" ref="L720" si="2006">(J720+I720+K720)/C720</f>
        <v>-160</v>
      </c>
      <c r="M720" s="8">
        <f t="shared" ref="M720" si="2007">L720*C720</f>
        <v>-16000</v>
      </c>
    </row>
    <row r="721" spans="1:13" ht="15.75" customHeight="1" x14ac:dyDescent="0.25">
      <c r="A721" s="24">
        <v>44055</v>
      </c>
      <c r="B721" s="29" t="s">
        <v>19</v>
      </c>
      <c r="C721" s="11">
        <v>100</v>
      </c>
      <c r="D721" s="11" t="s">
        <v>11</v>
      </c>
      <c r="E721" s="11">
        <v>51880</v>
      </c>
      <c r="F721" s="11">
        <v>51820</v>
      </c>
      <c r="G721" s="34">
        <v>0</v>
      </c>
      <c r="H721" s="35">
        <v>0</v>
      </c>
      <c r="I721" s="8">
        <f t="shared" ref="I721" si="2008">(IF(D721="SELL",E721-F721,IF(D721="BUY",F721-E721)))*C721</f>
        <v>6000</v>
      </c>
      <c r="J721" s="8">
        <v>0</v>
      </c>
      <c r="K721" s="2">
        <v>0</v>
      </c>
      <c r="L721" s="8">
        <f t="shared" ref="L721" si="2009">(J721+I721+K721)/C721</f>
        <v>60</v>
      </c>
      <c r="M721" s="8">
        <f t="shared" ref="M721" si="2010">L721*C721</f>
        <v>6000</v>
      </c>
    </row>
    <row r="722" spans="1:13" ht="15.75" customHeight="1" x14ac:dyDescent="0.25">
      <c r="A722" s="24">
        <v>44055</v>
      </c>
      <c r="B722" s="29" t="s">
        <v>52</v>
      </c>
      <c r="C722" s="11">
        <v>1250</v>
      </c>
      <c r="D722" s="11" t="s">
        <v>10</v>
      </c>
      <c r="E722" s="11">
        <v>162.1</v>
      </c>
      <c r="F722" s="11">
        <v>159</v>
      </c>
      <c r="G722" s="34">
        <v>0</v>
      </c>
      <c r="H722" s="35">
        <v>0</v>
      </c>
      <c r="I722" s="8">
        <f t="shared" ref="I722" si="2011">(IF(D722="SELL",E722-F722,IF(D722="BUY",F722-E722)))*C722</f>
        <v>-3874.9999999999927</v>
      </c>
      <c r="J722" s="8">
        <v>0</v>
      </c>
      <c r="K722" s="2">
        <v>0</v>
      </c>
      <c r="L722" s="8">
        <f t="shared" ref="L722" si="2012">(J722+I722+K722)/C722</f>
        <v>-3.0999999999999943</v>
      </c>
      <c r="M722" s="8">
        <f t="shared" ref="M722" si="2013">L722*C722</f>
        <v>-3874.9999999999927</v>
      </c>
    </row>
    <row r="723" spans="1:13" ht="15.75" customHeight="1" x14ac:dyDescent="0.25">
      <c r="A723" s="24">
        <v>44055</v>
      </c>
      <c r="B723" s="29" t="s">
        <v>14</v>
      </c>
      <c r="C723" s="11">
        <v>30</v>
      </c>
      <c r="D723" s="11" t="s">
        <v>10</v>
      </c>
      <c r="E723" s="11">
        <v>66200</v>
      </c>
      <c r="F723" s="11">
        <v>66000</v>
      </c>
      <c r="G723" s="34">
        <v>0</v>
      </c>
      <c r="H723" s="35">
        <v>0</v>
      </c>
      <c r="I723" s="8">
        <f t="shared" ref="I723" si="2014">(IF(D723="SELL",E723-F723,IF(D723="BUY",F723-E723)))*C723</f>
        <v>-6000</v>
      </c>
      <c r="J723" s="8">
        <v>0</v>
      </c>
      <c r="K723" s="2">
        <v>0</v>
      </c>
      <c r="L723" s="8">
        <f t="shared" ref="L723" si="2015">(J723+I723+K723)/C723</f>
        <v>-200</v>
      </c>
      <c r="M723" s="8">
        <f t="shared" ref="M723" si="2016">L723*C723</f>
        <v>-6000</v>
      </c>
    </row>
    <row r="724" spans="1:13" ht="15.75" customHeight="1" x14ac:dyDescent="0.25">
      <c r="A724" s="24">
        <v>44055</v>
      </c>
      <c r="B724" s="29" t="s">
        <v>19</v>
      </c>
      <c r="C724" s="11">
        <v>100</v>
      </c>
      <c r="D724" s="11" t="s">
        <v>10</v>
      </c>
      <c r="E724" s="11">
        <v>51180</v>
      </c>
      <c r="F724" s="11">
        <v>51230</v>
      </c>
      <c r="G724" s="34">
        <v>51300</v>
      </c>
      <c r="H724" s="35">
        <v>0</v>
      </c>
      <c r="I724" s="8">
        <f t="shared" ref="I724" si="2017">(IF(D724="SELL",E724-F724,IF(D724="BUY",F724-E724)))*C724</f>
        <v>5000</v>
      </c>
      <c r="J724" s="8">
        <f>C724*70</f>
        <v>7000</v>
      </c>
      <c r="K724" s="2">
        <v>0</v>
      </c>
      <c r="L724" s="8">
        <f t="shared" ref="L724" si="2018">(J724+I724+K724)/C724</f>
        <v>120</v>
      </c>
      <c r="M724" s="8">
        <f t="shared" ref="M724" si="2019">L724*C724</f>
        <v>12000</v>
      </c>
    </row>
    <row r="725" spans="1:13" ht="15.75" customHeight="1" x14ac:dyDescent="0.25">
      <c r="A725" s="24">
        <v>44054</v>
      </c>
      <c r="B725" s="29" t="s">
        <v>52</v>
      </c>
      <c r="C725" s="11">
        <v>1250</v>
      </c>
      <c r="D725" s="11" t="s">
        <v>11</v>
      </c>
      <c r="E725" s="11">
        <v>162.4</v>
      </c>
      <c r="F725" s="11">
        <v>164</v>
      </c>
      <c r="G725" s="34">
        <v>0</v>
      </c>
      <c r="H725" s="35">
        <v>0</v>
      </c>
      <c r="I725" s="8">
        <f t="shared" ref="I725" si="2020">(IF(D725="SELL",E725-F725,IF(D725="BUY",F725-E725)))*C725</f>
        <v>-1999.999999999993</v>
      </c>
      <c r="J725" s="8">
        <v>0</v>
      </c>
      <c r="K725" s="2">
        <v>0</v>
      </c>
      <c r="L725" s="8">
        <f t="shared" ref="L725" si="2021">(J725+I725+K725)/C725</f>
        <v>-1.5999999999999943</v>
      </c>
      <c r="M725" s="8">
        <f t="shared" ref="M725" si="2022">L725*C725</f>
        <v>-1999.999999999993</v>
      </c>
    </row>
    <row r="726" spans="1:13" ht="15.75" customHeight="1" x14ac:dyDescent="0.25">
      <c r="A726" s="24">
        <v>44054</v>
      </c>
      <c r="B726" s="29" t="s">
        <v>18</v>
      </c>
      <c r="C726" s="11">
        <v>2500</v>
      </c>
      <c r="D726" s="11" t="s">
        <v>11</v>
      </c>
      <c r="E726" s="11">
        <v>508</v>
      </c>
      <c r="F726" s="11">
        <v>507</v>
      </c>
      <c r="G726" s="34">
        <v>0</v>
      </c>
      <c r="H726" s="35">
        <v>0</v>
      </c>
      <c r="I726" s="8">
        <v>2500</v>
      </c>
      <c r="J726" s="8">
        <v>0</v>
      </c>
      <c r="K726" s="2">
        <v>0</v>
      </c>
      <c r="L726" s="8">
        <f t="shared" ref="L726" si="2023">(J726+I726+K726)/C726</f>
        <v>1</v>
      </c>
      <c r="M726" s="8">
        <f t="shared" ref="M726" si="2024">L726*C726</f>
        <v>2500</v>
      </c>
    </row>
    <row r="727" spans="1:13" ht="15.75" customHeight="1" x14ac:dyDescent="0.25">
      <c r="A727" s="24">
        <v>44054</v>
      </c>
      <c r="B727" s="29" t="s">
        <v>14</v>
      </c>
      <c r="C727" s="11">
        <v>30</v>
      </c>
      <c r="D727" s="11" t="s">
        <v>11</v>
      </c>
      <c r="E727" s="11">
        <v>72100</v>
      </c>
      <c r="F727" s="11">
        <v>71850</v>
      </c>
      <c r="G727" s="34">
        <v>71200</v>
      </c>
      <c r="H727" s="35">
        <v>70700</v>
      </c>
      <c r="I727" s="8">
        <f t="shared" ref="I727" si="2025">(IF(D727="SELL",E727-F727,IF(D727="BUY",F727-E727)))*C727</f>
        <v>7500</v>
      </c>
      <c r="J727" s="8">
        <f>C727*650</f>
        <v>19500</v>
      </c>
      <c r="K727" s="2">
        <f>C727*500</f>
        <v>15000</v>
      </c>
      <c r="L727" s="8">
        <f t="shared" ref="L727" si="2026">(J727+I727+K727)/C727</f>
        <v>1400</v>
      </c>
      <c r="M727" s="8">
        <f t="shared" ref="M727" si="2027">L727*C727</f>
        <v>42000</v>
      </c>
    </row>
    <row r="728" spans="1:13" ht="15.75" customHeight="1" x14ac:dyDescent="0.25">
      <c r="A728" s="24">
        <v>44054</v>
      </c>
      <c r="B728" s="29" t="s">
        <v>19</v>
      </c>
      <c r="C728" s="11">
        <v>100</v>
      </c>
      <c r="D728" s="11" t="s">
        <v>11</v>
      </c>
      <c r="E728" s="11">
        <v>53630</v>
      </c>
      <c r="F728" s="11">
        <v>53570</v>
      </c>
      <c r="G728" s="34">
        <v>0</v>
      </c>
      <c r="H728" s="35">
        <v>0</v>
      </c>
      <c r="I728" s="8">
        <f t="shared" ref="I728" si="2028">(IF(D728="SELL",E728-F728,IF(D728="BUY",F728-E728)))*C728</f>
        <v>6000</v>
      </c>
      <c r="J728" s="8">
        <v>0</v>
      </c>
      <c r="K728" s="2">
        <v>0</v>
      </c>
      <c r="L728" s="8">
        <f t="shared" ref="L728" si="2029">(J728+I728+K728)/C728</f>
        <v>60</v>
      </c>
      <c r="M728" s="8">
        <f t="shared" ref="M728" si="2030">L728*C728</f>
        <v>6000</v>
      </c>
    </row>
    <row r="729" spans="1:13" ht="15.75" customHeight="1" x14ac:dyDescent="0.25">
      <c r="A729" s="24">
        <v>44054</v>
      </c>
      <c r="B729" s="29" t="s">
        <v>21</v>
      </c>
      <c r="C729" s="11">
        <v>1500</v>
      </c>
      <c r="D729" s="11" t="s">
        <v>11</v>
      </c>
      <c r="E729" s="11">
        <v>1078</v>
      </c>
      <c r="F729" s="11">
        <v>1073</v>
      </c>
      <c r="G729" s="34">
        <v>0</v>
      </c>
      <c r="H729" s="35">
        <v>0</v>
      </c>
      <c r="I729" s="8">
        <f t="shared" ref="I729" si="2031">(IF(D729="SELL",E729-F729,IF(D729="BUY",F729-E729)))*C729</f>
        <v>7500</v>
      </c>
      <c r="J729" s="8">
        <v>0</v>
      </c>
      <c r="K729" s="2">
        <v>0</v>
      </c>
      <c r="L729" s="8">
        <f t="shared" ref="L729" si="2032">(J729+I729+K729)/C729</f>
        <v>5</v>
      </c>
      <c r="M729" s="8">
        <f t="shared" ref="M729" si="2033">L729*C729</f>
        <v>7500</v>
      </c>
    </row>
    <row r="730" spans="1:13" ht="15.75" customHeight="1" x14ac:dyDescent="0.25">
      <c r="A730" s="24">
        <v>44054</v>
      </c>
      <c r="B730" s="29" t="s">
        <v>17</v>
      </c>
      <c r="C730" s="11">
        <v>5000</v>
      </c>
      <c r="D730" s="11" t="s">
        <v>11</v>
      </c>
      <c r="E730" s="11">
        <v>188.9</v>
      </c>
      <c r="F730" s="11">
        <v>188.3</v>
      </c>
      <c r="G730" s="34">
        <v>0</v>
      </c>
      <c r="H730" s="35">
        <v>0</v>
      </c>
      <c r="I730" s="8">
        <f t="shared" ref="I730" si="2034">(IF(D730="SELL",E730-F730,IF(D730="BUY",F730-E730)))*C730</f>
        <v>2999.9999999999718</v>
      </c>
      <c r="J730" s="8">
        <v>0</v>
      </c>
      <c r="K730" s="2">
        <v>0</v>
      </c>
      <c r="L730" s="8">
        <f t="shared" ref="L730" si="2035">(J730+I730+K730)/C730</f>
        <v>0.59999999999999432</v>
      </c>
      <c r="M730" s="8">
        <f t="shared" ref="M730" si="2036">L730*C730</f>
        <v>2999.9999999999718</v>
      </c>
    </row>
    <row r="731" spans="1:13" ht="15.75" customHeight="1" x14ac:dyDescent="0.25">
      <c r="A731" s="24">
        <v>44054</v>
      </c>
      <c r="B731" s="29" t="s">
        <v>14</v>
      </c>
      <c r="C731" s="11">
        <v>30</v>
      </c>
      <c r="D731" s="11" t="s">
        <v>11</v>
      </c>
      <c r="E731" s="11">
        <v>74270</v>
      </c>
      <c r="F731" s="11">
        <v>74150</v>
      </c>
      <c r="G731" s="34">
        <v>73900</v>
      </c>
      <c r="H731" s="35">
        <v>0</v>
      </c>
      <c r="I731" s="8">
        <f t="shared" ref="I731" si="2037">(IF(D731="SELL",E731-F731,IF(D731="BUY",F731-E731)))*C731</f>
        <v>3600</v>
      </c>
      <c r="J731" s="8">
        <f>C731*250</f>
        <v>7500</v>
      </c>
      <c r="K731" s="2">
        <v>0</v>
      </c>
      <c r="L731" s="8">
        <f t="shared" ref="L731" si="2038">(J731+I731+K731)/C731</f>
        <v>370</v>
      </c>
      <c r="M731" s="8">
        <f t="shared" ref="M731" si="2039">L731*C731</f>
        <v>11100</v>
      </c>
    </row>
    <row r="732" spans="1:13" ht="15.75" customHeight="1" x14ac:dyDescent="0.25">
      <c r="A732" s="24">
        <v>44054</v>
      </c>
      <c r="B732" s="29" t="s">
        <v>19</v>
      </c>
      <c r="C732" s="11">
        <v>100</v>
      </c>
      <c r="D732" s="11" t="s">
        <v>11</v>
      </c>
      <c r="E732" s="11">
        <v>54470</v>
      </c>
      <c r="F732" s="11">
        <v>54410</v>
      </c>
      <c r="G732" s="34">
        <v>54310</v>
      </c>
      <c r="H732" s="35">
        <v>0</v>
      </c>
      <c r="I732" s="8">
        <f t="shared" ref="I732" si="2040">(IF(D732="SELL",E732-F732,IF(D732="BUY",F732-E732)))*C732</f>
        <v>6000</v>
      </c>
      <c r="J732" s="8">
        <f>C732*100</f>
        <v>10000</v>
      </c>
      <c r="K732" s="2">
        <v>0</v>
      </c>
      <c r="L732" s="8">
        <f t="shared" ref="L732" si="2041">(J732+I732+K732)/C732</f>
        <v>160</v>
      </c>
      <c r="M732" s="8">
        <f t="shared" ref="M732" si="2042">L732*C732</f>
        <v>16000</v>
      </c>
    </row>
    <row r="733" spans="1:13" ht="15.75" customHeight="1" x14ac:dyDescent="0.25">
      <c r="A733" s="24">
        <v>44051</v>
      </c>
      <c r="B733" s="29" t="s">
        <v>21</v>
      </c>
      <c r="C733" s="11">
        <v>1500</v>
      </c>
      <c r="D733" s="11" t="s">
        <v>11</v>
      </c>
      <c r="E733" s="11">
        <v>1085</v>
      </c>
      <c r="F733" s="11">
        <v>1090</v>
      </c>
      <c r="G733" s="34">
        <v>0</v>
      </c>
      <c r="H733" s="35">
        <v>0</v>
      </c>
      <c r="I733" s="8">
        <f t="shared" ref="I733" si="2043">(IF(D733="SELL",E733-F733,IF(D733="BUY",F733-E733)))*C733</f>
        <v>-7500</v>
      </c>
      <c r="J733" s="8">
        <v>0</v>
      </c>
      <c r="K733" s="2">
        <v>0</v>
      </c>
      <c r="L733" s="8">
        <f t="shared" ref="L733" si="2044">(J733+I733+K733)/C733</f>
        <v>-5</v>
      </c>
      <c r="M733" s="8">
        <f t="shared" ref="M733" si="2045">L733*C733</f>
        <v>-7500</v>
      </c>
    </row>
    <row r="734" spans="1:13" ht="15.75" customHeight="1" x14ac:dyDescent="0.25">
      <c r="A734" s="24">
        <v>44051</v>
      </c>
      <c r="B734" s="29" t="s">
        <v>16</v>
      </c>
      <c r="C734" s="11">
        <v>100</v>
      </c>
      <c r="D734" s="11" t="s">
        <v>11</v>
      </c>
      <c r="E734" s="11">
        <v>3130</v>
      </c>
      <c r="F734" s="11">
        <v>3110</v>
      </c>
      <c r="G734" s="34">
        <v>0</v>
      </c>
      <c r="H734" s="35">
        <v>0</v>
      </c>
      <c r="I734" s="8">
        <f t="shared" ref="I734" si="2046">(IF(D734="SELL",E734-F734,IF(D734="BUY",F734-E734)))*C734</f>
        <v>2000</v>
      </c>
      <c r="J734" s="8">
        <v>0</v>
      </c>
      <c r="K734" s="2">
        <v>0</v>
      </c>
      <c r="L734" s="8">
        <f t="shared" ref="L734" si="2047">(J734+I734+K734)/C734</f>
        <v>20</v>
      </c>
      <c r="M734" s="8">
        <f t="shared" ref="M734" si="2048">L734*C734</f>
        <v>2000</v>
      </c>
    </row>
    <row r="735" spans="1:13" ht="15.75" customHeight="1" x14ac:dyDescent="0.25">
      <c r="A735" s="24">
        <v>44051</v>
      </c>
      <c r="B735" s="29" t="s">
        <v>18</v>
      </c>
      <c r="C735" s="11">
        <v>2500</v>
      </c>
      <c r="D735" s="11" t="s">
        <v>10</v>
      </c>
      <c r="E735" s="11">
        <v>506</v>
      </c>
      <c r="F735" s="11">
        <v>507.5</v>
      </c>
      <c r="G735" s="34">
        <v>509.5</v>
      </c>
      <c r="H735" s="35">
        <v>0</v>
      </c>
      <c r="I735" s="8">
        <f t="shared" ref="I735" si="2049">(IF(D735="SELL",E735-F735,IF(D735="BUY",F735-E735)))*C735</f>
        <v>3750</v>
      </c>
      <c r="J735" s="8">
        <f>C735*2</f>
        <v>5000</v>
      </c>
      <c r="K735" s="2">
        <v>0</v>
      </c>
      <c r="L735" s="8">
        <f t="shared" ref="L735" si="2050">(J735+I735+K735)/C735</f>
        <v>3.5</v>
      </c>
      <c r="M735" s="8">
        <f t="shared" ref="M735" si="2051">L735*C735</f>
        <v>8750</v>
      </c>
    </row>
    <row r="736" spans="1:13" ht="15.75" customHeight="1" x14ac:dyDescent="0.25">
      <c r="A736" s="24">
        <v>44051</v>
      </c>
      <c r="B736" s="29" t="s">
        <v>19</v>
      </c>
      <c r="C736" s="11">
        <v>100</v>
      </c>
      <c r="D736" s="11" t="s">
        <v>10</v>
      </c>
      <c r="E736" s="11">
        <v>55000</v>
      </c>
      <c r="F736" s="11">
        <v>55050</v>
      </c>
      <c r="G736" s="34">
        <v>0</v>
      </c>
      <c r="H736" s="35">
        <v>0</v>
      </c>
      <c r="I736" s="8">
        <f t="shared" ref="I736" si="2052">(IF(D736="SELL",E736-F736,IF(D736="BUY",F736-E736)))*C736</f>
        <v>5000</v>
      </c>
      <c r="J736" s="8">
        <v>0</v>
      </c>
      <c r="K736" s="2">
        <v>0</v>
      </c>
      <c r="L736" s="8">
        <f t="shared" ref="L736" si="2053">(J736+I736+K736)/C736</f>
        <v>50</v>
      </c>
      <c r="M736" s="8">
        <f t="shared" ref="M736" si="2054">L736*C736</f>
        <v>5000</v>
      </c>
    </row>
    <row r="737" spans="1:13" ht="15.75" customHeight="1" x14ac:dyDescent="0.25">
      <c r="A737" s="24">
        <v>44051</v>
      </c>
      <c r="B737" s="29" t="s">
        <v>52</v>
      </c>
      <c r="C737" s="11">
        <v>1250</v>
      </c>
      <c r="D737" s="11" t="s">
        <v>11</v>
      </c>
      <c r="E737" s="11">
        <v>164</v>
      </c>
      <c r="F737" s="11">
        <v>166</v>
      </c>
      <c r="G737" s="34">
        <v>0</v>
      </c>
      <c r="H737" s="35">
        <v>0</v>
      </c>
      <c r="I737" s="8">
        <f t="shared" ref="I737" si="2055">(IF(D737="SELL",E737-F737,IF(D737="BUY",F737-E737)))*C737</f>
        <v>-2500</v>
      </c>
      <c r="J737" s="8">
        <v>0</v>
      </c>
      <c r="K737" s="2">
        <v>0</v>
      </c>
      <c r="L737" s="8">
        <f t="shared" ref="L737" si="2056">(J737+I737+K737)/C737</f>
        <v>-2</v>
      </c>
      <c r="M737" s="8">
        <f t="shared" ref="M737" si="2057">L737*C737</f>
        <v>-2500</v>
      </c>
    </row>
    <row r="738" spans="1:13" ht="15.75" customHeight="1" x14ac:dyDescent="0.25">
      <c r="A738" s="24">
        <v>44050</v>
      </c>
      <c r="B738" s="29" t="s">
        <v>52</v>
      </c>
      <c r="C738" s="11">
        <v>1250</v>
      </c>
      <c r="D738" s="11" t="s">
        <v>11</v>
      </c>
      <c r="E738" s="11">
        <v>164.5</v>
      </c>
      <c r="F738" s="11">
        <v>163.5</v>
      </c>
      <c r="G738" s="34">
        <v>0</v>
      </c>
      <c r="H738" s="35">
        <v>0</v>
      </c>
      <c r="I738" s="8">
        <f t="shared" ref="I738" si="2058">(IF(D738="SELL",E738-F738,IF(D738="BUY",F738-E738)))*C738</f>
        <v>1250</v>
      </c>
      <c r="J738" s="8">
        <v>0</v>
      </c>
      <c r="K738" s="2">
        <v>0</v>
      </c>
      <c r="L738" s="8">
        <f t="shared" ref="L738" si="2059">(J738+I738+K738)/C738</f>
        <v>1</v>
      </c>
      <c r="M738" s="8">
        <f t="shared" ref="M738" si="2060">L738*C738</f>
        <v>1250</v>
      </c>
    </row>
    <row r="739" spans="1:13" ht="15.75" customHeight="1" x14ac:dyDescent="0.25">
      <c r="A739" s="24">
        <v>44050</v>
      </c>
      <c r="B739" s="29" t="s">
        <v>21</v>
      </c>
      <c r="C739" s="11">
        <v>1500</v>
      </c>
      <c r="D739" s="11" t="s">
        <v>10</v>
      </c>
      <c r="E739" s="11">
        <v>1103.5</v>
      </c>
      <c r="F739" s="11">
        <v>1108.5</v>
      </c>
      <c r="G739" s="34">
        <v>0</v>
      </c>
      <c r="H739" s="35">
        <v>0</v>
      </c>
      <c r="I739" s="8">
        <f t="shared" ref="I739" si="2061">(IF(D739="SELL",E739-F739,IF(D739="BUY",F739-E739)))*C739</f>
        <v>7500</v>
      </c>
      <c r="J739" s="8">
        <v>0</v>
      </c>
      <c r="K739" s="2">
        <v>0</v>
      </c>
      <c r="L739" s="8">
        <f t="shared" ref="L739" si="2062">(J739+I739+K739)/C739</f>
        <v>5</v>
      </c>
      <c r="M739" s="8">
        <f t="shared" ref="M739" si="2063">L739*C739</f>
        <v>7500</v>
      </c>
    </row>
    <row r="740" spans="1:13" ht="15.75" customHeight="1" x14ac:dyDescent="0.25">
      <c r="A740" s="24">
        <v>44050</v>
      </c>
      <c r="B740" s="29" t="s">
        <v>14</v>
      </c>
      <c r="C740" s="11">
        <v>30</v>
      </c>
      <c r="D740" s="11" t="s">
        <v>10</v>
      </c>
      <c r="E740" s="11">
        <v>75850</v>
      </c>
      <c r="F740" s="11">
        <v>76000</v>
      </c>
      <c r="G740" s="34">
        <v>76300</v>
      </c>
      <c r="H740" s="35">
        <v>76700</v>
      </c>
      <c r="I740" s="8">
        <f t="shared" ref="I740" si="2064">(IF(D740="SELL",E740-F740,IF(D740="BUY",F740-E740)))*C740</f>
        <v>4500</v>
      </c>
      <c r="J740" s="8">
        <f>C740*300</f>
        <v>9000</v>
      </c>
      <c r="K740" s="2">
        <f>C740*400</f>
        <v>12000</v>
      </c>
      <c r="L740" s="8">
        <f t="shared" ref="L740" si="2065">(J740+I740+K740)/C740</f>
        <v>850</v>
      </c>
      <c r="M740" s="8">
        <f t="shared" ref="M740" si="2066">L740*C740</f>
        <v>25500</v>
      </c>
    </row>
    <row r="741" spans="1:13" ht="15.75" customHeight="1" x14ac:dyDescent="0.25">
      <c r="A741" s="24">
        <v>44050</v>
      </c>
      <c r="B741" s="29" t="s">
        <v>19</v>
      </c>
      <c r="C741" s="11">
        <v>100</v>
      </c>
      <c r="D741" s="11" t="s">
        <v>10</v>
      </c>
      <c r="E741" s="11">
        <v>55700</v>
      </c>
      <c r="F741" s="11">
        <v>55760</v>
      </c>
      <c r="G741" s="34">
        <v>55900</v>
      </c>
      <c r="H741" s="35">
        <v>0</v>
      </c>
      <c r="I741" s="8">
        <f t="shared" ref="I741" si="2067">(IF(D741="SELL",E741-F741,IF(D741="BUY",F741-E741)))*C741</f>
        <v>6000</v>
      </c>
      <c r="J741" s="8">
        <f>C741*140</f>
        <v>14000</v>
      </c>
      <c r="K741" s="2">
        <f>C741*500</f>
        <v>50000</v>
      </c>
      <c r="L741" s="8">
        <f t="shared" ref="L741" si="2068">(J741+I741+K741)/C741</f>
        <v>700</v>
      </c>
      <c r="M741" s="8">
        <f t="shared" ref="M741" si="2069">L741*C741</f>
        <v>70000</v>
      </c>
    </row>
    <row r="742" spans="1:13" ht="15.75" customHeight="1" x14ac:dyDescent="0.25">
      <c r="A742" s="24">
        <v>44050</v>
      </c>
      <c r="B742" s="29" t="s">
        <v>16</v>
      </c>
      <c r="C742" s="11">
        <v>100</v>
      </c>
      <c r="D742" s="11" t="s">
        <v>11</v>
      </c>
      <c r="E742" s="11">
        <v>3105</v>
      </c>
      <c r="F742" s="11">
        <v>3145</v>
      </c>
      <c r="G742" s="34">
        <v>0</v>
      </c>
      <c r="H742" s="35">
        <v>0</v>
      </c>
      <c r="I742" s="59">
        <v>3000</v>
      </c>
      <c r="J742" s="8">
        <v>0</v>
      </c>
      <c r="K742" s="2">
        <v>0</v>
      </c>
      <c r="L742" s="8">
        <f t="shared" ref="L742" si="2070">(J742+I742+K742)/C742</f>
        <v>30</v>
      </c>
      <c r="M742" s="8">
        <f t="shared" ref="M742" si="2071">L742*C742</f>
        <v>3000</v>
      </c>
    </row>
    <row r="743" spans="1:13" ht="15.75" customHeight="1" x14ac:dyDescent="0.25">
      <c r="A743" s="24">
        <v>44050</v>
      </c>
      <c r="B743" s="29" t="s">
        <v>17</v>
      </c>
      <c r="C743" s="11">
        <v>5000</v>
      </c>
      <c r="D743" s="11" t="s">
        <v>10</v>
      </c>
      <c r="E743" s="11">
        <v>191.1</v>
      </c>
      <c r="F743" s="11">
        <v>191.6</v>
      </c>
      <c r="G743" s="34">
        <v>0</v>
      </c>
      <c r="H743" s="35">
        <v>0</v>
      </c>
      <c r="I743" s="8">
        <f>(IF(D743=F743,E743-F743,IF(D743="BUY",F743-E743)))*C743</f>
        <v>2500</v>
      </c>
      <c r="J743" s="8">
        <v>0</v>
      </c>
      <c r="K743" s="2">
        <v>0</v>
      </c>
      <c r="L743" s="8">
        <f t="shared" ref="L743" si="2072">(J743+I743+K743)/C743</f>
        <v>0.5</v>
      </c>
      <c r="M743" s="8">
        <f t="shared" ref="M743" si="2073">L743*C743</f>
        <v>2500</v>
      </c>
    </row>
    <row r="744" spans="1:13" ht="15.75" customHeight="1" x14ac:dyDescent="0.25">
      <c r="A744" s="24">
        <v>44050</v>
      </c>
      <c r="B744" s="29" t="s">
        <v>19</v>
      </c>
      <c r="C744" s="11">
        <v>100</v>
      </c>
      <c r="D744" s="11" t="s">
        <v>10</v>
      </c>
      <c r="E744" s="11">
        <v>55900</v>
      </c>
      <c r="F744" s="11">
        <v>55950</v>
      </c>
      <c r="G744" s="34">
        <v>0</v>
      </c>
      <c r="H744" s="35">
        <v>0</v>
      </c>
      <c r="I744" s="8">
        <f t="shared" ref="I744" si="2074">(IF(D744="SELL",E744-F744,IF(D744="BUY",F744-E744)))*C744</f>
        <v>5000</v>
      </c>
      <c r="J744" s="8">
        <v>0</v>
      </c>
      <c r="K744" s="2">
        <v>0</v>
      </c>
      <c r="L744" s="8">
        <f t="shared" ref="L744" si="2075">(J744+I744+K744)/C744</f>
        <v>50</v>
      </c>
      <c r="M744" s="8">
        <f t="shared" ref="M744" si="2076">L744*C744</f>
        <v>5000</v>
      </c>
    </row>
    <row r="745" spans="1:13" ht="15.75" customHeight="1" x14ac:dyDescent="0.25">
      <c r="A745" s="24">
        <v>44049</v>
      </c>
      <c r="B745" s="29" t="s">
        <v>19</v>
      </c>
      <c r="C745" s="11">
        <v>100</v>
      </c>
      <c r="D745" s="11" t="s">
        <v>10</v>
      </c>
      <c r="E745" s="11">
        <v>55750</v>
      </c>
      <c r="F745" s="11">
        <v>55800</v>
      </c>
      <c r="G745" s="34">
        <v>55900</v>
      </c>
      <c r="H745" s="35">
        <v>56100</v>
      </c>
      <c r="I745" s="8">
        <f>(IF(D745="SELL",E745-F745,IF(D745="BUY",F745-E745)))*C745</f>
        <v>5000</v>
      </c>
      <c r="J745" s="8">
        <f>C745*100</f>
        <v>10000</v>
      </c>
      <c r="K745" s="2">
        <f>C745*200</f>
        <v>20000</v>
      </c>
      <c r="L745" s="8">
        <f t="shared" ref="L745" si="2077">(J745+I745+K745)/C745</f>
        <v>350</v>
      </c>
      <c r="M745" s="8">
        <f t="shared" ref="M745" si="2078">L745*C745</f>
        <v>35000</v>
      </c>
    </row>
    <row r="746" spans="1:13" ht="15.75" customHeight="1" x14ac:dyDescent="0.25">
      <c r="A746" s="24">
        <v>44049</v>
      </c>
      <c r="B746" s="29" t="s">
        <v>14</v>
      </c>
      <c r="C746" s="11">
        <v>30</v>
      </c>
      <c r="D746" s="11" t="s">
        <v>10</v>
      </c>
      <c r="E746" s="11">
        <v>75000</v>
      </c>
      <c r="F746" s="11">
        <v>75200</v>
      </c>
      <c r="G746" s="34">
        <v>75600</v>
      </c>
      <c r="H746" s="35">
        <v>76100</v>
      </c>
      <c r="I746" s="8">
        <f t="shared" ref="I746" si="2079">(IF(D746="SELL",E746-F746,IF(D746="BUY",F746-E746)))*C746</f>
        <v>6000</v>
      </c>
      <c r="J746" s="8">
        <f>C746*400</f>
        <v>12000</v>
      </c>
      <c r="K746" s="2">
        <f>C746*500</f>
        <v>15000</v>
      </c>
      <c r="L746" s="8">
        <f t="shared" ref="L746" si="2080">(J746+I746+K746)/C746</f>
        <v>1100</v>
      </c>
      <c r="M746" s="8">
        <f t="shared" ref="M746" si="2081">L746*C746</f>
        <v>33000</v>
      </c>
    </row>
    <row r="747" spans="1:13" ht="15.75" customHeight="1" x14ac:dyDescent="0.25">
      <c r="A747" s="24">
        <v>44049</v>
      </c>
      <c r="B747" s="29" t="s">
        <v>16</v>
      </c>
      <c r="C747" s="11">
        <v>100</v>
      </c>
      <c r="D747" s="11" t="s">
        <v>11</v>
      </c>
      <c r="E747" s="11">
        <v>3125</v>
      </c>
      <c r="F747" s="11">
        <v>3190</v>
      </c>
      <c r="G747" s="34">
        <v>0</v>
      </c>
      <c r="H747" s="35">
        <v>0</v>
      </c>
      <c r="I747" s="8">
        <f t="shared" ref="I747" si="2082">(IF(D747="SELL",E747-F747,IF(D747="BUY",F747-E747)))*C747</f>
        <v>-6500</v>
      </c>
      <c r="J747" s="8">
        <v>0</v>
      </c>
      <c r="K747" s="2">
        <v>0</v>
      </c>
      <c r="L747" s="8">
        <f t="shared" ref="L747" si="2083">(J747+I747+K747)/C747</f>
        <v>-65</v>
      </c>
      <c r="M747" s="8">
        <f t="shared" ref="M747" si="2084">L747*C747</f>
        <v>-6500</v>
      </c>
    </row>
    <row r="748" spans="1:13" ht="15.75" customHeight="1" x14ac:dyDescent="0.25">
      <c r="A748" s="24">
        <v>44049</v>
      </c>
      <c r="B748" s="29" t="s">
        <v>17</v>
      </c>
      <c r="C748" s="11">
        <v>5000</v>
      </c>
      <c r="D748" s="11" t="s">
        <v>10</v>
      </c>
      <c r="E748" s="11">
        <v>191.6</v>
      </c>
      <c r="F748" s="11">
        <v>190.5</v>
      </c>
      <c r="G748" s="34">
        <v>0</v>
      </c>
      <c r="H748" s="35">
        <v>0</v>
      </c>
      <c r="I748" s="8">
        <f t="shared" ref="I748" si="2085">(IF(D748="SELL",E748-F748,IF(D748="BUY",F748-E748)))*C748</f>
        <v>-5499.9999999999718</v>
      </c>
      <c r="J748" s="8">
        <v>0</v>
      </c>
      <c r="K748" s="2">
        <v>0</v>
      </c>
      <c r="L748" s="8">
        <f t="shared" ref="L748" si="2086">(J748+I748+K748)/C748</f>
        <v>-1.0999999999999943</v>
      </c>
      <c r="M748" s="8">
        <f t="shared" ref="M748" si="2087">L748*C748</f>
        <v>-5499.9999999999718</v>
      </c>
    </row>
    <row r="749" spans="1:13" ht="15.75" customHeight="1" x14ac:dyDescent="0.25">
      <c r="A749" s="24">
        <v>44049</v>
      </c>
      <c r="B749" s="29" t="s">
        <v>19</v>
      </c>
      <c r="C749" s="11">
        <v>100</v>
      </c>
      <c r="D749" s="11" t="s">
        <v>10</v>
      </c>
      <c r="E749" s="11">
        <v>55530</v>
      </c>
      <c r="F749" s="11">
        <v>55590</v>
      </c>
      <c r="G749" s="34">
        <v>0</v>
      </c>
      <c r="H749" s="35">
        <v>0</v>
      </c>
      <c r="I749" s="8">
        <f t="shared" ref="I749" si="2088">(IF(D749="SELL",E749-F749,IF(D749="BUY",F749-E749)))*C749</f>
        <v>6000</v>
      </c>
      <c r="J749" s="8">
        <v>0</v>
      </c>
      <c r="K749" s="2">
        <v>0</v>
      </c>
      <c r="L749" s="8">
        <f t="shared" ref="L749" si="2089">(J749+I749+K749)/C749</f>
        <v>60</v>
      </c>
      <c r="M749" s="8">
        <f t="shared" ref="M749" si="2090">L749*C749</f>
        <v>6000</v>
      </c>
    </row>
    <row r="750" spans="1:13" ht="15.75" customHeight="1" x14ac:dyDescent="0.25">
      <c r="A750" s="24">
        <v>44049</v>
      </c>
      <c r="B750" s="29" t="s">
        <v>14</v>
      </c>
      <c r="C750" s="11">
        <v>30</v>
      </c>
      <c r="D750" s="11" t="s">
        <v>10</v>
      </c>
      <c r="E750" s="11">
        <v>73800</v>
      </c>
      <c r="F750" s="11">
        <v>73950</v>
      </c>
      <c r="G750" s="34">
        <v>74800</v>
      </c>
      <c r="H750" s="35">
        <v>0</v>
      </c>
      <c r="I750" s="8">
        <f t="shared" ref="I750" si="2091">(IF(D750="SELL",E750-F750,IF(D750="BUY",F750-E750)))*C750</f>
        <v>4500</v>
      </c>
      <c r="J750" s="8">
        <f>C750*850</f>
        <v>25500</v>
      </c>
      <c r="K750" s="2">
        <v>0</v>
      </c>
      <c r="L750" s="8">
        <f t="shared" ref="L750" si="2092">(J750+I750+K750)/C750</f>
        <v>1000</v>
      </c>
      <c r="M750" s="8">
        <f t="shared" ref="M750" si="2093">L750*C750</f>
        <v>30000</v>
      </c>
    </row>
    <row r="751" spans="1:13" ht="15.75" customHeight="1" x14ac:dyDescent="0.25">
      <c r="A751" s="24">
        <v>44049</v>
      </c>
      <c r="B751" s="29" t="s">
        <v>18</v>
      </c>
      <c r="C751" s="11">
        <v>2500</v>
      </c>
      <c r="D751" s="11" t="s">
        <v>10</v>
      </c>
      <c r="E751" s="11">
        <v>513.5</v>
      </c>
      <c r="F751" s="11">
        <v>515</v>
      </c>
      <c r="G751" s="34">
        <v>0</v>
      </c>
      <c r="H751" s="35">
        <v>0</v>
      </c>
      <c r="I751" s="8">
        <f t="shared" ref="I751" si="2094">(IF(D751="SELL",E751-F751,IF(D751="BUY",F751-E751)))*C751</f>
        <v>3750</v>
      </c>
      <c r="J751" s="8">
        <v>0</v>
      </c>
      <c r="K751" s="2">
        <v>0</v>
      </c>
      <c r="L751" s="8">
        <f t="shared" ref="L751" si="2095">(J751+I751+K751)/C751</f>
        <v>1.5</v>
      </c>
      <c r="M751" s="8">
        <f t="shared" ref="M751" si="2096">L751*C751</f>
        <v>3750</v>
      </c>
    </row>
    <row r="752" spans="1:13" ht="15.75" customHeight="1" x14ac:dyDescent="0.25">
      <c r="A752" s="24">
        <v>44049</v>
      </c>
      <c r="B752" s="29" t="s">
        <v>52</v>
      </c>
      <c r="C752" s="11">
        <v>1250</v>
      </c>
      <c r="D752" s="11" t="s">
        <v>10</v>
      </c>
      <c r="E752" s="11">
        <v>167</v>
      </c>
      <c r="F752" s="11">
        <v>168.5</v>
      </c>
      <c r="G752" s="34">
        <v>170.5</v>
      </c>
      <c r="H752" s="35">
        <v>0</v>
      </c>
      <c r="I752" s="8">
        <f t="shared" ref="I752" si="2097">(IF(D752="SELL",E752-F752,IF(D752="BUY",F752-E752)))*C752</f>
        <v>1875</v>
      </c>
      <c r="J752" s="8">
        <f>C752*2</f>
        <v>2500</v>
      </c>
      <c r="K752" s="2">
        <v>0</v>
      </c>
      <c r="L752" s="8">
        <f t="shared" ref="L752" si="2098">(J752+I752+K752)/C752</f>
        <v>3.5</v>
      </c>
      <c r="M752" s="8">
        <f t="shared" ref="M752" si="2099">L752*C752</f>
        <v>4375</v>
      </c>
    </row>
    <row r="753" spans="1:13" ht="15.75" customHeight="1" x14ac:dyDescent="0.25">
      <c r="A753" s="24">
        <v>44048</v>
      </c>
      <c r="B753" s="29" t="s">
        <v>52</v>
      </c>
      <c r="C753" s="11">
        <v>1250</v>
      </c>
      <c r="D753" s="11" t="s">
        <v>11</v>
      </c>
      <c r="E753" s="11">
        <v>163.5</v>
      </c>
      <c r="F753" s="11">
        <v>162.5</v>
      </c>
      <c r="G753" s="34">
        <v>160</v>
      </c>
      <c r="H753" s="35">
        <v>0</v>
      </c>
      <c r="I753" s="8">
        <f t="shared" ref="I753" si="2100">(IF(D753="SELL",E753-F753,IF(D753="BUY",F753-E753)))*C753</f>
        <v>1250</v>
      </c>
      <c r="J753" s="8">
        <v>0</v>
      </c>
      <c r="K753" s="2">
        <v>0</v>
      </c>
      <c r="L753" s="8">
        <f t="shared" ref="L753" si="2101">(J753+I753+K753)/C753</f>
        <v>1</v>
      </c>
      <c r="M753" s="8">
        <f t="shared" ref="M753" si="2102">L753*C753</f>
        <v>1250</v>
      </c>
    </row>
    <row r="754" spans="1:13" ht="15.75" customHeight="1" x14ac:dyDescent="0.25">
      <c r="A754" s="24">
        <v>44048</v>
      </c>
      <c r="B754" s="29" t="s">
        <v>73</v>
      </c>
      <c r="C754" s="11">
        <v>1500</v>
      </c>
      <c r="D754" s="11" t="s">
        <v>11</v>
      </c>
      <c r="E754" s="11">
        <v>1080</v>
      </c>
      <c r="F754" s="11">
        <v>1085.5</v>
      </c>
      <c r="G754" s="34">
        <v>0</v>
      </c>
      <c r="H754" s="35">
        <v>0</v>
      </c>
      <c r="I754" s="8">
        <f t="shared" ref="I754" si="2103">(IF(D754="SELL",E754-F754,IF(D754="BUY",F754-E754)))*C754</f>
        <v>-8250</v>
      </c>
      <c r="J754" s="8">
        <f>C754*1</f>
        <v>1500</v>
      </c>
      <c r="K754" s="2">
        <v>0</v>
      </c>
      <c r="L754" s="8">
        <f t="shared" ref="L754" si="2104">(J754+I754+K754)/C754</f>
        <v>-4.5</v>
      </c>
      <c r="M754" s="8">
        <f t="shared" ref="M754" si="2105">L754*C754</f>
        <v>-6750</v>
      </c>
    </row>
    <row r="755" spans="1:13" ht="15.75" customHeight="1" x14ac:dyDescent="0.25">
      <c r="A755" s="24">
        <v>44048</v>
      </c>
      <c r="B755" s="29" t="s">
        <v>17</v>
      </c>
      <c r="C755" s="11">
        <v>5000</v>
      </c>
      <c r="D755" s="11" t="s">
        <v>10</v>
      </c>
      <c r="E755" s="11">
        <v>187.4</v>
      </c>
      <c r="F755" s="11">
        <v>188</v>
      </c>
      <c r="G755" s="34">
        <v>189</v>
      </c>
      <c r="H755" s="35">
        <v>0</v>
      </c>
      <c r="I755" s="8">
        <f t="shared" ref="I755" si="2106">(IF(D755="SELL",E755-F755,IF(D755="BUY",F755-E755)))*C755</f>
        <v>2999.9999999999718</v>
      </c>
      <c r="J755" s="8">
        <f>C755*1</f>
        <v>5000</v>
      </c>
      <c r="K755" s="2">
        <v>0</v>
      </c>
      <c r="L755" s="8">
        <f t="shared" ref="L755" si="2107">(J755+I755+K755)/C755</f>
        <v>1.5999999999999943</v>
      </c>
      <c r="M755" s="8">
        <f t="shared" ref="M755" si="2108">L755*C755</f>
        <v>7999.9999999999718</v>
      </c>
    </row>
    <row r="756" spans="1:13" ht="15.75" customHeight="1" x14ac:dyDescent="0.25">
      <c r="A756" s="24">
        <v>44048</v>
      </c>
      <c r="B756" s="29" t="s">
        <v>16</v>
      </c>
      <c r="C756" s="11">
        <v>100</v>
      </c>
      <c r="D756" s="11" t="s">
        <v>10</v>
      </c>
      <c r="E756" s="11">
        <v>3163</v>
      </c>
      <c r="F756" s="11">
        <v>3183</v>
      </c>
      <c r="G756" s="34">
        <v>3225</v>
      </c>
      <c r="H756" s="35">
        <v>0</v>
      </c>
      <c r="I756" s="8">
        <f t="shared" ref="I756" si="2109">(IF(D756="SELL",E756-F756,IF(D756="BUY",F756-E756)))*C756</f>
        <v>2000</v>
      </c>
      <c r="J756" s="8">
        <f>C756*32</f>
        <v>3200</v>
      </c>
      <c r="K756" s="2">
        <v>0</v>
      </c>
      <c r="L756" s="8">
        <f t="shared" ref="L756" si="2110">(J756+I756+K756)/C756</f>
        <v>52</v>
      </c>
      <c r="M756" s="8">
        <f t="shared" ref="M756" si="2111">L756*C756</f>
        <v>5200</v>
      </c>
    </row>
    <row r="757" spans="1:13" ht="15.75" customHeight="1" x14ac:dyDescent="0.25">
      <c r="A757" s="24">
        <v>44048</v>
      </c>
      <c r="B757" s="29" t="s">
        <v>52</v>
      </c>
      <c r="C757" s="11">
        <v>1250</v>
      </c>
      <c r="D757" s="11" t="s">
        <v>10</v>
      </c>
      <c r="E757" s="11">
        <v>167</v>
      </c>
      <c r="F757" s="11">
        <v>168</v>
      </c>
      <c r="G757" s="34">
        <v>170</v>
      </c>
      <c r="H757" s="35">
        <v>0</v>
      </c>
      <c r="I757" s="8">
        <f t="shared" ref="I757" si="2112">(IF(D757="SELL",E757-F757,IF(D757="BUY",F757-E757)))*C757</f>
        <v>1250</v>
      </c>
      <c r="J757" s="8">
        <f>C757*2</f>
        <v>2500</v>
      </c>
      <c r="K757" s="2">
        <v>0</v>
      </c>
      <c r="L757" s="8">
        <f t="shared" ref="L757" si="2113">(J757+I757+K757)/C757</f>
        <v>3</v>
      </c>
      <c r="M757" s="8">
        <f t="shared" ref="M757" si="2114">L757*C757</f>
        <v>3750</v>
      </c>
    </row>
    <row r="758" spans="1:13" ht="15.75" customHeight="1" x14ac:dyDescent="0.25">
      <c r="A758" s="24">
        <v>44048</v>
      </c>
      <c r="B758" s="29" t="s">
        <v>18</v>
      </c>
      <c r="C758" s="11">
        <v>2500</v>
      </c>
      <c r="D758" s="11" t="s">
        <v>10</v>
      </c>
      <c r="E758" s="11">
        <v>509</v>
      </c>
      <c r="F758" s="11">
        <v>510</v>
      </c>
      <c r="G758" s="34">
        <v>513</v>
      </c>
      <c r="H758" s="35">
        <v>0</v>
      </c>
      <c r="I758" s="8">
        <f t="shared" ref="I758" si="2115">(IF(D758="SELL",E758-F758,IF(D758="BUY",F758-E758)))*C758</f>
        <v>2500</v>
      </c>
      <c r="J758" s="8">
        <f>C758*3</f>
        <v>7500</v>
      </c>
      <c r="K758" s="2">
        <v>0</v>
      </c>
      <c r="L758" s="8">
        <f t="shared" ref="L758" si="2116">(J758+I758+K758)/C758</f>
        <v>4</v>
      </c>
      <c r="M758" s="8">
        <f t="shared" ref="M758" si="2117">L758*C758</f>
        <v>10000</v>
      </c>
    </row>
    <row r="759" spans="1:13" ht="15.75" customHeight="1" x14ac:dyDescent="0.25">
      <c r="A759" s="24">
        <v>44048</v>
      </c>
      <c r="B759" s="29" t="s">
        <v>21</v>
      </c>
      <c r="C759" s="11">
        <v>1500</v>
      </c>
      <c r="D759" s="11" t="s">
        <v>10</v>
      </c>
      <c r="E759" s="11">
        <v>1073.8</v>
      </c>
      <c r="F759" s="11">
        <v>1078</v>
      </c>
      <c r="G759" s="34">
        <v>1085</v>
      </c>
      <c r="H759" s="35">
        <v>0</v>
      </c>
      <c r="I759" s="8">
        <f t="shared" ref="I759" si="2118">(IF(D759="SELL",E759-F759,IF(D759="BUY",F759-E759)))*C759</f>
        <v>6300.0000000000682</v>
      </c>
      <c r="J759" s="8">
        <f>C759*7</f>
        <v>10500</v>
      </c>
      <c r="K759" s="2">
        <v>0</v>
      </c>
      <c r="L759" s="8">
        <f t="shared" ref="L759" si="2119">(J759+I759+K759)/C759</f>
        <v>11.200000000000045</v>
      </c>
      <c r="M759" s="8">
        <f t="shared" ref="M759" si="2120">L759*C759</f>
        <v>16800.000000000069</v>
      </c>
    </row>
    <row r="760" spans="1:13" ht="15.75" customHeight="1" x14ac:dyDescent="0.25">
      <c r="A760" s="24">
        <v>44048</v>
      </c>
      <c r="B760" s="29" t="s">
        <v>14</v>
      </c>
      <c r="C760" s="11">
        <v>30</v>
      </c>
      <c r="D760" s="11" t="s">
        <v>10</v>
      </c>
      <c r="E760" s="11">
        <v>70450</v>
      </c>
      <c r="F760" s="11">
        <v>70600</v>
      </c>
      <c r="G760" s="34">
        <v>70900</v>
      </c>
      <c r="H760" s="35">
        <v>0</v>
      </c>
      <c r="I760" s="8">
        <f t="shared" ref="I760" si="2121">(IF(D760="SELL",E760-F760,IF(D760="BUY",F760-E760)))*C760</f>
        <v>4500</v>
      </c>
      <c r="J760" s="8">
        <f>C760*300</f>
        <v>9000</v>
      </c>
      <c r="K760" s="2">
        <v>0</v>
      </c>
      <c r="L760" s="8">
        <f t="shared" ref="L760" si="2122">(J760+I760+K760)/C760</f>
        <v>450</v>
      </c>
      <c r="M760" s="8">
        <f t="shared" ref="M760" si="2123">L760*C760</f>
        <v>13500</v>
      </c>
    </row>
    <row r="761" spans="1:13" ht="15.75" customHeight="1" x14ac:dyDescent="0.25">
      <c r="A761" s="24">
        <v>44048</v>
      </c>
      <c r="B761" s="29" t="s">
        <v>19</v>
      </c>
      <c r="C761" s="11">
        <v>100</v>
      </c>
      <c r="D761" s="11" t="s">
        <v>10</v>
      </c>
      <c r="E761" s="11">
        <v>54850</v>
      </c>
      <c r="F761" s="11">
        <v>54910</v>
      </c>
      <c r="G761" s="34">
        <v>55000</v>
      </c>
      <c r="H761" s="35">
        <v>0</v>
      </c>
      <c r="I761" s="8">
        <f t="shared" ref="I761" si="2124">(IF(D761="SELL",E761-F761,IF(D761="BUY",F761-E761)))*C761</f>
        <v>6000</v>
      </c>
      <c r="J761" s="8">
        <f>C761*90</f>
        <v>9000</v>
      </c>
      <c r="K761" s="2">
        <v>0</v>
      </c>
      <c r="L761" s="8">
        <f t="shared" ref="L761" si="2125">(J761+I761+K761)/C761</f>
        <v>150</v>
      </c>
      <c r="M761" s="8">
        <f t="shared" ref="M761" si="2126">L761*C761</f>
        <v>15000</v>
      </c>
    </row>
    <row r="762" spans="1:13" ht="15.75" customHeight="1" x14ac:dyDescent="0.25">
      <c r="A762" s="24">
        <v>44047</v>
      </c>
      <c r="B762" s="29" t="s">
        <v>18</v>
      </c>
      <c r="C762" s="11">
        <v>2500</v>
      </c>
      <c r="D762" s="11" t="s">
        <v>11</v>
      </c>
      <c r="E762" s="11">
        <v>505.6</v>
      </c>
      <c r="F762" s="11">
        <v>504.5</v>
      </c>
      <c r="G762" s="34">
        <v>0</v>
      </c>
      <c r="H762" s="35">
        <v>0</v>
      </c>
      <c r="I762" s="8">
        <f t="shared" ref="I762" si="2127">(IF(D762="SELL",E762-F762,IF(D762="BUY",F762-E762)))*C762</f>
        <v>2750.0000000000568</v>
      </c>
      <c r="J762" s="8">
        <v>0</v>
      </c>
      <c r="K762" s="2">
        <v>0</v>
      </c>
      <c r="L762" s="8">
        <f t="shared" ref="L762" si="2128">(J762+I762+K762)/C762</f>
        <v>1.1000000000000227</v>
      </c>
      <c r="M762" s="8">
        <f t="shared" ref="M762" si="2129">L762*C762</f>
        <v>2750.0000000000568</v>
      </c>
    </row>
    <row r="763" spans="1:13" ht="15.75" customHeight="1" x14ac:dyDescent="0.25">
      <c r="A763" s="24">
        <v>44047</v>
      </c>
      <c r="B763" s="29" t="s">
        <v>14</v>
      </c>
      <c r="C763" s="11">
        <v>30</v>
      </c>
      <c r="D763" s="11" t="s">
        <v>10</v>
      </c>
      <c r="E763" s="11">
        <v>65750</v>
      </c>
      <c r="F763" s="11">
        <v>65850</v>
      </c>
      <c r="G763" s="34">
        <v>66000</v>
      </c>
      <c r="H763" s="35">
        <v>0</v>
      </c>
      <c r="I763" s="8">
        <f t="shared" ref="I763" si="2130">(IF(D763="SELL",E763-F763,IF(D763="BUY",F763-E763)))*C763</f>
        <v>3000</v>
      </c>
      <c r="J763" s="8">
        <f>C763*150</f>
        <v>4500</v>
      </c>
      <c r="K763" s="2">
        <v>0</v>
      </c>
      <c r="L763" s="8">
        <f t="shared" ref="L763" si="2131">(J763+I763+K763)/C763</f>
        <v>250</v>
      </c>
      <c r="M763" s="8">
        <f t="shared" ref="M763" si="2132">L763*C763</f>
        <v>7500</v>
      </c>
    </row>
    <row r="764" spans="1:13" ht="15.75" customHeight="1" x14ac:dyDescent="0.25">
      <c r="A764" s="24">
        <v>44047</v>
      </c>
      <c r="B764" s="29" t="s">
        <v>52</v>
      </c>
      <c r="C764" s="11">
        <v>1250</v>
      </c>
      <c r="D764" s="11" t="s">
        <v>10</v>
      </c>
      <c r="E764" s="11">
        <v>161</v>
      </c>
      <c r="F764" s="11">
        <v>162.5</v>
      </c>
      <c r="G764" s="34">
        <v>0</v>
      </c>
      <c r="H764" s="35">
        <v>0</v>
      </c>
      <c r="I764" s="8">
        <f t="shared" ref="I764" si="2133">(IF(D764="SELL",E764-F764,IF(D764="BUY",F764-E764)))*C764</f>
        <v>1875</v>
      </c>
      <c r="J764" s="8">
        <v>0</v>
      </c>
      <c r="K764" s="2">
        <v>0</v>
      </c>
      <c r="L764" s="8">
        <f t="shared" ref="L764" si="2134">(J764+I764+K764)/C764</f>
        <v>1.5</v>
      </c>
      <c r="M764" s="8">
        <f t="shared" ref="M764" si="2135">L764*C764</f>
        <v>1875</v>
      </c>
    </row>
    <row r="765" spans="1:13" ht="15.75" customHeight="1" x14ac:dyDescent="0.25">
      <c r="A765" s="24">
        <v>44047</v>
      </c>
      <c r="B765" s="29" t="s">
        <v>16</v>
      </c>
      <c r="C765" s="11">
        <v>100</v>
      </c>
      <c r="D765" s="11" t="s">
        <v>10</v>
      </c>
      <c r="E765" s="11">
        <v>3075</v>
      </c>
      <c r="F765" s="11">
        <v>3030</v>
      </c>
      <c r="G765" s="34">
        <v>0</v>
      </c>
      <c r="H765" s="35">
        <v>0</v>
      </c>
      <c r="I765" s="8">
        <f t="shared" ref="I765" si="2136">(IF(D765="SELL",E765-F765,IF(D765="BUY",F765-E765)))*C765</f>
        <v>-4500</v>
      </c>
      <c r="J765" s="8">
        <v>0</v>
      </c>
      <c r="K765" s="2">
        <v>0</v>
      </c>
      <c r="L765" s="8">
        <f t="shared" ref="L765" si="2137">(J765+I765+K765)/C765</f>
        <v>-45</v>
      </c>
      <c r="M765" s="8">
        <f t="shared" ref="M765" si="2138">L765*C765</f>
        <v>-4500</v>
      </c>
    </row>
    <row r="766" spans="1:13" ht="15.75" customHeight="1" x14ac:dyDescent="0.25">
      <c r="A766" s="24">
        <v>44047</v>
      </c>
      <c r="B766" s="29" t="s">
        <v>17</v>
      </c>
      <c r="C766" s="11">
        <v>5000</v>
      </c>
      <c r="D766" s="11" t="s">
        <v>10</v>
      </c>
      <c r="E766" s="11">
        <v>184.3</v>
      </c>
      <c r="F766" s="11">
        <v>184.9</v>
      </c>
      <c r="G766" s="34">
        <v>0</v>
      </c>
      <c r="H766" s="35">
        <v>0</v>
      </c>
      <c r="I766" s="8">
        <f t="shared" ref="I766" si="2139">(IF(D766="SELL",E766-F766,IF(D766="BUY",F766-E766)))*C766</f>
        <v>2999.9999999999718</v>
      </c>
      <c r="J766" s="8">
        <v>0</v>
      </c>
      <c r="K766" s="2">
        <v>0</v>
      </c>
      <c r="L766" s="8">
        <f t="shared" ref="L766" si="2140">(J766+I766+K766)/C766</f>
        <v>0.59999999999999432</v>
      </c>
      <c r="M766" s="8">
        <f t="shared" ref="M766" si="2141">L766*C766</f>
        <v>2999.9999999999718</v>
      </c>
    </row>
    <row r="767" spans="1:13" ht="15.75" customHeight="1" x14ac:dyDescent="0.25">
      <c r="A767" s="24">
        <v>44047</v>
      </c>
      <c r="B767" s="29" t="s">
        <v>19</v>
      </c>
      <c r="C767" s="11">
        <v>100</v>
      </c>
      <c r="D767" s="11" t="s">
        <v>10</v>
      </c>
      <c r="E767" s="11">
        <v>53650</v>
      </c>
      <c r="F767" s="11">
        <v>53710</v>
      </c>
      <c r="G767" s="34">
        <v>53810</v>
      </c>
      <c r="H767" s="35">
        <v>0</v>
      </c>
      <c r="I767" s="8">
        <f t="shared" ref="I767:I830" si="2142">(IF(D767="SELL",E767-F767,IF(D767="BUY",F767-E767)))*C767</f>
        <v>6000</v>
      </c>
      <c r="J767" s="8">
        <f>C767*100</f>
        <v>10000</v>
      </c>
      <c r="K767" s="2">
        <v>0</v>
      </c>
      <c r="L767" s="8">
        <f t="shared" ref="L767:L830" si="2143">(J767+I767+K767)/C767</f>
        <v>160</v>
      </c>
      <c r="M767" s="8">
        <f t="shared" ref="M767:M830" si="2144">L767*C767</f>
        <v>16000</v>
      </c>
    </row>
    <row r="768" spans="1:13" ht="15.75" customHeight="1" x14ac:dyDescent="0.25">
      <c r="A768" s="24">
        <v>44047</v>
      </c>
      <c r="B768" s="29" t="s">
        <v>21</v>
      </c>
      <c r="C768" s="11">
        <v>1500</v>
      </c>
      <c r="D768" s="11" t="s">
        <v>10</v>
      </c>
      <c r="E768" s="11">
        <v>1060</v>
      </c>
      <c r="F768" s="11">
        <v>1055</v>
      </c>
      <c r="G768" s="34">
        <v>0</v>
      </c>
      <c r="H768" s="35">
        <v>0</v>
      </c>
      <c r="I768" s="8">
        <f t="shared" si="2142"/>
        <v>-7500</v>
      </c>
      <c r="J768" s="8">
        <v>0</v>
      </c>
      <c r="K768" s="2">
        <v>0</v>
      </c>
      <c r="L768" s="8">
        <f t="shared" si="2143"/>
        <v>-5</v>
      </c>
      <c r="M768" s="8">
        <f t="shared" si="2144"/>
        <v>-7500</v>
      </c>
    </row>
    <row r="769" spans="1:13" ht="15.75" customHeight="1" x14ac:dyDescent="0.25">
      <c r="A769" s="24">
        <v>44041</v>
      </c>
      <c r="B769" s="29" t="s">
        <v>21</v>
      </c>
      <c r="C769" s="11">
        <v>1500</v>
      </c>
      <c r="D769" s="11" t="s">
        <v>10</v>
      </c>
      <c r="E769" s="11">
        <v>1035</v>
      </c>
      <c r="F769" s="11">
        <v>1040</v>
      </c>
      <c r="G769" s="34">
        <v>0</v>
      </c>
      <c r="H769" s="35">
        <v>0</v>
      </c>
      <c r="I769" s="8">
        <f t="shared" si="2142"/>
        <v>7500</v>
      </c>
      <c r="J769" s="8">
        <v>0</v>
      </c>
      <c r="K769" s="2">
        <v>0</v>
      </c>
      <c r="L769" s="8">
        <f t="shared" si="2143"/>
        <v>5</v>
      </c>
      <c r="M769" s="8">
        <f t="shared" si="2144"/>
        <v>7500</v>
      </c>
    </row>
    <row r="770" spans="1:13" ht="15.75" customHeight="1" x14ac:dyDescent="0.25">
      <c r="A770" s="24">
        <v>44041</v>
      </c>
      <c r="B770" s="29" t="s">
        <v>14</v>
      </c>
      <c r="C770" s="11">
        <v>30</v>
      </c>
      <c r="D770" s="11" t="s">
        <v>10</v>
      </c>
      <c r="E770" s="11">
        <v>65320</v>
      </c>
      <c r="F770" s="11">
        <v>65440</v>
      </c>
      <c r="G770" s="34">
        <v>0</v>
      </c>
      <c r="H770" s="35">
        <v>0</v>
      </c>
      <c r="I770" s="8">
        <f t="shared" si="2142"/>
        <v>3600</v>
      </c>
      <c r="J770" s="8">
        <v>0</v>
      </c>
      <c r="K770" s="2">
        <v>0</v>
      </c>
      <c r="L770" s="8">
        <f t="shared" si="2143"/>
        <v>120</v>
      </c>
      <c r="M770" s="8">
        <f t="shared" si="2144"/>
        <v>3600</v>
      </c>
    </row>
    <row r="771" spans="1:13" ht="15.75" customHeight="1" x14ac:dyDescent="0.25">
      <c r="A771" s="24">
        <v>44041</v>
      </c>
      <c r="B771" s="29" t="s">
        <v>19</v>
      </c>
      <c r="C771" s="11">
        <v>100</v>
      </c>
      <c r="D771" s="11" t="s">
        <v>10</v>
      </c>
      <c r="E771" s="11">
        <v>52700</v>
      </c>
      <c r="F771" s="11">
        <v>52750</v>
      </c>
      <c r="G771" s="34">
        <v>52834</v>
      </c>
      <c r="H771" s="35">
        <v>0</v>
      </c>
      <c r="I771" s="8">
        <f t="shared" si="2142"/>
        <v>5000</v>
      </c>
      <c r="J771" s="8">
        <f>C771*84</f>
        <v>8400</v>
      </c>
      <c r="K771" s="2">
        <v>0</v>
      </c>
      <c r="L771" s="8">
        <f t="shared" si="2143"/>
        <v>134</v>
      </c>
      <c r="M771" s="8">
        <f t="shared" si="2144"/>
        <v>13400</v>
      </c>
    </row>
    <row r="772" spans="1:13" ht="15.75" customHeight="1" x14ac:dyDescent="0.25">
      <c r="A772" s="24">
        <v>44041</v>
      </c>
      <c r="B772" s="29" t="s">
        <v>18</v>
      </c>
      <c r="C772" s="11">
        <v>2500</v>
      </c>
      <c r="D772" s="11" t="s">
        <v>10</v>
      </c>
      <c r="E772" s="11">
        <v>507.5</v>
      </c>
      <c r="F772" s="11">
        <v>509.5</v>
      </c>
      <c r="G772" s="34">
        <v>0</v>
      </c>
      <c r="H772" s="35">
        <v>0</v>
      </c>
      <c r="I772" s="8">
        <f t="shared" si="2142"/>
        <v>5000</v>
      </c>
      <c r="J772" s="8">
        <v>0</v>
      </c>
      <c r="K772" s="2">
        <v>0</v>
      </c>
      <c r="L772" s="8">
        <f t="shared" si="2143"/>
        <v>2</v>
      </c>
      <c r="M772" s="8">
        <f t="shared" si="2144"/>
        <v>5000</v>
      </c>
    </row>
    <row r="773" spans="1:13" ht="15.75" customHeight="1" x14ac:dyDescent="0.25">
      <c r="A773" s="24">
        <v>44041</v>
      </c>
      <c r="B773" s="29" t="s">
        <v>17</v>
      </c>
      <c r="C773" s="11">
        <v>5000</v>
      </c>
      <c r="D773" s="11" t="s">
        <v>10</v>
      </c>
      <c r="E773" s="11">
        <v>179.3</v>
      </c>
      <c r="F773" s="11">
        <v>179.8</v>
      </c>
      <c r="G773" s="34">
        <v>180.5</v>
      </c>
      <c r="H773" s="35">
        <v>0</v>
      </c>
      <c r="I773" s="8">
        <f t="shared" si="2142"/>
        <v>2500</v>
      </c>
      <c r="J773" s="8">
        <f>C773*0.7</f>
        <v>3500</v>
      </c>
      <c r="K773" s="2">
        <v>0</v>
      </c>
      <c r="L773" s="8">
        <f t="shared" si="2143"/>
        <v>1.2</v>
      </c>
      <c r="M773" s="8">
        <f t="shared" si="2144"/>
        <v>6000</v>
      </c>
    </row>
    <row r="774" spans="1:13" ht="15.75" customHeight="1" x14ac:dyDescent="0.25">
      <c r="A774" s="24">
        <v>44040</v>
      </c>
      <c r="B774" s="29" t="s">
        <v>17</v>
      </c>
      <c r="C774" s="11">
        <v>5000</v>
      </c>
      <c r="D774" s="11" t="s">
        <v>10</v>
      </c>
      <c r="E774" s="11">
        <v>177</v>
      </c>
      <c r="F774" s="11">
        <v>177</v>
      </c>
      <c r="G774" s="34">
        <v>0</v>
      </c>
      <c r="H774" s="35">
        <v>0</v>
      </c>
      <c r="I774" s="8">
        <f t="shared" si="2142"/>
        <v>0</v>
      </c>
      <c r="J774" s="8">
        <v>0</v>
      </c>
      <c r="K774" s="2">
        <v>0</v>
      </c>
      <c r="L774" s="8">
        <f t="shared" si="2143"/>
        <v>0</v>
      </c>
      <c r="M774" s="8">
        <f t="shared" si="2144"/>
        <v>0</v>
      </c>
    </row>
    <row r="775" spans="1:13" ht="15" customHeight="1" x14ac:dyDescent="0.25">
      <c r="A775" s="24">
        <v>44040</v>
      </c>
      <c r="B775" s="29" t="s">
        <v>19</v>
      </c>
      <c r="C775" s="11">
        <v>100</v>
      </c>
      <c r="D775" s="11" t="s">
        <v>10</v>
      </c>
      <c r="E775" s="11">
        <v>52200</v>
      </c>
      <c r="F775" s="11">
        <v>52260</v>
      </c>
      <c r="G775" s="34">
        <v>0</v>
      </c>
      <c r="H775" s="35">
        <v>0</v>
      </c>
      <c r="I775" s="8">
        <f t="shared" si="2142"/>
        <v>6000</v>
      </c>
      <c r="J775" s="8">
        <v>0</v>
      </c>
      <c r="K775" s="2">
        <v>0</v>
      </c>
      <c r="L775" s="8">
        <f t="shared" si="2143"/>
        <v>60</v>
      </c>
      <c r="M775" s="8">
        <f t="shared" si="2144"/>
        <v>6000</v>
      </c>
    </row>
    <row r="776" spans="1:13" ht="15" customHeight="1" x14ac:dyDescent="0.25">
      <c r="A776" s="24">
        <v>44040</v>
      </c>
      <c r="B776" s="29" t="s">
        <v>14</v>
      </c>
      <c r="C776" s="11">
        <v>30</v>
      </c>
      <c r="D776" s="11" t="s">
        <v>10</v>
      </c>
      <c r="E776" s="11">
        <v>64210</v>
      </c>
      <c r="F776" s="11">
        <v>64350</v>
      </c>
      <c r="G776" s="34">
        <v>64650</v>
      </c>
      <c r="H776" s="35">
        <v>65000</v>
      </c>
      <c r="I776" s="8">
        <f t="shared" si="2142"/>
        <v>4200</v>
      </c>
      <c r="J776" s="8">
        <f>C776*300</f>
        <v>9000</v>
      </c>
      <c r="K776" s="2">
        <f>C776*350</f>
        <v>10500</v>
      </c>
      <c r="L776" s="8">
        <f t="shared" si="2143"/>
        <v>790</v>
      </c>
      <c r="M776" s="8">
        <f t="shared" si="2144"/>
        <v>23700</v>
      </c>
    </row>
    <row r="777" spans="1:13" ht="15" customHeight="1" x14ac:dyDescent="0.25">
      <c r="A777" s="24">
        <v>44040</v>
      </c>
      <c r="B777" s="29" t="s">
        <v>21</v>
      </c>
      <c r="C777" s="11">
        <v>1500</v>
      </c>
      <c r="D777" s="11" t="s">
        <v>11</v>
      </c>
      <c r="E777" s="11">
        <v>1023.5</v>
      </c>
      <c r="F777" s="11">
        <v>1027.5</v>
      </c>
      <c r="G777" s="34">
        <v>0</v>
      </c>
      <c r="H777" s="35">
        <v>0</v>
      </c>
      <c r="I777" s="8">
        <f t="shared" si="2142"/>
        <v>-6000</v>
      </c>
      <c r="J777" s="8">
        <v>0</v>
      </c>
      <c r="K777" s="2">
        <v>0</v>
      </c>
      <c r="L777" s="8">
        <f t="shared" si="2143"/>
        <v>-4</v>
      </c>
      <c r="M777" s="8">
        <f t="shared" si="2144"/>
        <v>-6000</v>
      </c>
    </row>
    <row r="778" spans="1:13" ht="15" customHeight="1" x14ac:dyDescent="0.25">
      <c r="A778" s="24">
        <v>44040</v>
      </c>
      <c r="B778" s="29" t="s">
        <v>14</v>
      </c>
      <c r="C778" s="11">
        <v>30</v>
      </c>
      <c r="D778" s="11" t="s">
        <v>10</v>
      </c>
      <c r="E778" s="11">
        <v>63600</v>
      </c>
      <c r="F778" s="11">
        <v>63750</v>
      </c>
      <c r="G778" s="34">
        <v>64000</v>
      </c>
      <c r="H778" s="35">
        <v>64500</v>
      </c>
      <c r="I778" s="8">
        <f t="shared" si="2142"/>
        <v>4500</v>
      </c>
      <c r="J778" s="8">
        <f>C778*250</f>
        <v>7500</v>
      </c>
      <c r="K778" s="2">
        <f>C778*500</f>
        <v>15000</v>
      </c>
      <c r="L778" s="8">
        <f t="shared" si="2143"/>
        <v>900</v>
      </c>
      <c r="M778" s="8">
        <f t="shared" si="2144"/>
        <v>27000</v>
      </c>
    </row>
    <row r="779" spans="1:13" ht="15" customHeight="1" x14ac:dyDescent="0.25">
      <c r="A779" s="24">
        <v>44040</v>
      </c>
      <c r="B779" s="29" t="s">
        <v>19</v>
      </c>
      <c r="C779" s="11">
        <v>100</v>
      </c>
      <c r="D779" s="11" t="s">
        <v>11</v>
      </c>
      <c r="E779" s="11">
        <v>52090</v>
      </c>
      <c r="F779" s="11">
        <v>52040</v>
      </c>
      <c r="G779" s="34">
        <v>0</v>
      </c>
      <c r="H779" s="35">
        <v>0</v>
      </c>
      <c r="I779" s="8">
        <f t="shared" si="2142"/>
        <v>5000</v>
      </c>
      <c r="J779" s="8">
        <v>0</v>
      </c>
      <c r="K779" s="2">
        <v>0</v>
      </c>
      <c r="L779" s="8">
        <f t="shared" si="2143"/>
        <v>50</v>
      </c>
      <c r="M779" s="8">
        <f t="shared" si="2144"/>
        <v>5000</v>
      </c>
    </row>
    <row r="780" spans="1:13" ht="15" customHeight="1" x14ac:dyDescent="0.25">
      <c r="A780" s="24">
        <v>44040</v>
      </c>
      <c r="B780" s="29" t="s">
        <v>18</v>
      </c>
      <c r="C780" s="11">
        <v>2500</v>
      </c>
      <c r="D780" s="11" t="s">
        <v>11</v>
      </c>
      <c r="E780" s="11">
        <v>502.3</v>
      </c>
      <c r="F780" s="11">
        <v>502.3</v>
      </c>
      <c r="G780" s="34">
        <v>0</v>
      </c>
      <c r="H780" s="35">
        <v>0</v>
      </c>
      <c r="I780" s="8">
        <f t="shared" si="2142"/>
        <v>0</v>
      </c>
      <c r="J780" s="8">
        <v>0</v>
      </c>
      <c r="K780" s="2">
        <v>0</v>
      </c>
      <c r="L780" s="8">
        <f t="shared" si="2143"/>
        <v>0</v>
      </c>
      <c r="M780" s="8">
        <f t="shared" si="2144"/>
        <v>0</v>
      </c>
    </row>
    <row r="781" spans="1:13" ht="15" customHeight="1" x14ac:dyDescent="0.25">
      <c r="A781" s="24">
        <v>44039</v>
      </c>
      <c r="B781" s="29" t="s">
        <v>14</v>
      </c>
      <c r="C781" s="11">
        <v>30</v>
      </c>
      <c r="D781" s="11" t="s">
        <v>10</v>
      </c>
      <c r="E781" s="11">
        <v>64900</v>
      </c>
      <c r="F781" s="11">
        <v>65000</v>
      </c>
      <c r="G781" s="34">
        <v>0</v>
      </c>
      <c r="H781" s="35">
        <v>0</v>
      </c>
      <c r="I781" s="8">
        <f t="shared" si="2142"/>
        <v>3000</v>
      </c>
      <c r="J781" s="8">
        <v>0</v>
      </c>
      <c r="K781" s="2">
        <v>0</v>
      </c>
      <c r="L781" s="8">
        <f t="shared" si="2143"/>
        <v>100</v>
      </c>
      <c r="M781" s="8">
        <f t="shared" si="2144"/>
        <v>3000</v>
      </c>
    </row>
    <row r="782" spans="1:13" ht="15" customHeight="1" x14ac:dyDescent="0.25">
      <c r="A782" s="24">
        <v>44039</v>
      </c>
      <c r="B782" s="29" t="s">
        <v>19</v>
      </c>
      <c r="C782" s="11">
        <v>100</v>
      </c>
      <c r="D782" s="11" t="s">
        <v>10</v>
      </c>
      <c r="E782" s="11">
        <v>51840</v>
      </c>
      <c r="F782" s="11">
        <v>51900</v>
      </c>
      <c r="G782" s="34">
        <v>52000</v>
      </c>
      <c r="H782" s="35">
        <v>0</v>
      </c>
      <c r="I782" s="8">
        <f t="shared" si="2142"/>
        <v>6000</v>
      </c>
      <c r="J782" s="8">
        <f>C782*100</f>
        <v>10000</v>
      </c>
      <c r="K782" s="2">
        <v>0</v>
      </c>
      <c r="L782" s="8">
        <f t="shared" si="2143"/>
        <v>160</v>
      </c>
      <c r="M782" s="8">
        <f t="shared" si="2144"/>
        <v>16000</v>
      </c>
    </row>
    <row r="783" spans="1:13" ht="15" customHeight="1" x14ac:dyDescent="0.25">
      <c r="A783" s="24">
        <v>44036</v>
      </c>
      <c r="B783" s="29" t="s">
        <v>18</v>
      </c>
      <c r="C783" s="11">
        <v>2500</v>
      </c>
      <c r="D783" s="11" t="s">
        <v>10</v>
      </c>
      <c r="E783" s="11">
        <v>508.5</v>
      </c>
      <c r="F783" s="11">
        <v>510</v>
      </c>
      <c r="G783" s="34">
        <v>0</v>
      </c>
      <c r="H783" s="35">
        <v>0</v>
      </c>
      <c r="I783" s="8">
        <f t="shared" si="2142"/>
        <v>3750</v>
      </c>
      <c r="J783" s="8">
        <v>0</v>
      </c>
      <c r="K783" s="2">
        <v>0</v>
      </c>
      <c r="L783" s="8">
        <f t="shared" si="2143"/>
        <v>1.5</v>
      </c>
      <c r="M783" s="8">
        <f t="shared" si="2144"/>
        <v>3750</v>
      </c>
    </row>
    <row r="784" spans="1:13" ht="15" customHeight="1" x14ac:dyDescent="0.25">
      <c r="A784" s="24">
        <v>44036</v>
      </c>
      <c r="B784" s="29" t="s">
        <v>19</v>
      </c>
      <c r="C784" s="11">
        <v>100</v>
      </c>
      <c r="D784" s="11" t="s">
        <v>10</v>
      </c>
      <c r="E784" s="11">
        <v>50950</v>
      </c>
      <c r="F784" s="11">
        <v>51010</v>
      </c>
      <c r="G784" s="34">
        <v>51150</v>
      </c>
      <c r="H784" s="35">
        <v>0</v>
      </c>
      <c r="I784" s="8">
        <f t="shared" si="2142"/>
        <v>6000</v>
      </c>
      <c r="J784" s="8">
        <f>C784*140</f>
        <v>14000</v>
      </c>
      <c r="K784" s="2">
        <v>0</v>
      </c>
      <c r="L784" s="8">
        <f t="shared" si="2143"/>
        <v>200</v>
      </c>
      <c r="M784" s="8">
        <f t="shared" si="2144"/>
        <v>20000</v>
      </c>
    </row>
    <row r="785" spans="1:13" ht="15" customHeight="1" x14ac:dyDescent="0.25">
      <c r="A785" s="24">
        <v>44036</v>
      </c>
      <c r="B785" s="29" t="s">
        <v>14</v>
      </c>
      <c r="C785" s="11">
        <v>30</v>
      </c>
      <c r="D785" s="11" t="s">
        <v>10</v>
      </c>
      <c r="E785" s="11">
        <v>61100</v>
      </c>
      <c r="F785" s="11">
        <v>61250</v>
      </c>
      <c r="G785" s="34">
        <v>0</v>
      </c>
      <c r="H785" s="35">
        <v>0</v>
      </c>
      <c r="I785" s="8">
        <f t="shared" si="2142"/>
        <v>4500</v>
      </c>
      <c r="J785" s="8">
        <v>0</v>
      </c>
      <c r="K785" s="2">
        <v>0</v>
      </c>
      <c r="L785" s="8">
        <f t="shared" si="2143"/>
        <v>150</v>
      </c>
      <c r="M785" s="8">
        <f t="shared" si="2144"/>
        <v>4500</v>
      </c>
    </row>
    <row r="786" spans="1:13" ht="15" customHeight="1" x14ac:dyDescent="0.25">
      <c r="A786" s="24">
        <v>44036</v>
      </c>
      <c r="B786" s="29" t="s">
        <v>19</v>
      </c>
      <c r="C786" s="11">
        <v>100</v>
      </c>
      <c r="D786" s="11" t="s">
        <v>10</v>
      </c>
      <c r="E786" s="11">
        <v>50800</v>
      </c>
      <c r="F786" s="11">
        <v>50850</v>
      </c>
      <c r="G786" s="34">
        <v>50948</v>
      </c>
      <c r="H786" s="35">
        <v>0</v>
      </c>
      <c r="I786" s="8">
        <f t="shared" si="2142"/>
        <v>5000</v>
      </c>
      <c r="J786" s="8">
        <f>C786*98</f>
        <v>9800</v>
      </c>
      <c r="K786" s="2">
        <v>0</v>
      </c>
      <c r="L786" s="8">
        <f t="shared" si="2143"/>
        <v>148</v>
      </c>
      <c r="M786" s="8">
        <f t="shared" si="2144"/>
        <v>14800</v>
      </c>
    </row>
    <row r="787" spans="1:13" ht="15" customHeight="1" x14ac:dyDescent="0.25">
      <c r="A787" s="24">
        <v>44035</v>
      </c>
      <c r="B787" s="29" t="s">
        <v>19</v>
      </c>
      <c r="C787" s="11">
        <v>100</v>
      </c>
      <c r="D787" s="11" t="s">
        <v>11</v>
      </c>
      <c r="E787" s="11">
        <v>50390</v>
      </c>
      <c r="F787" s="11">
        <v>50390</v>
      </c>
      <c r="G787" s="34">
        <v>0</v>
      </c>
      <c r="H787" s="35">
        <v>0</v>
      </c>
      <c r="I787" s="8">
        <f t="shared" si="2142"/>
        <v>0</v>
      </c>
      <c r="J787" s="8">
        <v>0</v>
      </c>
      <c r="K787" s="2">
        <v>0</v>
      </c>
      <c r="L787" s="8">
        <f t="shared" si="2143"/>
        <v>0</v>
      </c>
      <c r="M787" s="8">
        <f t="shared" si="2144"/>
        <v>0</v>
      </c>
    </row>
    <row r="788" spans="1:13" ht="15" customHeight="1" x14ac:dyDescent="0.25">
      <c r="A788" s="24">
        <v>44035</v>
      </c>
      <c r="B788" s="29" t="s">
        <v>21</v>
      </c>
      <c r="C788" s="11">
        <v>1500</v>
      </c>
      <c r="D788" s="11" t="s">
        <v>11</v>
      </c>
      <c r="E788" s="11">
        <v>1013</v>
      </c>
      <c r="F788" s="11">
        <v>1018</v>
      </c>
      <c r="G788" s="34">
        <v>0</v>
      </c>
      <c r="H788" s="35">
        <v>0</v>
      </c>
      <c r="I788" s="8">
        <f t="shared" si="2142"/>
        <v>-7500</v>
      </c>
      <c r="J788" s="8">
        <v>0</v>
      </c>
      <c r="K788" s="2">
        <v>0</v>
      </c>
      <c r="L788" s="8">
        <f t="shared" si="2143"/>
        <v>-5</v>
      </c>
      <c r="M788" s="8">
        <f t="shared" si="2144"/>
        <v>-7500</v>
      </c>
    </row>
    <row r="789" spans="1:13" ht="15" customHeight="1" x14ac:dyDescent="0.25">
      <c r="A789" s="24">
        <v>44035</v>
      </c>
      <c r="B789" s="29" t="s">
        <v>18</v>
      </c>
      <c r="C789" s="11">
        <v>2500</v>
      </c>
      <c r="D789" s="11" t="s">
        <v>10</v>
      </c>
      <c r="E789" s="11">
        <v>509</v>
      </c>
      <c r="F789" s="11">
        <v>510.8</v>
      </c>
      <c r="G789" s="34">
        <v>0</v>
      </c>
      <c r="H789" s="35">
        <v>0</v>
      </c>
      <c r="I789" s="8">
        <f t="shared" si="2142"/>
        <v>4500.0000000000282</v>
      </c>
      <c r="J789" s="8">
        <v>0</v>
      </c>
      <c r="K789" s="2">
        <v>0</v>
      </c>
      <c r="L789" s="8">
        <f t="shared" si="2143"/>
        <v>1.8000000000000114</v>
      </c>
      <c r="M789" s="8">
        <f t="shared" si="2144"/>
        <v>4500.0000000000282</v>
      </c>
    </row>
    <row r="790" spans="1:13" ht="15" customHeight="1" x14ac:dyDescent="0.25">
      <c r="A790" s="24">
        <v>44035</v>
      </c>
      <c r="B790" s="29" t="s">
        <v>19</v>
      </c>
      <c r="C790" s="11">
        <v>100</v>
      </c>
      <c r="D790" s="11" t="s">
        <v>10</v>
      </c>
      <c r="E790" s="11">
        <v>50270</v>
      </c>
      <c r="F790" s="11">
        <v>50320</v>
      </c>
      <c r="G790" s="34">
        <v>50400</v>
      </c>
      <c r="H790" s="35">
        <v>0</v>
      </c>
      <c r="I790" s="8">
        <f t="shared" si="2142"/>
        <v>5000</v>
      </c>
      <c r="J790" s="8">
        <f>C790*80</f>
        <v>8000</v>
      </c>
      <c r="K790" s="2">
        <v>0</v>
      </c>
      <c r="L790" s="8">
        <f t="shared" si="2143"/>
        <v>130</v>
      </c>
      <c r="M790" s="8">
        <f t="shared" si="2144"/>
        <v>13000</v>
      </c>
    </row>
    <row r="791" spans="1:13" ht="15" customHeight="1" x14ac:dyDescent="0.25">
      <c r="A791" s="24">
        <v>44035</v>
      </c>
      <c r="B791" s="29" t="s">
        <v>14</v>
      </c>
      <c r="C791" s="11">
        <v>30</v>
      </c>
      <c r="D791" s="11" t="s">
        <v>10</v>
      </c>
      <c r="E791" s="11">
        <v>61700</v>
      </c>
      <c r="F791" s="11">
        <v>61390</v>
      </c>
      <c r="G791" s="34">
        <v>0</v>
      </c>
      <c r="H791" s="35">
        <v>0</v>
      </c>
      <c r="I791" s="8">
        <f t="shared" si="2142"/>
        <v>-9300</v>
      </c>
      <c r="J791" s="8">
        <v>0</v>
      </c>
      <c r="K791" s="2">
        <v>0</v>
      </c>
      <c r="L791" s="8">
        <f t="shared" si="2143"/>
        <v>-310</v>
      </c>
      <c r="M791" s="8">
        <f t="shared" si="2144"/>
        <v>-9300</v>
      </c>
    </row>
    <row r="792" spans="1:13" ht="15" customHeight="1" x14ac:dyDescent="0.25">
      <c r="A792" s="24">
        <v>44034</v>
      </c>
      <c r="B792" s="29" t="s">
        <v>17</v>
      </c>
      <c r="C792" s="11">
        <v>5000</v>
      </c>
      <c r="D792" s="11" t="s">
        <v>11</v>
      </c>
      <c r="E792" s="11">
        <v>173.6</v>
      </c>
      <c r="F792" s="11">
        <v>173</v>
      </c>
      <c r="G792" s="34">
        <v>172.15</v>
      </c>
      <c r="H792" s="35">
        <v>0</v>
      </c>
      <c r="I792" s="8">
        <f t="shared" si="2142"/>
        <v>2999.9999999999718</v>
      </c>
      <c r="J792" s="8">
        <f>C792*0.85</f>
        <v>4250</v>
      </c>
      <c r="K792" s="2">
        <v>0</v>
      </c>
      <c r="L792" s="8">
        <f t="shared" si="2143"/>
        <v>1.4499999999999944</v>
      </c>
      <c r="M792" s="8">
        <f t="shared" si="2144"/>
        <v>7249.9999999999718</v>
      </c>
    </row>
    <row r="793" spans="1:13" ht="15" customHeight="1" x14ac:dyDescent="0.25">
      <c r="A793" s="24">
        <v>44034</v>
      </c>
      <c r="B793" s="29" t="s">
        <v>21</v>
      </c>
      <c r="C793" s="11">
        <v>1500</v>
      </c>
      <c r="D793" s="11" t="s">
        <v>11</v>
      </c>
      <c r="E793" s="11">
        <v>999</v>
      </c>
      <c r="F793" s="11">
        <v>995</v>
      </c>
      <c r="G793" s="34">
        <v>990.7</v>
      </c>
      <c r="H793" s="35">
        <v>0</v>
      </c>
      <c r="I793" s="8">
        <f t="shared" si="2142"/>
        <v>6000</v>
      </c>
      <c r="J793" s="8">
        <f>C793*4.3</f>
        <v>6450</v>
      </c>
      <c r="K793" s="2">
        <v>0</v>
      </c>
      <c r="L793" s="8">
        <f t="shared" si="2143"/>
        <v>8.3000000000000007</v>
      </c>
      <c r="M793" s="8">
        <f t="shared" si="2144"/>
        <v>12450.000000000002</v>
      </c>
    </row>
    <row r="794" spans="1:13" ht="15" customHeight="1" x14ac:dyDescent="0.25">
      <c r="A794" s="24">
        <v>44034</v>
      </c>
      <c r="B794" s="29" t="s">
        <v>19</v>
      </c>
      <c r="C794" s="11">
        <v>100</v>
      </c>
      <c r="D794" s="11" t="s">
        <v>10</v>
      </c>
      <c r="E794" s="11">
        <v>50020</v>
      </c>
      <c r="F794" s="11">
        <v>49930</v>
      </c>
      <c r="G794" s="34">
        <v>0</v>
      </c>
      <c r="H794" s="35">
        <v>0</v>
      </c>
      <c r="I794" s="8">
        <f t="shared" si="2142"/>
        <v>-9000</v>
      </c>
      <c r="J794" s="8">
        <v>0</v>
      </c>
      <c r="K794" s="2">
        <v>0</v>
      </c>
      <c r="L794" s="8">
        <f t="shared" si="2143"/>
        <v>-90</v>
      </c>
      <c r="M794" s="8">
        <f t="shared" si="2144"/>
        <v>-9000</v>
      </c>
    </row>
    <row r="795" spans="1:13" ht="15" customHeight="1" x14ac:dyDescent="0.25">
      <c r="A795" s="24">
        <v>44034</v>
      </c>
      <c r="B795" s="29" t="s">
        <v>14</v>
      </c>
      <c r="C795" s="11">
        <v>30</v>
      </c>
      <c r="D795" s="11" t="s">
        <v>10</v>
      </c>
      <c r="E795" s="11">
        <v>60210</v>
      </c>
      <c r="F795" s="11">
        <v>60310</v>
      </c>
      <c r="G795" s="34">
        <v>60510</v>
      </c>
      <c r="H795" s="35">
        <v>0</v>
      </c>
      <c r="I795" s="8">
        <f t="shared" si="2142"/>
        <v>3000</v>
      </c>
      <c r="J795" s="8">
        <f>C795*200</f>
        <v>6000</v>
      </c>
      <c r="K795" s="2">
        <v>0</v>
      </c>
      <c r="L795" s="8">
        <f t="shared" si="2143"/>
        <v>300</v>
      </c>
      <c r="M795" s="8">
        <f t="shared" si="2144"/>
        <v>9000</v>
      </c>
    </row>
    <row r="796" spans="1:13" ht="15" customHeight="1" x14ac:dyDescent="0.25">
      <c r="A796" s="24">
        <v>44034</v>
      </c>
      <c r="B796" s="29" t="s">
        <v>19</v>
      </c>
      <c r="C796" s="11">
        <v>100</v>
      </c>
      <c r="D796" s="11" t="s">
        <v>11</v>
      </c>
      <c r="E796" s="11">
        <v>49880</v>
      </c>
      <c r="F796" s="11">
        <v>49880</v>
      </c>
      <c r="G796" s="34">
        <v>0</v>
      </c>
      <c r="H796" s="35">
        <v>0</v>
      </c>
      <c r="I796" s="8">
        <f t="shared" si="2142"/>
        <v>0</v>
      </c>
      <c r="J796" s="8">
        <v>0</v>
      </c>
      <c r="K796" s="2">
        <v>0</v>
      </c>
      <c r="L796" s="8">
        <f t="shared" si="2143"/>
        <v>0</v>
      </c>
      <c r="M796" s="8">
        <f t="shared" si="2144"/>
        <v>0</v>
      </c>
    </row>
    <row r="797" spans="1:13" ht="15" customHeight="1" x14ac:dyDescent="0.25">
      <c r="A797" s="24">
        <v>44034</v>
      </c>
      <c r="B797" s="29" t="s">
        <v>14</v>
      </c>
      <c r="C797" s="11">
        <v>30</v>
      </c>
      <c r="D797" s="11" t="s">
        <v>11</v>
      </c>
      <c r="E797" s="11">
        <v>59080</v>
      </c>
      <c r="F797" s="11">
        <v>58900</v>
      </c>
      <c r="G797" s="34">
        <v>58400</v>
      </c>
      <c r="H797" s="35">
        <v>0</v>
      </c>
      <c r="I797" s="8">
        <f t="shared" si="2142"/>
        <v>5400</v>
      </c>
      <c r="J797" s="8">
        <f>C797*500</f>
        <v>15000</v>
      </c>
      <c r="K797" s="2">
        <v>0</v>
      </c>
      <c r="L797" s="8">
        <f t="shared" si="2143"/>
        <v>680</v>
      </c>
      <c r="M797" s="8">
        <f t="shared" si="2144"/>
        <v>20400</v>
      </c>
    </row>
    <row r="798" spans="1:13" ht="15" customHeight="1" x14ac:dyDescent="0.25">
      <c r="A798" s="24">
        <v>44034</v>
      </c>
      <c r="B798" s="29" t="s">
        <v>21</v>
      </c>
      <c r="C798" s="11">
        <v>1500</v>
      </c>
      <c r="D798" s="11" t="s">
        <v>10</v>
      </c>
      <c r="E798" s="11">
        <v>1013</v>
      </c>
      <c r="F798" s="11">
        <v>1009</v>
      </c>
      <c r="G798" s="34">
        <v>0</v>
      </c>
      <c r="H798" s="35">
        <v>0</v>
      </c>
      <c r="I798" s="8">
        <f t="shared" si="2142"/>
        <v>-6000</v>
      </c>
      <c r="J798" s="8">
        <v>0</v>
      </c>
      <c r="K798" s="2">
        <v>0</v>
      </c>
      <c r="L798" s="8">
        <f t="shared" si="2143"/>
        <v>-4</v>
      </c>
      <c r="M798" s="8">
        <f t="shared" si="2144"/>
        <v>-6000</v>
      </c>
    </row>
    <row r="799" spans="1:13" ht="15" customHeight="1" x14ac:dyDescent="0.25">
      <c r="A799" s="24">
        <v>44034</v>
      </c>
      <c r="B799" s="29" t="s">
        <v>19</v>
      </c>
      <c r="C799" s="11">
        <v>100</v>
      </c>
      <c r="D799" s="11" t="s">
        <v>10</v>
      </c>
      <c r="E799" s="11">
        <v>50020</v>
      </c>
      <c r="F799" s="11">
        <v>50070</v>
      </c>
      <c r="G799" s="34">
        <v>0</v>
      </c>
      <c r="H799" s="35">
        <v>0</v>
      </c>
      <c r="I799" s="8">
        <f t="shared" si="2142"/>
        <v>5000</v>
      </c>
      <c r="J799" s="8">
        <v>0</v>
      </c>
      <c r="K799" s="2">
        <v>0</v>
      </c>
      <c r="L799" s="8">
        <f t="shared" si="2143"/>
        <v>50</v>
      </c>
      <c r="M799" s="8">
        <f t="shared" si="2144"/>
        <v>5000</v>
      </c>
    </row>
    <row r="800" spans="1:13" ht="15" customHeight="1" x14ac:dyDescent="0.25">
      <c r="A800" s="24">
        <v>44033</v>
      </c>
      <c r="B800" s="29" t="s">
        <v>18</v>
      </c>
      <c r="C800" s="11">
        <v>2500</v>
      </c>
      <c r="D800" s="11" t="s">
        <v>10</v>
      </c>
      <c r="E800" s="11">
        <v>505.5</v>
      </c>
      <c r="F800" s="11">
        <v>507</v>
      </c>
      <c r="G800" s="34">
        <v>0</v>
      </c>
      <c r="H800" s="35">
        <v>0</v>
      </c>
      <c r="I800" s="8">
        <f t="shared" si="2142"/>
        <v>3750</v>
      </c>
      <c r="J800" s="8">
        <v>0</v>
      </c>
      <c r="K800" s="2">
        <v>0</v>
      </c>
      <c r="L800" s="8">
        <f t="shared" si="2143"/>
        <v>1.5</v>
      </c>
      <c r="M800" s="8">
        <f t="shared" si="2144"/>
        <v>3750</v>
      </c>
    </row>
    <row r="801" spans="1:13" ht="15" customHeight="1" x14ac:dyDescent="0.25">
      <c r="A801" s="24">
        <v>44033</v>
      </c>
      <c r="B801" s="29" t="s">
        <v>21</v>
      </c>
      <c r="C801" s="11">
        <v>1500</v>
      </c>
      <c r="D801" s="11" t="s">
        <v>10</v>
      </c>
      <c r="E801" s="11">
        <v>1008</v>
      </c>
      <c r="F801" s="11">
        <v>1011.8</v>
      </c>
      <c r="G801" s="34">
        <v>0</v>
      </c>
      <c r="H801" s="35">
        <v>0</v>
      </c>
      <c r="I801" s="8">
        <f t="shared" si="2142"/>
        <v>5699.9999999999318</v>
      </c>
      <c r="J801" s="8">
        <v>0</v>
      </c>
      <c r="K801" s="2">
        <v>0</v>
      </c>
      <c r="L801" s="8">
        <f t="shared" si="2143"/>
        <v>3.7999999999999545</v>
      </c>
      <c r="M801" s="8">
        <f t="shared" si="2144"/>
        <v>5699.9999999999318</v>
      </c>
    </row>
    <row r="802" spans="1:13" ht="15" customHeight="1" x14ac:dyDescent="0.25">
      <c r="A802" s="24">
        <v>44033</v>
      </c>
      <c r="B802" s="29" t="s">
        <v>14</v>
      </c>
      <c r="C802" s="11">
        <v>30</v>
      </c>
      <c r="D802" s="11" t="s">
        <v>10</v>
      </c>
      <c r="E802" s="11">
        <v>55350</v>
      </c>
      <c r="F802" s="11">
        <v>55450</v>
      </c>
      <c r="G802" s="34">
        <v>55700</v>
      </c>
      <c r="H802" s="35">
        <v>0</v>
      </c>
      <c r="I802" s="8">
        <f t="shared" si="2142"/>
        <v>3000</v>
      </c>
      <c r="J802" s="8">
        <f>C802*250</f>
        <v>7500</v>
      </c>
      <c r="K802" s="2">
        <v>0</v>
      </c>
      <c r="L802" s="8">
        <f t="shared" si="2143"/>
        <v>350</v>
      </c>
      <c r="M802" s="8">
        <f t="shared" si="2144"/>
        <v>10500</v>
      </c>
    </row>
    <row r="803" spans="1:13" ht="15" customHeight="1" x14ac:dyDescent="0.25">
      <c r="A803" s="24">
        <v>44033</v>
      </c>
      <c r="B803" s="29" t="s">
        <v>19</v>
      </c>
      <c r="C803" s="11">
        <v>100</v>
      </c>
      <c r="D803" s="11" t="s">
        <v>10</v>
      </c>
      <c r="E803" s="11">
        <v>49140</v>
      </c>
      <c r="F803" s="11">
        <v>49190</v>
      </c>
      <c r="G803" s="34">
        <v>49290</v>
      </c>
      <c r="H803" s="35">
        <v>0</v>
      </c>
      <c r="I803" s="8">
        <f t="shared" si="2142"/>
        <v>5000</v>
      </c>
      <c r="J803" s="8">
        <f>C803*100</f>
        <v>10000</v>
      </c>
      <c r="K803" s="2">
        <v>0</v>
      </c>
      <c r="L803" s="8">
        <f t="shared" si="2143"/>
        <v>150</v>
      </c>
      <c r="M803" s="8">
        <f t="shared" si="2144"/>
        <v>15000</v>
      </c>
    </row>
    <row r="804" spans="1:13" ht="15" customHeight="1" x14ac:dyDescent="0.25">
      <c r="A804" s="24">
        <v>44033</v>
      </c>
      <c r="B804" s="29" t="s">
        <v>17</v>
      </c>
      <c r="C804" s="11">
        <v>5000</v>
      </c>
      <c r="D804" s="11" t="s">
        <v>10</v>
      </c>
      <c r="E804" s="11">
        <v>176.4</v>
      </c>
      <c r="F804" s="11">
        <v>176.4</v>
      </c>
      <c r="G804" s="34">
        <v>0</v>
      </c>
      <c r="H804" s="35">
        <v>0</v>
      </c>
      <c r="I804" s="8">
        <f t="shared" si="2142"/>
        <v>0</v>
      </c>
      <c r="J804" s="8">
        <v>0</v>
      </c>
      <c r="K804" s="2">
        <v>0</v>
      </c>
      <c r="L804" s="8">
        <f t="shared" si="2143"/>
        <v>0</v>
      </c>
      <c r="M804" s="8">
        <f t="shared" si="2144"/>
        <v>0</v>
      </c>
    </row>
    <row r="805" spans="1:13" ht="15" customHeight="1" x14ac:dyDescent="0.25">
      <c r="A805" s="24">
        <v>44032</v>
      </c>
      <c r="B805" s="29" t="s">
        <v>18</v>
      </c>
      <c r="C805" s="11">
        <v>2500</v>
      </c>
      <c r="D805" s="11" t="s">
        <v>10</v>
      </c>
      <c r="E805" s="11">
        <v>500.5</v>
      </c>
      <c r="F805" s="11">
        <v>500.5</v>
      </c>
      <c r="G805" s="34">
        <v>0</v>
      </c>
      <c r="H805" s="35">
        <v>0</v>
      </c>
      <c r="I805" s="8">
        <f t="shared" si="2142"/>
        <v>0</v>
      </c>
      <c r="J805" s="8">
        <v>0</v>
      </c>
      <c r="K805" s="2">
        <v>0</v>
      </c>
      <c r="L805" s="8">
        <f t="shared" si="2143"/>
        <v>0</v>
      </c>
      <c r="M805" s="8">
        <f t="shared" si="2144"/>
        <v>0</v>
      </c>
    </row>
    <row r="806" spans="1:13" ht="15" customHeight="1" x14ac:dyDescent="0.25">
      <c r="A806" s="24">
        <v>44032</v>
      </c>
      <c r="B806" s="29" t="s">
        <v>19</v>
      </c>
      <c r="C806" s="11">
        <v>100</v>
      </c>
      <c r="D806" s="11" t="s">
        <v>10</v>
      </c>
      <c r="E806" s="11">
        <v>48980</v>
      </c>
      <c r="F806" s="11">
        <v>49030</v>
      </c>
      <c r="G806" s="34">
        <v>49100</v>
      </c>
      <c r="H806" s="35">
        <v>0</v>
      </c>
      <c r="I806" s="8">
        <f t="shared" si="2142"/>
        <v>5000</v>
      </c>
      <c r="J806" s="8">
        <f>C806*70</f>
        <v>7000</v>
      </c>
      <c r="K806" s="2">
        <v>0</v>
      </c>
      <c r="L806" s="8">
        <f t="shared" si="2143"/>
        <v>120</v>
      </c>
      <c r="M806" s="8">
        <f t="shared" si="2144"/>
        <v>12000</v>
      </c>
    </row>
    <row r="807" spans="1:13" ht="15" customHeight="1" x14ac:dyDescent="0.25">
      <c r="A807" s="24">
        <v>44032</v>
      </c>
      <c r="B807" s="29" t="s">
        <v>14</v>
      </c>
      <c r="C807" s="11">
        <v>30</v>
      </c>
      <c r="D807" s="11" t="s">
        <v>10</v>
      </c>
      <c r="E807" s="11">
        <v>52970</v>
      </c>
      <c r="F807" s="11">
        <v>53070</v>
      </c>
      <c r="G807" s="34">
        <v>53200</v>
      </c>
      <c r="H807" s="35">
        <v>0</v>
      </c>
      <c r="I807" s="8">
        <f t="shared" si="2142"/>
        <v>3000</v>
      </c>
      <c r="J807" s="8">
        <f>C807*130</f>
        <v>3900</v>
      </c>
      <c r="K807" s="2">
        <v>0</v>
      </c>
      <c r="L807" s="8">
        <f t="shared" si="2143"/>
        <v>230</v>
      </c>
      <c r="M807" s="8">
        <f t="shared" si="2144"/>
        <v>6900</v>
      </c>
    </row>
    <row r="808" spans="1:13" ht="15" customHeight="1" x14ac:dyDescent="0.25">
      <c r="A808" s="24">
        <v>44029</v>
      </c>
      <c r="B808" s="29" t="s">
        <v>17</v>
      </c>
      <c r="C808" s="11">
        <v>5000</v>
      </c>
      <c r="D808" s="11" t="s">
        <v>10</v>
      </c>
      <c r="E808" s="11">
        <v>175.4</v>
      </c>
      <c r="F808" s="11">
        <v>175.4</v>
      </c>
      <c r="G808" s="34">
        <v>0</v>
      </c>
      <c r="H808" s="35">
        <v>0</v>
      </c>
      <c r="I808" s="8">
        <f t="shared" si="2142"/>
        <v>0</v>
      </c>
      <c r="J808" s="8">
        <v>0</v>
      </c>
      <c r="K808" s="2">
        <v>0</v>
      </c>
      <c r="L808" s="8">
        <f t="shared" si="2143"/>
        <v>0</v>
      </c>
      <c r="M808" s="8">
        <f t="shared" si="2144"/>
        <v>0</v>
      </c>
    </row>
    <row r="809" spans="1:13" ht="15" customHeight="1" x14ac:dyDescent="0.25">
      <c r="A809" s="24">
        <v>44029</v>
      </c>
      <c r="B809" s="29" t="s">
        <v>18</v>
      </c>
      <c r="C809" s="11">
        <v>2500</v>
      </c>
      <c r="D809" s="11" t="s">
        <v>10</v>
      </c>
      <c r="E809" s="11">
        <v>500.5</v>
      </c>
      <c r="F809" s="11">
        <v>500.5</v>
      </c>
      <c r="G809" s="34">
        <v>0</v>
      </c>
      <c r="H809" s="35">
        <v>0</v>
      </c>
      <c r="I809" s="8">
        <f t="shared" si="2142"/>
        <v>0</v>
      </c>
      <c r="J809" s="8">
        <v>0</v>
      </c>
      <c r="K809" s="2">
        <v>0</v>
      </c>
      <c r="L809" s="8">
        <f t="shared" si="2143"/>
        <v>0</v>
      </c>
      <c r="M809" s="8">
        <f t="shared" si="2144"/>
        <v>0</v>
      </c>
    </row>
    <row r="810" spans="1:13" ht="15" customHeight="1" x14ac:dyDescent="0.25">
      <c r="A810" s="24">
        <v>44029</v>
      </c>
      <c r="B810" s="29" t="s">
        <v>19</v>
      </c>
      <c r="C810" s="11">
        <v>100</v>
      </c>
      <c r="D810" s="11" t="s">
        <v>11</v>
      </c>
      <c r="E810" s="11">
        <v>48740</v>
      </c>
      <c r="F810" s="11">
        <v>48825</v>
      </c>
      <c r="G810" s="34">
        <v>0</v>
      </c>
      <c r="H810" s="35">
        <v>0</v>
      </c>
      <c r="I810" s="8">
        <f t="shared" si="2142"/>
        <v>-8500</v>
      </c>
      <c r="J810" s="8">
        <v>0</v>
      </c>
      <c r="K810" s="2">
        <v>0</v>
      </c>
      <c r="L810" s="8">
        <f t="shared" si="2143"/>
        <v>-85</v>
      </c>
      <c r="M810" s="8">
        <f t="shared" si="2144"/>
        <v>-8500</v>
      </c>
    </row>
    <row r="811" spans="1:13" ht="15" customHeight="1" x14ac:dyDescent="0.25">
      <c r="A811" s="24">
        <v>44029</v>
      </c>
      <c r="B811" s="29" t="s">
        <v>17</v>
      </c>
      <c r="C811" s="11">
        <v>5000</v>
      </c>
      <c r="D811" s="11" t="s">
        <v>10</v>
      </c>
      <c r="E811" s="11">
        <v>175.6</v>
      </c>
      <c r="F811" s="11">
        <v>174.6</v>
      </c>
      <c r="G811" s="34">
        <v>0</v>
      </c>
      <c r="H811" s="35">
        <v>0</v>
      </c>
      <c r="I811" s="8">
        <f t="shared" si="2142"/>
        <v>-5000</v>
      </c>
      <c r="J811" s="8">
        <v>0</v>
      </c>
      <c r="K811" s="2">
        <v>0</v>
      </c>
      <c r="L811" s="8">
        <f t="shared" si="2143"/>
        <v>-1</v>
      </c>
      <c r="M811" s="8">
        <f t="shared" si="2144"/>
        <v>-5000</v>
      </c>
    </row>
    <row r="812" spans="1:13" ht="15" customHeight="1" x14ac:dyDescent="0.25">
      <c r="A812" s="24">
        <v>44028</v>
      </c>
      <c r="B812" s="29" t="s">
        <v>17</v>
      </c>
      <c r="C812" s="11">
        <v>5000</v>
      </c>
      <c r="D812" s="11" t="s">
        <v>10</v>
      </c>
      <c r="E812" s="11">
        <v>174.6</v>
      </c>
      <c r="F812" s="11">
        <v>175.4</v>
      </c>
      <c r="G812" s="34">
        <v>0</v>
      </c>
      <c r="H812" s="35">
        <v>0</v>
      </c>
      <c r="I812" s="8">
        <f t="shared" si="2142"/>
        <v>4000.0000000000568</v>
      </c>
      <c r="J812" s="8">
        <v>0</v>
      </c>
      <c r="K812" s="2">
        <v>0</v>
      </c>
      <c r="L812" s="8">
        <f t="shared" si="2143"/>
        <v>0.80000000000001137</v>
      </c>
      <c r="M812" s="8">
        <f t="shared" si="2144"/>
        <v>4000.0000000000568</v>
      </c>
    </row>
    <row r="813" spans="1:13" ht="15" customHeight="1" x14ac:dyDescent="0.25">
      <c r="A813" s="24">
        <v>44028</v>
      </c>
      <c r="B813" s="29" t="s">
        <v>18</v>
      </c>
      <c r="C813" s="11">
        <v>2500</v>
      </c>
      <c r="D813" s="11" t="s">
        <v>10</v>
      </c>
      <c r="E813" s="11">
        <v>495.5</v>
      </c>
      <c r="F813" s="11">
        <v>497</v>
      </c>
      <c r="G813" s="34">
        <v>0</v>
      </c>
      <c r="H813" s="35">
        <v>0</v>
      </c>
      <c r="I813" s="8">
        <f t="shared" si="2142"/>
        <v>3750</v>
      </c>
      <c r="J813" s="8">
        <v>0</v>
      </c>
      <c r="K813" s="2">
        <v>0</v>
      </c>
      <c r="L813" s="8">
        <f t="shared" si="2143"/>
        <v>1.5</v>
      </c>
      <c r="M813" s="8">
        <f t="shared" si="2144"/>
        <v>3750</v>
      </c>
    </row>
    <row r="814" spans="1:13" ht="15" customHeight="1" x14ac:dyDescent="0.25">
      <c r="A814" s="24">
        <v>44028</v>
      </c>
      <c r="B814" s="29" t="s">
        <v>19</v>
      </c>
      <c r="C814" s="11">
        <v>100</v>
      </c>
      <c r="D814" s="11" t="s">
        <v>11</v>
      </c>
      <c r="E814" s="11">
        <v>49010</v>
      </c>
      <c r="F814" s="11">
        <v>49010</v>
      </c>
      <c r="G814" s="34">
        <v>0</v>
      </c>
      <c r="H814" s="35">
        <v>0</v>
      </c>
      <c r="I814" s="8">
        <f t="shared" si="2142"/>
        <v>0</v>
      </c>
      <c r="J814" s="8">
        <v>0</v>
      </c>
      <c r="K814" s="2">
        <v>0</v>
      </c>
      <c r="L814" s="8">
        <f t="shared" si="2143"/>
        <v>0</v>
      </c>
      <c r="M814" s="8">
        <f t="shared" si="2144"/>
        <v>0</v>
      </c>
    </row>
    <row r="815" spans="1:13" ht="15" customHeight="1" x14ac:dyDescent="0.25">
      <c r="A815" s="24">
        <v>44028</v>
      </c>
      <c r="B815" s="29" t="s">
        <v>17</v>
      </c>
      <c r="C815" s="11">
        <v>5000</v>
      </c>
      <c r="D815" s="11" t="s">
        <v>11</v>
      </c>
      <c r="E815" s="11">
        <v>172.7</v>
      </c>
      <c r="F815" s="11">
        <v>174.2</v>
      </c>
      <c r="G815" s="34">
        <v>0</v>
      </c>
      <c r="H815" s="35">
        <v>0</v>
      </c>
      <c r="I815" s="8">
        <f t="shared" si="2142"/>
        <v>-7500</v>
      </c>
      <c r="J815" s="8">
        <v>0</v>
      </c>
      <c r="K815" s="2">
        <v>0</v>
      </c>
      <c r="L815" s="8">
        <f t="shared" si="2143"/>
        <v>-1.5</v>
      </c>
      <c r="M815" s="8">
        <f t="shared" si="2144"/>
        <v>-7500</v>
      </c>
    </row>
    <row r="816" spans="1:13" ht="15" customHeight="1" x14ac:dyDescent="0.25">
      <c r="A816" s="24">
        <v>44028</v>
      </c>
      <c r="B816" s="29" t="s">
        <v>14</v>
      </c>
      <c r="C816" s="11">
        <v>30</v>
      </c>
      <c r="D816" s="11" t="s">
        <v>11</v>
      </c>
      <c r="E816" s="11">
        <v>52830</v>
      </c>
      <c r="F816" s="11">
        <v>52730</v>
      </c>
      <c r="G816" s="34">
        <v>0</v>
      </c>
      <c r="H816" s="35">
        <v>0</v>
      </c>
      <c r="I816" s="8">
        <f t="shared" si="2142"/>
        <v>3000</v>
      </c>
      <c r="J816" s="8">
        <v>0</v>
      </c>
      <c r="K816" s="2">
        <v>0</v>
      </c>
      <c r="L816" s="8">
        <f t="shared" si="2143"/>
        <v>100</v>
      </c>
      <c r="M816" s="8">
        <f t="shared" si="2144"/>
        <v>3000</v>
      </c>
    </row>
    <row r="817" spans="1:13" ht="15" customHeight="1" x14ac:dyDescent="0.25">
      <c r="A817" s="24">
        <v>44028</v>
      </c>
      <c r="B817" s="29" t="s">
        <v>21</v>
      </c>
      <c r="C817" s="11">
        <v>1500</v>
      </c>
      <c r="D817" s="11" t="s">
        <v>11</v>
      </c>
      <c r="E817" s="11">
        <v>1006</v>
      </c>
      <c r="F817" s="11">
        <v>1006.5</v>
      </c>
      <c r="G817" s="34">
        <v>0</v>
      </c>
      <c r="H817" s="35">
        <v>0</v>
      </c>
      <c r="I817" s="8">
        <f t="shared" si="2142"/>
        <v>-750</v>
      </c>
      <c r="J817" s="8">
        <v>0</v>
      </c>
      <c r="K817" s="2">
        <v>0</v>
      </c>
      <c r="L817" s="8">
        <f t="shared" si="2143"/>
        <v>-0.5</v>
      </c>
      <c r="M817" s="8">
        <f t="shared" si="2144"/>
        <v>-750</v>
      </c>
    </row>
    <row r="818" spans="1:13" ht="15" customHeight="1" x14ac:dyDescent="0.25">
      <c r="A818" s="24">
        <v>44027</v>
      </c>
      <c r="B818" s="29" t="s">
        <v>19</v>
      </c>
      <c r="C818" s="11">
        <v>100</v>
      </c>
      <c r="D818" s="11" t="s">
        <v>11</v>
      </c>
      <c r="E818" s="11">
        <v>49050</v>
      </c>
      <c r="F818" s="11">
        <v>49000</v>
      </c>
      <c r="G818" s="34">
        <v>0</v>
      </c>
      <c r="H818" s="35">
        <v>0</v>
      </c>
      <c r="I818" s="8">
        <f t="shared" si="2142"/>
        <v>5000</v>
      </c>
      <c r="J818" s="8">
        <v>0</v>
      </c>
      <c r="K818" s="2">
        <v>0</v>
      </c>
      <c r="L818" s="8">
        <f t="shared" si="2143"/>
        <v>50</v>
      </c>
      <c r="M818" s="8">
        <f t="shared" si="2144"/>
        <v>5000</v>
      </c>
    </row>
    <row r="819" spans="1:13" ht="15" customHeight="1" x14ac:dyDescent="0.25">
      <c r="A819" s="24">
        <v>44027</v>
      </c>
      <c r="B819" s="29" t="s">
        <v>14</v>
      </c>
      <c r="C819" s="11">
        <v>30</v>
      </c>
      <c r="D819" s="11" t="s">
        <v>11</v>
      </c>
      <c r="E819" s="11">
        <v>52870</v>
      </c>
      <c r="F819" s="11">
        <v>52770</v>
      </c>
      <c r="G819" s="34">
        <v>0</v>
      </c>
      <c r="H819" s="35">
        <v>0</v>
      </c>
      <c r="I819" s="8">
        <f t="shared" si="2142"/>
        <v>3000</v>
      </c>
      <c r="J819" s="8">
        <v>0</v>
      </c>
      <c r="K819" s="2">
        <v>0</v>
      </c>
      <c r="L819" s="8">
        <f t="shared" si="2143"/>
        <v>100</v>
      </c>
      <c r="M819" s="8">
        <f t="shared" si="2144"/>
        <v>3000</v>
      </c>
    </row>
    <row r="820" spans="1:13" ht="15" customHeight="1" x14ac:dyDescent="0.25">
      <c r="A820" s="24">
        <v>44027</v>
      </c>
      <c r="B820" s="29" t="s">
        <v>21</v>
      </c>
      <c r="C820" s="11">
        <v>1500</v>
      </c>
      <c r="D820" s="11" t="s">
        <v>10</v>
      </c>
      <c r="E820" s="11">
        <v>1030</v>
      </c>
      <c r="F820" s="11">
        <v>1025</v>
      </c>
      <c r="G820" s="34">
        <v>0</v>
      </c>
      <c r="H820" s="35">
        <v>0</v>
      </c>
      <c r="I820" s="8">
        <f t="shared" si="2142"/>
        <v>-7500</v>
      </c>
      <c r="J820" s="8">
        <v>0</v>
      </c>
      <c r="K820" s="2">
        <v>0</v>
      </c>
      <c r="L820" s="8">
        <f t="shared" si="2143"/>
        <v>-5</v>
      </c>
      <c r="M820" s="8">
        <f t="shared" si="2144"/>
        <v>-7500</v>
      </c>
    </row>
    <row r="821" spans="1:13" ht="15" customHeight="1" x14ac:dyDescent="0.25">
      <c r="A821" s="24">
        <v>44026</v>
      </c>
      <c r="B821" s="29" t="s">
        <v>18</v>
      </c>
      <c r="C821" s="11">
        <v>2500</v>
      </c>
      <c r="D821" s="11" t="s">
        <v>10</v>
      </c>
      <c r="E821" s="11">
        <v>501.5</v>
      </c>
      <c r="F821" s="11">
        <v>503</v>
      </c>
      <c r="G821" s="34">
        <v>0</v>
      </c>
      <c r="H821" s="35">
        <v>0</v>
      </c>
      <c r="I821" s="8">
        <f t="shared" si="2142"/>
        <v>3750</v>
      </c>
      <c r="J821" s="8">
        <v>0</v>
      </c>
      <c r="K821" s="2">
        <v>0</v>
      </c>
      <c r="L821" s="8">
        <f t="shared" si="2143"/>
        <v>1.5</v>
      </c>
      <c r="M821" s="8">
        <f t="shared" si="2144"/>
        <v>3750</v>
      </c>
    </row>
    <row r="822" spans="1:13" ht="15" customHeight="1" x14ac:dyDescent="0.25">
      <c r="A822" s="24">
        <v>44026</v>
      </c>
      <c r="B822" s="29" t="s">
        <v>14</v>
      </c>
      <c r="C822" s="11">
        <v>30</v>
      </c>
      <c r="D822" s="11" t="s">
        <v>11</v>
      </c>
      <c r="E822" s="11">
        <v>52160</v>
      </c>
      <c r="F822" s="11">
        <v>52060</v>
      </c>
      <c r="G822" s="34">
        <v>48800</v>
      </c>
      <c r="H822" s="35">
        <v>0</v>
      </c>
      <c r="I822" s="8">
        <f t="shared" si="2142"/>
        <v>3000</v>
      </c>
      <c r="J822" s="8">
        <f>C822*90</f>
        <v>2700</v>
      </c>
      <c r="K822" s="2">
        <v>0</v>
      </c>
      <c r="L822" s="8">
        <f t="shared" si="2143"/>
        <v>190</v>
      </c>
      <c r="M822" s="8">
        <f t="shared" si="2144"/>
        <v>5700</v>
      </c>
    </row>
    <row r="823" spans="1:13" ht="15" customHeight="1" x14ac:dyDescent="0.25">
      <c r="A823" s="24">
        <v>44026</v>
      </c>
      <c r="B823" s="29" t="s">
        <v>19</v>
      </c>
      <c r="C823" s="11">
        <v>100</v>
      </c>
      <c r="D823" s="11" t="s">
        <v>11</v>
      </c>
      <c r="E823" s="11">
        <v>48940</v>
      </c>
      <c r="F823" s="11">
        <v>48890</v>
      </c>
      <c r="G823" s="34">
        <v>48800</v>
      </c>
      <c r="H823" s="35">
        <v>0</v>
      </c>
      <c r="I823" s="8">
        <f t="shared" si="2142"/>
        <v>5000</v>
      </c>
      <c r="J823" s="8">
        <f>C823*90</f>
        <v>9000</v>
      </c>
      <c r="K823" s="2">
        <v>0</v>
      </c>
      <c r="L823" s="8">
        <f t="shared" si="2143"/>
        <v>140</v>
      </c>
      <c r="M823" s="8">
        <f t="shared" si="2144"/>
        <v>14000</v>
      </c>
    </row>
    <row r="824" spans="1:13" ht="15" customHeight="1" x14ac:dyDescent="0.25">
      <c r="A824" s="24">
        <v>44026</v>
      </c>
      <c r="B824" s="29" t="s">
        <v>19</v>
      </c>
      <c r="C824" s="11">
        <v>100</v>
      </c>
      <c r="D824" s="11" t="s">
        <v>10</v>
      </c>
      <c r="E824" s="11">
        <v>49190</v>
      </c>
      <c r="F824" s="11">
        <v>49190</v>
      </c>
      <c r="G824" s="34">
        <v>0</v>
      </c>
      <c r="H824" s="35">
        <v>0</v>
      </c>
      <c r="I824" s="8">
        <f t="shared" si="2142"/>
        <v>0</v>
      </c>
      <c r="J824" s="8">
        <v>0</v>
      </c>
      <c r="K824" s="2">
        <v>0</v>
      </c>
      <c r="L824" s="8">
        <f t="shared" si="2143"/>
        <v>0</v>
      </c>
      <c r="M824" s="8">
        <f t="shared" si="2144"/>
        <v>0</v>
      </c>
    </row>
    <row r="825" spans="1:13" ht="15" customHeight="1" x14ac:dyDescent="0.25">
      <c r="A825" s="24">
        <v>44026</v>
      </c>
      <c r="B825" s="29" t="s">
        <v>17</v>
      </c>
      <c r="C825" s="11">
        <v>5000</v>
      </c>
      <c r="D825" s="11" t="s">
        <v>10</v>
      </c>
      <c r="E825" s="11">
        <v>174.3</v>
      </c>
      <c r="F825" s="11">
        <v>174.3</v>
      </c>
      <c r="G825" s="34">
        <v>0</v>
      </c>
      <c r="H825" s="35">
        <v>0</v>
      </c>
      <c r="I825" s="8">
        <f t="shared" si="2142"/>
        <v>0</v>
      </c>
      <c r="J825" s="8">
        <v>0</v>
      </c>
      <c r="K825" s="2">
        <v>0</v>
      </c>
      <c r="L825" s="8">
        <f t="shared" si="2143"/>
        <v>0</v>
      </c>
      <c r="M825" s="8">
        <f t="shared" si="2144"/>
        <v>0</v>
      </c>
    </row>
    <row r="826" spans="1:13" ht="15" customHeight="1" x14ac:dyDescent="0.25">
      <c r="A826" s="24">
        <v>44026</v>
      </c>
      <c r="B826" s="29" t="s">
        <v>21</v>
      </c>
      <c r="C826" s="11">
        <v>1500</v>
      </c>
      <c r="D826" s="11" t="s">
        <v>10</v>
      </c>
      <c r="E826" s="11">
        <v>1029.5</v>
      </c>
      <c r="F826" s="11">
        <v>1029.5</v>
      </c>
      <c r="G826" s="34">
        <v>0</v>
      </c>
      <c r="H826" s="35">
        <v>0</v>
      </c>
      <c r="I826" s="8">
        <f t="shared" si="2142"/>
        <v>0</v>
      </c>
      <c r="J826" s="8">
        <v>0</v>
      </c>
      <c r="K826" s="2">
        <v>0</v>
      </c>
      <c r="L826" s="8">
        <f t="shared" si="2143"/>
        <v>0</v>
      </c>
      <c r="M826" s="8">
        <f t="shared" si="2144"/>
        <v>0</v>
      </c>
    </row>
    <row r="827" spans="1:13" ht="15" customHeight="1" x14ac:dyDescent="0.25">
      <c r="A827" s="24">
        <v>44025</v>
      </c>
      <c r="B827" s="29" t="s">
        <v>17</v>
      </c>
      <c r="C827" s="11">
        <v>5000</v>
      </c>
      <c r="D827" s="11" t="s">
        <v>10</v>
      </c>
      <c r="E827" s="11">
        <v>173.9</v>
      </c>
      <c r="F827" s="11">
        <v>174.4</v>
      </c>
      <c r="G827" s="34">
        <v>0</v>
      </c>
      <c r="H827" s="35">
        <v>0</v>
      </c>
      <c r="I827" s="8">
        <f t="shared" si="2142"/>
        <v>2500</v>
      </c>
      <c r="J827" s="8">
        <v>0</v>
      </c>
      <c r="K827" s="2">
        <v>0</v>
      </c>
      <c r="L827" s="8">
        <f t="shared" si="2143"/>
        <v>0.5</v>
      </c>
      <c r="M827" s="8">
        <f t="shared" si="2144"/>
        <v>2500</v>
      </c>
    </row>
    <row r="828" spans="1:13" ht="15" customHeight="1" x14ac:dyDescent="0.25">
      <c r="A828" s="24">
        <v>44025</v>
      </c>
      <c r="B828" s="29" t="s">
        <v>19</v>
      </c>
      <c r="C828" s="11">
        <v>100</v>
      </c>
      <c r="D828" s="11" t="s">
        <v>10</v>
      </c>
      <c r="E828" s="11">
        <v>49160</v>
      </c>
      <c r="F828" s="11">
        <v>49080</v>
      </c>
      <c r="G828" s="34">
        <v>0</v>
      </c>
      <c r="H828" s="35">
        <v>0</v>
      </c>
      <c r="I828" s="8">
        <f t="shared" si="2142"/>
        <v>-8000</v>
      </c>
      <c r="J828" s="8">
        <v>0</v>
      </c>
      <c r="K828" s="2">
        <v>0</v>
      </c>
      <c r="L828" s="8">
        <f t="shared" si="2143"/>
        <v>-80</v>
      </c>
      <c r="M828" s="8">
        <f t="shared" si="2144"/>
        <v>-8000</v>
      </c>
    </row>
    <row r="829" spans="1:13" ht="15" customHeight="1" x14ac:dyDescent="0.25">
      <c r="A829" s="24">
        <v>44022</v>
      </c>
      <c r="B829" s="29" t="s">
        <v>21</v>
      </c>
      <c r="C829" s="11">
        <v>1500</v>
      </c>
      <c r="D829" s="11" t="s">
        <v>11</v>
      </c>
      <c r="E829" s="11">
        <v>996</v>
      </c>
      <c r="F829" s="11">
        <v>992</v>
      </c>
      <c r="G829" s="34">
        <v>0</v>
      </c>
      <c r="H829" s="35">
        <v>0</v>
      </c>
      <c r="I829" s="8">
        <f t="shared" si="2142"/>
        <v>6000</v>
      </c>
      <c r="J829" s="8">
        <v>0</v>
      </c>
      <c r="K829" s="2">
        <v>0</v>
      </c>
      <c r="L829" s="8">
        <f t="shared" si="2143"/>
        <v>4</v>
      </c>
      <c r="M829" s="8">
        <f t="shared" si="2144"/>
        <v>6000</v>
      </c>
    </row>
    <row r="830" spans="1:13" ht="15" customHeight="1" x14ac:dyDescent="0.25">
      <c r="A830" s="24">
        <v>44022</v>
      </c>
      <c r="B830" s="29" t="s">
        <v>14</v>
      </c>
      <c r="C830" s="11">
        <v>30</v>
      </c>
      <c r="D830" s="11" t="s">
        <v>10</v>
      </c>
      <c r="E830" s="11">
        <v>51600</v>
      </c>
      <c r="F830" s="11">
        <v>51600</v>
      </c>
      <c r="G830" s="34">
        <v>0</v>
      </c>
      <c r="H830" s="35">
        <v>0</v>
      </c>
      <c r="I830" s="8">
        <f t="shared" si="2142"/>
        <v>0</v>
      </c>
      <c r="J830" s="8">
        <v>0</v>
      </c>
      <c r="K830" s="2">
        <v>0</v>
      </c>
      <c r="L830" s="8">
        <f t="shared" si="2143"/>
        <v>0</v>
      </c>
      <c r="M830" s="8">
        <f t="shared" si="2144"/>
        <v>0</v>
      </c>
    </row>
    <row r="831" spans="1:13" ht="15" customHeight="1" x14ac:dyDescent="0.25">
      <c r="A831" s="24">
        <v>44022</v>
      </c>
      <c r="B831" s="29" t="s">
        <v>19</v>
      </c>
      <c r="C831" s="11">
        <v>100</v>
      </c>
      <c r="D831" s="11" t="s">
        <v>10</v>
      </c>
      <c r="E831" s="11">
        <v>49150</v>
      </c>
      <c r="F831" s="11">
        <v>49150</v>
      </c>
      <c r="G831" s="34">
        <v>0</v>
      </c>
      <c r="H831" s="35">
        <v>0</v>
      </c>
      <c r="I831" s="8">
        <f t="shared" ref="I831:I894" si="2145">(IF(D831="SELL",E831-F831,IF(D831="BUY",F831-E831)))*C831</f>
        <v>0</v>
      </c>
      <c r="J831" s="8">
        <v>0</v>
      </c>
      <c r="K831" s="2">
        <v>0</v>
      </c>
      <c r="L831" s="8">
        <f t="shared" ref="L831:L894" si="2146">(J831+I831+K831)/C831</f>
        <v>0</v>
      </c>
      <c r="M831" s="8">
        <f t="shared" ref="M831:M894" si="2147">L831*C831</f>
        <v>0</v>
      </c>
    </row>
    <row r="832" spans="1:13" ht="15" customHeight="1" x14ac:dyDescent="0.25">
      <c r="A832" s="24">
        <v>44022</v>
      </c>
      <c r="B832" s="29" t="s">
        <v>18</v>
      </c>
      <c r="C832" s="11">
        <v>2500</v>
      </c>
      <c r="D832" s="11" t="s">
        <v>11</v>
      </c>
      <c r="E832" s="11">
        <v>482</v>
      </c>
      <c r="F832" s="11">
        <v>482</v>
      </c>
      <c r="G832" s="34">
        <v>0</v>
      </c>
      <c r="H832" s="35">
        <v>0</v>
      </c>
      <c r="I832" s="8">
        <f t="shared" si="2145"/>
        <v>0</v>
      </c>
      <c r="J832" s="8">
        <v>0</v>
      </c>
      <c r="K832" s="2">
        <v>0</v>
      </c>
      <c r="L832" s="8">
        <f t="shared" si="2146"/>
        <v>0</v>
      </c>
      <c r="M832" s="8">
        <f t="shared" si="2147"/>
        <v>0</v>
      </c>
    </row>
    <row r="833" spans="1:13" ht="15" customHeight="1" x14ac:dyDescent="0.25">
      <c r="A833" s="24">
        <v>44022</v>
      </c>
      <c r="B833" s="29" t="s">
        <v>17</v>
      </c>
      <c r="C833" s="11">
        <v>1000</v>
      </c>
      <c r="D833" s="11" t="s">
        <v>10</v>
      </c>
      <c r="E833" s="11">
        <v>169</v>
      </c>
      <c r="F833" s="11">
        <v>169</v>
      </c>
      <c r="G833" s="34">
        <v>0</v>
      </c>
      <c r="H833" s="35">
        <v>0</v>
      </c>
      <c r="I833" s="8">
        <f t="shared" si="2145"/>
        <v>0</v>
      </c>
      <c r="J833" s="8">
        <v>0</v>
      </c>
      <c r="K833" s="2">
        <v>0</v>
      </c>
      <c r="L833" s="8">
        <f t="shared" si="2146"/>
        <v>0</v>
      </c>
      <c r="M833" s="8">
        <f t="shared" si="2147"/>
        <v>0</v>
      </c>
    </row>
    <row r="834" spans="1:13" ht="15" customHeight="1" x14ac:dyDescent="0.25">
      <c r="A834" s="24">
        <v>44022</v>
      </c>
      <c r="B834" s="29" t="s">
        <v>19</v>
      </c>
      <c r="C834" s="11">
        <v>100</v>
      </c>
      <c r="D834" s="11" t="s">
        <v>11</v>
      </c>
      <c r="E834" s="11">
        <v>48860</v>
      </c>
      <c r="F834" s="11">
        <v>48860</v>
      </c>
      <c r="G834" s="34">
        <v>0</v>
      </c>
      <c r="H834" s="35">
        <v>0</v>
      </c>
      <c r="I834" s="8">
        <f t="shared" si="2145"/>
        <v>0</v>
      </c>
      <c r="J834" s="8">
        <v>0</v>
      </c>
      <c r="K834" s="2">
        <v>0</v>
      </c>
      <c r="L834" s="8">
        <f t="shared" si="2146"/>
        <v>0</v>
      </c>
      <c r="M834" s="8">
        <f t="shared" si="2147"/>
        <v>0</v>
      </c>
    </row>
    <row r="835" spans="1:13" ht="15" customHeight="1" x14ac:dyDescent="0.25">
      <c r="A835" s="24">
        <v>44021</v>
      </c>
      <c r="B835" s="29" t="s">
        <v>19</v>
      </c>
      <c r="C835" s="11">
        <v>100</v>
      </c>
      <c r="D835" s="11" t="s">
        <v>10</v>
      </c>
      <c r="E835" s="11">
        <v>49250</v>
      </c>
      <c r="F835" s="11">
        <v>49300</v>
      </c>
      <c r="G835" s="34">
        <v>0</v>
      </c>
      <c r="H835" s="35">
        <v>0</v>
      </c>
      <c r="I835" s="8">
        <f t="shared" si="2145"/>
        <v>5000</v>
      </c>
      <c r="J835" s="8">
        <v>0</v>
      </c>
      <c r="K835" s="2">
        <v>0</v>
      </c>
      <c r="L835" s="8">
        <f t="shared" si="2146"/>
        <v>50</v>
      </c>
      <c r="M835" s="8">
        <f t="shared" si="2147"/>
        <v>5000</v>
      </c>
    </row>
    <row r="836" spans="1:13" ht="15" customHeight="1" x14ac:dyDescent="0.25">
      <c r="A836" s="24">
        <v>44021</v>
      </c>
      <c r="B836" s="29" t="s">
        <v>17</v>
      </c>
      <c r="C836" s="11">
        <v>5000</v>
      </c>
      <c r="D836" s="11" t="s">
        <v>10</v>
      </c>
      <c r="E836" s="11">
        <v>169.6</v>
      </c>
      <c r="F836" s="11">
        <v>169.6</v>
      </c>
      <c r="G836" s="34">
        <v>0</v>
      </c>
      <c r="H836" s="35">
        <v>0</v>
      </c>
      <c r="I836" s="8">
        <f t="shared" si="2145"/>
        <v>0</v>
      </c>
      <c r="J836" s="8">
        <v>0</v>
      </c>
      <c r="K836" s="2">
        <v>0</v>
      </c>
      <c r="L836" s="8">
        <f t="shared" si="2146"/>
        <v>0</v>
      </c>
      <c r="M836" s="8">
        <f t="shared" si="2147"/>
        <v>0</v>
      </c>
    </row>
    <row r="837" spans="1:13" ht="15" customHeight="1" x14ac:dyDescent="0.25">
      <c r="A837" s="24">
        <v>44021</v>
      </c>
      <c r="B837" s="29" t="s">
        <v>14</v>
      </c>
      <c r="C837" s="11">
        <v>30</v>
      </c>
      <c r="D837" s="11" t="s">
        <v>10</v>
      </c>
      <c r="E837" s="11">
        <v>52090</v>
      </c>
      <c r="F837" s="11">
        <v>51890</v>
      </c>
      <c r="G837" s="34">
        <v>0</v>
      </c>
      <c r="H837" s="35">
        <v>0</v>
      </c>
      <c r="I837" s="8">
        <f t="shared" si="2145"/>
        <v>-6000</v>
      </c>
      <c r="J837" s="8">
        <v>0</v>
      </c>
      <c r="K837" s="2">
        <v>0</v>
      </c>
      <c r="L837" s="8">
        <f t="shared" si="2146"/>
        <v>-200</v>
      </c>
      <c r="M837" s="8">
        <f t="shared" si="2147"/>
        <v>-6000</v>
      </c>
    </row>
    <row r="838" spans="1:13" ht="15" customHeight="1" x14ac:dyDescent="0.25">
      <c r="A838" s="24">
        <v>44021</v>
      </c>
      <c r="B838" s="29" t="s">
        <v>21</v>
      </c>
      <c r="C838" s="11">
        <v>1500</v>
      </c>
      <c r="D838" s="11" t="s">
        <v>10</v>
      </c>
      <c r="E838" s="11">
        <v>1019</v>
      </c>
      <c r="F838" s="11">
        <v>1014</v>
      </c>
      <c r="G838" s="34">
        <v>0</v>
      </c>
      <c r="H838" s="35">
        <v>0</v>
      </c>
      <c r="I838" s="8">
        <f t="shared" si="2145"/>
        <v>-7500</v>
      </c>
      <c r="J838" s="8">
        <v>0</v>
      </c>
      <c r="K838" s="2">
        <v>0</v>
      </c>
      <c r="L838" s="8">
        <f t="shared" si="2146"/>
        <v>-5</v>
      </c>
      <c r="M838" s="8">
        <f t="shared" si="2147"/>
        <v>-7500</v>
      </c>
    </row>
    <row r="839" spans="1:13" ht="15" customHeight="1" x14ac:dyDescent="0.25">
      <c r="A839" s="24">
        <v>44020</v>
      </c>
      <c r="B839" s="29" t="s">
        <v>19</v>
      </c>
      <c r="C839" s="11">
        <v>100</v>
      </c>
      <c r="D839" s="11" t="s">
        <v>10</v>
      </c>
      <c r="E839" s="11">
        <v>48940</v>
      </c>
      <c r="F839" s="11">
        <v>48990</v>
      </c>
      <c r="G839" s="34">
        <v>0</v>
      </c>
      <c r="H839" s="35">
        <v>0</v>
      </c>
      <c r="I839" s="8">
        <f t="shared" si="2145"/>
        <v>5000</v>
      </c>
      <c r="J839" s="8">
        <v>0</v>
      </c>
      <c r="K839" s="2">
        <v>0</v>
      </c>
      <c r="L839" s="8">
        <f t="shared" si="2146"/>
        <v>50</v>
      </c>
      <c r="M839" s="8">
        <f t="shared" si="2147"/>
        <v>5000</v>
      </c>
    </row>
    <row r="840" spans="1:13" ht="15" customHeight="1" x14ac:dyDescent="0.25">
      <c r="A840" s="24">
        <v>44020</v>
      </c>
      <c r="B840" s="29" t="s">
        <v>18</v>
      </c>
      <c r="C840" s="11">
        <v>2500</v>
      </c>
      <c r="D840" s="11" t="s">
        <v>10</v>
      </c>
      <c r="E840" s="11">
        <v>477</v>
      </c>
      <c r="F840" s="11">
        <v>477</v>
      </c>
      <c r="G840" s="34">
        <v>0</v>
      </c>
      <c r="H840" s="35">
        <v>0</v>
      </c>
      <c r="I840" s="8">
        <f t="shared" si="2145"/>
        <v>0</v>
      </c>
      <c r="J840" s="8">
        <v>0</v>
      </c>
      <c r="K840" s="2">
        <v>0</v>
      </c>
      <c r="L840" s="8">
        <f t="shared" si="2146"/>
        <v>0</v>
      </c>
      <c r="M840" s="8">
        <f t="shared" si="2147"/>
        <v>0</v>
      </c>
    </row>
    <row r="841" spans="1:13" ht="15" customHeight="1" x14ac:dyDescent="0.25">
      <c r="A841" s="24">
        <v>44020</v>
      </c>
      <c r="B841" s="29" t="s">
        <v>52</v>
      </c>
      <c r="C841" s="11">
        <v>1200</v>
      </c>
      <c r="D841" s="11" t="s">
        <v>11</v>
      </c>
      <c r="E841" s="11">
        <v>139</v>
      </c>
      <c r="F841" s="11">
        <v>139</v>
      </c>
      <c r="G841" s="34">
        <v>0</v>
      </c>
      <c r="H841" s="35">
        <v>0</v>
      </c>
      <c r="I841" s="8">
        <f t="shared" si="2145"/>
        <v>0</v>
      </c>
      <c r="J841" s="8">
        <v>0</v>
      </c>
      <c r="K841" s="2">
        <v>0</v>
      </c>
      <c r="L841" s="8">
        <f t="shared" si="2146"/>
        <v>0</v>
      </c>
      <c r="M841" s="8">
        <f t="shared" si="2147"/>
        <v>0</v>
      </c>
    </row>
    <row r="842" spans="1:13" ht="15" customHeight="1" x14ac:dyDescent="0.25">
      <c r="A842" s="24">
        <v>44019</v>
      </c>
      <c r="B842" s="29" t="s">
        <v>19</v>
      </c>
      <c r="C842" s="11">
        <v>100</v>
      </c>
      <c r="D842" s="11" t="s">
        <v>11</v>
      </c>
      <c r="E842" s="11">
        <v>48160</v>
      </c>
      <c r="F842" s="11">
        <v>48110</v>
      </c>
      <c r="G842" s="34">
        <v>0</v>
      </c>
      <c r="H842" s="35">
        <v>0</v>
      </c>
      <c r="I842" s="8">
        <f t="shared" si="2145"/>
        <v>5000</v>
      </c>
      <c r="J842" s="8">
        <v>0</v>
      </c>
      <c r="K842" s="2">
        <v>0</v>
      </c>
      <c r="L842" s="8">
        <f t="shared" si="2146"/>
        <v>50</v>
      </c>
      <c r="M842" s="8">
        <f t="shared" si="2147"/>
        <v>5000</v>
      </c>
    </row>
    <row r="843" spans="1:13" ht="15" customHeight="1" x14ac:dyDescent="0.25">
      <c r="A843" s="24">
        <v>44019</v>
      </c>
      <c r="B843" s="29" t="s">
        <v>19</v>
      </c>
      <c r="C843" s="11">
        <v>100</v>
      </c>
      <c r="D843" s="11" t="s">
        <v>10</v>
      </c>
      <c r="E843" s="11">
        <v>48320</v>
      </c>
      <c r="F843" s="11">
        <v>48370</v>
      </c>
      <c r="G843" s="34">
        <v>0</v>
      </c>
      <c r="H843" s="35">
        <v>0</v>
      </c>
      <c r="I843" s="8">
        <f t="shared" si="2145"/>
        <v>5000</v>
      </c>
      <c r="J843" s="8">
        <v>0</v>
      </c>
      <c r="K843" s="2">
        <v>0</v>
      </c>
      <c r="L843" s="8">
        <f t="shared" si="2146"/>
        <v>50</v>
      </c>
      <c r="M843" s="8">
        <f t="shared" si="2147"/>
        <v>5000</v>
      </c>
    </row>
    <row r="844" spans="1:13" ht="15" customHeight="1" x14ac:dyDescent="0.25">
      <c r="A844" s="24">
        <v>44019</v>
      </c>
      <c r="B844" s="29" t="s">
        <v>16</v>
      </c>
      <c r="C844" s="11">
        <v>100</v>
      </c>
      <c r="D844" s="11" t="s">
        <v>11</v>
      </c>
      <c r="E844" s="11">
        <v>2994</v>
      </c>
      <c r="F844" s="11">
        <v>2994</v>
      </c>
      <c r="G844" s="34">
        <v>0</v>
      </c>
      <c r="H844" s="35">
        <v>0</v>
      </c>
      <c r="I844" s="8">
        <f t="shared" si="2145"/>
        <v>0</v>
      </c>
      <c r="J844" s="8">
        <v>0</v>
      </c>
      <c r="K844" s="2">
        <v>0</v>
      </c>
      <c r="L844" s="8">
        <f t="shared" si="2146"/>
        <v>0</v>
      </c>
      <c r="M844" s="8">
        <f t="shared" si="2147"/>
        <v>0</v>
      </c>
    </row>
    <row r="845" spans="1:13" ht="15" customHeight="1" x14ac:dyDescent="0.25">
      <c r="A845" s="24">
        <v>44019</v>
      </c>
      <c r="B845" s="29" t="s">
        <v>21</v>
      </c>
      <c r="C845" s="11">
        <v>1500</v>
      </c>
      <c r="D845" s="11" t="s">
        <v>10</v>
      </c>
      <c r="E845" s="11">
        <v>1003</v>
      </c>
      <c r="F845" s="11">
        <v>998</v>
      </c>
      <c r="G845" s="34">
        <v>0</v>
      </c>
      <c r="H845" s="35">
        <v>0</v>
      </c>
      <c r="I845" s="8">
        <f t="shared" si="2145"/>
        <v>-7500</v>
      </c>
      <c r="J845" s="8">
        <v>0</v>
      </c>
      <c r="K845" s="2">
        <v>0</v>
      </c>
      <c r="L845" s="8">
        <f t="shared" si="2146"/>
        <v>-5</v>
      </c>
      <c r="M845" s="8">
        <f t="shared" si="2147"/>
        <v>-7500</v>
      </c>
    </row>
    <row r="846" spans="1:13" ht="15" customHeight="1" x14ac:dyDescent="0.25">
      <c r="A846" s="24">
        <v>44018</v>
      </c>
      <c r="B846" s="29" t="s">
        <v>19</v>
      </c>
      <c r="C846" s="11">
        <v>100</v>
      </c>
      <c r="D846" s="11" t="s">
        <v>11</v>
      </c>
      <c r="E846" s="11">
        <v>47970</v>
      </c>
      <c r="F846" s="11">
        <v>47970</v>
      </c>
      <c r="G846" s="34">
        <v>0</v>
      </c>
      <c r="H846" s="35">
        <v>0</v>
      </c>
      <c r="I846" s="8">
        <f t="shared" si="2145"/>
        <v>0</v>
      </c>
      <c r="J846" s="8">
        <v>0</v>
      </c>
      <c r="K846" s="2">
        <v>0</v>
      </c>
      <c r="L846" s="8">
        <f t="shared" si="2146"/>
        <v>0</v>
      </c>
      <c r="M846" s="8">
        <f t="shared" si="2147"/>
        <v>0</v>
      </c>
    </row>
    <row r="847" spans="1:13" ht="15" customHeight="1" x14ac:dyDescent="0.25">
      <c r="A847" s="24">
        <v>44018</v>
      </c>
      <c r="B847" s="29" t="s">
        <v>16</v>
      </c>
      <c r="C847" s="11">
        <v>100</v>
      </c>
      <c r="D847" s="11" t="s">
        <v>11</v>
      </c>
      <c r="E847" s="11">
        <v>3075</v>
      </c>
      <c r="F847" s="11">
        <v>3075</v>
      </c>
      <c r="G847" s="34">
        <v>0</v>
      </c>
      <c r="H847" s="35">
        <v>0</v>
      </c>
      <c r="I847" s="8">
        <f t="shared" si="2145"/>
        <v>0</v>
      </c>
      <c r="J847" s="8">
        <v>0</v>
      </c>
      <c r="K847" s="2">
        <v>0</v>
      </c>
      <c r="L847" s="8">
        <f t="shared" si="2146"/>
        <v>0</v>
      </c>
      <c r="M847" s="8">
        <f t="shared" si="2147"/>
        <v>0</v>
      </c>
    </row>
    <row r="848" spans="1:13" ht="15" customHeight="1" x14ac:dyDescent="0.25">
      <c r="A848" s="24">
        <v>44018</v>
      </c>
      <c r="B848" s="29" t="s">
        <v>19</v>
      </c>
      <c r="C848" s="11">
        <v>100</v>
      </c>
      <c r="D848" s="11" t="s">
        <v>11</v>
      </c>
      <c r="E848" s="11">
        <v>48000</v>
      </c>
      <c r="F848" s="11">
        <v>48080</v>
      </c>
      <c r="G848" s="34">
        <v>0</v>
      </c>
      <c r="H848" s="35">
        <v>0</v>
      </c>
      <c r="I848" s="8">
        <f t="shared" si="2145"/>
        <v>-8000</v>
      </c>
      <c r="J848" s="8">
        <v>0</v>
      </c>
      <c r="K848" s="2">
        <v>0</v>
      </c>
      <c r="L848" s="8">
        <f t="shared" si="2146"/>
        <v>-80</v>
      </c>
      <c r="M848" s="8">
        <f t="shared" si="2147"/>
        <v>-8000</v>
      </c>
    </row>
    <row r="849" spans="1:13" ht="15" customHeight="1" x14ac:dyDescent="0.25">
      <c r="A849" s="24">
        <v>44015</v>
      </c>
      <c r="B849" s="29" t="s">
        <v>19</v>
      </c>
      <c r="C849" s="11">
        <v>100</v>
      </c>
      <c r="D849" s="11" t="s">
        <v>11</v>
      </c>
      <c r="E849" s="11">
        <v>47990</v>
      </c>
      <c r="F849" s="11">
        <v>48070</v>
      </c>
      <c r="G849" s="34">
        <v>0</v>
      </c>
      <c r="H849" s="35">
        <v>0</v>
      </c>
      <c r="I849" s="8">
        <f t="shared" si="2145"/>
        <v>-8000</v>
      </c>
      <c r="J849" s="8">
        <v>0</v>
      </c>
      <c r="K849" s="2">
        <v>0</v>
      </c>
      <c r="L849" s="8">
        <f t="shared" si="2146"/>
        <v>-80</v>
      </c>
      <c r="M849" s="8">
        <f t="shared" si="2147"/>
        <v>-8000</v>
      </c>
    </row>
    <row r="850" spans="1:13" ht="15" customHeight="1" x14ac:dyDescent="0.25">
      <c r="A850" s="24">
        <v>44015</v>
      </c>
      <c r="B850" s="29" t="s">
        <v>19</v>
      </c>
      <c r="C850" s="11">
        <v>100</v>
      </c>
      <c r="D850" s="11" t="s">
        <v>11</v>
      </c>
      <c r="E850" s="11">
        <v>48000</v>
      </c>
      <c r="F850" s="11">
        <v>48000</v>
      </c>
      <c r="G850" s="34">
        <v>0</v>
      </c>
      <c r="H850" s="35">
        <v>0</v>
      </c>
      <c r="I850" s="8">
        <f t="shared" si="2145"/>
        <v>0</v>
      </c>
      <c r="J850" s="8">
        <v>0</v>
      </c>
      <c r="K850" s="2">
        <v>0</v>
      </c>
      <c r="L850" s="8">
        <f t="shared" si="2146"/>
        <v>0</v>
      </c>
      <c r="M850" s="8">
        <f t="shared" si="2147"/>
        <v>0</v>
      </c>
    </row>
    <row r="851" spans="1:13" ht="15" customHeight="1" x14ac:dyDescent="0.25">
      <c r="A851" s="24">
        <v>44014</v>
      </c>
      <c r="B851" s="29" t="s">
        <v>19</v>
      </c>
      <c r="C851" s="11">
        <v>100</v>
      </c>
      <c r="D851" s="11" t="s">
        <v>11</v>
      </c>
      <c r="E851" s="11">
        <v>48160</v>
      </c>
      <c r="F851" s="11">
        <v>48100</v>
      </c>
      <c r="G851" s="34">
        <v>48005</v>
      </c>
      <c r="H851" s="35">
        <v>0</v>
      </c>
      <c r="I851" s="8">
        <f t="shared" si="2145"/>
        <v>6000</v>
      </c>
      <c r="J851" s="8">
        <f>C851*100</f>
        <v>10000</v>
      </c>
      <c r="K851" s="2">
        <v>0</v>
      </c>
      <c r="L851" s="8">
        <f t="shared" si="2146"/>
        <v>160</v>
      </c>
      <c r="M851" s="8">
        <f t="shared" si="2147"/>
        <v>16000</v>
      </c>
    </row>
    <row r="852" spans="1:13" ht="15" customHeight="1" x14ac:dyDescent="0.25">
      <c r="A852" s="24">
        <v>44014</v>
      </c>
      <c r="B852" s="29" t="s">
        <v>21</v>
      </c>
      <c r="C852" s="11">
        <v>1500</v>
      </c>
      <c r="D852" s="11" t="s">
        <v>10</v>
      </c>
      <c r="E852" s="11">
        <v>982.5</v>
      </c>
      <c r="F852" s="11">
        <v>982.5</v>
      </c>
      <c r="G852" s="34">
        <v>0</v>
      </c>
      <c r="H852" s="35">
        <v>0</v>
      </c>
      <c r="I852" s="8">
        <f t="shared" si="2145"/>
        <v>0</v>
      </c>
      <c r="J852" s="8">
        <v>0</v>
      </c>
      <c r="K852" s="2">
        <v>0</v>
      </c>
      <c r="L852" s="8">
        <f t="shared" si="2146"/>
        <v>0</v>
      </c>
      <c r="M852" s="8">
        <f t="shared" si="2147"/>
        <v>0</v>
      </c>
    </row>
    <row r="853" spans="1:13" ht="15" customHeight="1" x14ac:dyDescent="0.25">
      <c r="A853" s="24">
        <v>44014</v>
      </c>
      <c r="B853" s="29" t="s">
        <v>16</v>
      </c>
      <c r="C853" s="11">
        <v>100</v>
      </c>
      <c r="D853" s="11" t="s">
        <v>10</v>
      </c>
      <c r="E853" s="11">
        <v>3032</v>
      </c>
      <c r="F853" s="11">
        <v>3004</v>
      </c>
      <c r="G853" s="34">
        <v>0</v>
      </c>
      <c r="H853" s="35">
        <v>0</v>
      </c>
      <c r="I853" s="8">
        <f t="shared" si="2145"/>
        <v>-2800</v>
      </c>
      <c r="J853" s="8">
        <v>0</v>
      </c>
      <c r="K853" s="2">
        <v>0</v>
      </c>
      <c r="L853" s="8">
        <f t="shared" si="2146"/>
        <v>-28</v>
      </c>
      <c r="M853" s="8">
        <f t="shared" si="2147"/>
        <v>-2800</v>
      </c>
    </row>
    <row r="854" spans="1:13" ht="15" customHeight="1" x14ac:dyDescent="0.25">
      <c r="A854" s="24">
        <v>44014</v>
      </c>
      <c r="B854" s="29" t="s">
        <v>19</v>
      </c>
      <c r="C854" s="11">
        <v>100</v>
      </c>
      <c r="D854" s="11" t="s">
        <v>11</v>
      </c>
      <c r="E854" s="11">
        <v>40120</v>
      </c>
      <c r="F854" s="11">
        <v>40210</v>
      </c>
      <c r="G854" s="34">
        <v>0</v>
      </c>
      <c r="H854" s="35">
        <v>0</v>
      </c>
      <c r="I854" s="8">
        <f t="shared" si="2145"/>
        <v>-9000</v>
      </c>
      <c r="J854" s="8">
        <v>0</v>
      </c>
      <c r="K854" s="2">
        <v>0</v>
      </c>
      <c r="L854" s="8">
        <f t="shared" si="2146"/>
        <v>-90</v>
      </c>
      <c r="M854" s="8">
        <f t="shared" si="2147"/>
        <v>-9000</v>
      </c>
    </row>
    <row r="855" spans="1:13" ht="15" customHeight="1" x14ac:dyDescent="0.25">
      <c r="A855" s="24">
        <v>44013</v>
      </c>
      <c r="B855" s="29" t="s">
        <v>16</v>
      </c>
      <c r="C855" s="11">
        <v>100</v>
      </c>
      <c r="D855" s="11" t="s">
        <v>10</v>
      </c>
      <c r="E855" s="11">
        <v>3030</v>
      </c>
      <c r="F855" s="11">
        <v>3055</v>
      </c>
      <c r="G855" s="34">
        <v>0</v>
      </c>
      <c r="H855" s="35">
        <v>0</v>
      </c>
      <c r="I855" s="8">
        <f t="shared" si="2145"/>
        <v>2500</v>
      </c>
      <c r="J855" s="8">
        <v>0</v>
      </c>
      <c r="K855" s="2">
        <v>0</v>
      </c>
      <c r="L855" s="8">
        <f t="shared" si="2146"/>
        <v>25</v>
      </c>
      <c r="M855" s="8">
        <f t="shared" si="2147"/>
        <v>2500</v>
      </c>
    </row>
    <row r="856" spans="1:13" ht="15" customHeight="1" x14ac:dyDescent="0.25">
      <c r="A856" s="24">
        <v>44013</v>
      </c>
      <c r="B856" s="29" t="s">
        <v>19</v>
      </c>
      <c r="C856" s="11">
        <v>100</v>
      </c>
      <c r="D856" s="11" t="s">
        <v>10</v>
      </c>
      <c r="E856" s="11">
        <v>48850</v>
      </c>
      <c r="F856" s="11">
        <v>48910</v>
      </c>
      <c r="G856" s="34">
        <v>0</v>
      </c>
      <c r="H856" s="35">
        <v>0</v>
      </c>
      <c r="I856" s="8">
        <f t="shared" si="2145"/>
        <v>6000</v>
      </c>
      <c r="J856" s="8">
        <v>0</v>
      </c>
      <c r="K856" s="2">
        <v>0</v>
      </c>
      <c r="L856" s="8">
        <f t="shared" si="2146"/>
        <v>60</v>
      </c>
      <c r="M856" s="8">
        <f t="shared" si="2147"/>
        <v>6000</v>
      </c>
    </row>
    <row r="857" spans="1:13" ht="15" customHeight="1" x14ac:dyDescent="0.25">
      <c r="A857" s="24">
        <v>44012</v>
      </c>
      <c r="B857" s="29" t="s">
        <v>19</v>
      </c>
      <c r="C857" s="11">
        <v>100</v>
      </c>
      <c r="D857" s="11" t="s">
        <v>10</v>
      </c>
      <c r="E857" s="11">
        <v>48390</v>
      </c>
      <c r="F857" s="11">
        <v>48390</v>
      </c>
      <c r="G857" s="34">
        <v>0</v>
      </c>
      <c r="H857" s="35">
        <v>0</v>
      </c>
      <c r="I857" s="8">
        <f t="shared" si="2145"/>
        <v>0</v>
      </c>
      <c r="J857" s="8">
        <v>0</v>
      </c>
      <c r="K857" s="2">
        <v>0</v>
      </c>
      <c r="L857" s="8">
        <f t="shared" si="2146"/>
        <v>0</v>
      </c>
      <c r="M857" s="8">
        <f t="shared" si="2147"/>
        <v>0</v>
      </c>
    </row>
    <row r="858" spans="1:13" ht="15" customHeight="1" x14ac:dyDescent="0.25">
      <c r="A858" s="24">
        <v>44012</v>
      </c>
      <c r="B858" s="29" t="s">
        <v>52</v>
      </c>
      <c r="C858" s="11">
        <v>1200</v>
      </c>
      <c r="D858" s="11" t="s">
        <v>10</v>
      </c>
      <c r="E858" s="11">
        <v>130.6</v>
      </c>
      <c r="F858" s="11">
        <v>130.6</v>
      </c>
      <c r="G858" s="34">
        <v>0</v>
      </c>
      <c r="H858" s="35">
        <v>0</v>
      </c>
      <c r="I858" s="8">
        <f t="shared" si="2145"/>
        <v>0</v>
      </c>
      <c r="J858" s="8">
        <v>0</v>
      </c>
      <c r="K858" s="2">
        <v>0</v>
      </c>
      <c r="L858" s="8">
        <f t="shared" si="2146"/>
        <v>0</v>
      </c>
      <c r="M858" s="8">
        <f t="shared" si="2147"/>
        <v>0</v>
      </c>
    </row>
    <row r="859" spans="1:13" ht="15" customHeight="1" x14ac:dyDescent="0.25">
      <c r="A859" s="24">
        <v>44011</v>
      </c>
      <c r="B859" s="29" t="s">
        <v>16</v>
      </c>
      <c r="C859" s="11">
        <v>100</v>
      </c>
      <c r="D859" s="11" t="s">
        <v>10</v>
      </c>
      <c r="E859" s="11">
        <v>2897</v>
      </c>
      <c r="F859" s="11">
        <v>2919</v>
      </c>
      <c r="G859" s="34">
        <v>2949</v>
      </c>
      <c r="H859" s="35">
        <v>0</v>
      </c>
      <c r="I859" s="8">
        <f t="shared" si="2145"/>
        <v>2200</v>
      </c>
      <c r="J859" s="8">
        <f>C859*30</f>
        <v>3000</v>
      </c>
      <c r="K859" s="2">
        <v>0</v>
      </c>
      <c r="L859" s="8">
        <f t="shared" si="2146"/>
        <v>52</v>
      </c>
      <c r="M859" s="8">
        <f t="shared" si="2147"/>
        <v>5200</v>
      </c>
    </row>
    <row r="860" spans="1:13" ht="15" customHeight="1" x14ac:dyDescent="0.25">
      <c r="A860" s="24">
        <v>44008</v>
      </c>
      <c r="B860" s="29" t="s">
        <v>16</v>
      </c>
      <c r="C860" s="11">
        <v>100</v>
      </c>
      <c r="D860" s="11" t="s">
        <v>11</v>
      </c>
      <c r="E860" s="11">
        <v>2940</v>
      </c>
      <c r="F860" s="11">
        <v>2970</v>
      </c>
      <c r="G860" s="34">
        <v>0</v>
      </c>
      <c r="H860" s="35">
        <v>0</v>
      </c>
      <c r="I860" s="8">
        <f t="shared" si="2145"/>
        <v>-3000</v>
      </c>
      <c r="J860" s="8">
        <v>0</v>
      </c>
      <c r="K860" s="2">
        <v>0</v>
      </c>
      <c r="L860" s="8">
        <f t="shared" si="2146"/>
        <v>-30</v>
      </c>
      <c r="M860" s="8">
        <f t="shared" si="2147"/>
        <v>-3000</v>
      </c>
    </row>
    <row r="861" spans="1:13" ht="15" customHeight="1" x14ac:dyDescent="0.25">
      <c r="A861" s="24">
        <v>44008</v>
      </c>
      <c r="B861" s="29" t="s">
        <v>71</v>
      </c>
      <c r="C861" s="11">
        <v>1000</v>
      </c>
      <c r="D861" s="11" t="s">
        <v>10</v>
      </c>
      <c r="E861" s="11">
        <v>165.7</v>
      </c>
      <c r="F861" s="11">
        <v>165.7</v>
      </c>
      <c r="G861" s="34">
        <v>0</v>
      </c>
      <c r="H861" s="35">
        <v>0</v>
      </c>
      <c r="I861" s="8">
        <f t="shared" si="2145"/>
        <v>0</v>
      </c>
      <c r="J861" s="8">
        <v>0</v>
      </c>
      <c r="K861" s="2">
        <v>0</v>
      </c>
      <c r="L861" s="8">
        <f t="shared" si="2146"/>
        <v>0</v>
      </c>
      <c r="M861" s="8">
        <f t="shared" si="2147"/>
        <v>0</v>
      </c>
    </row>
    <row r="862" spans="1:13" ht="15" customHeight="1" x14ac:dyDescent="0.25">
      <c r="A862" s="24">
        <v>44007</v>
      </c>
      <c r="B862" s="29" t="s">
        <v>16</v>
      </c>
      <c r="C862" s="11">
        <v>100</v>
      </c>
      <c r="D862" s="11" t="s">
        <v>10</v>
      </c>
      <c r="E862" s="11">
        <v>2875</v>
      </c>
      <c r="F862" s="11">
        <v>2875</v>
      </c>
      <c r="G862" s="34">
        <v>0</v>
      </c>
      <c r="H862" s="35">
        <v>0</v>
      </c>
      <c r="I862" s="8">
        <f t="shared" si="2145"/>
        <v>0</v>
      </c>
      <c r="J862" s="8">
        <v>0</v>
      </c>
      <c r="K862" s="2">
        <v>0</v>
      </c>
      <c r="L862" s="8">
        <f t="shared" si="2146"/>
        <v>0</v>
      </c>
      <c r="M862" s="8">
        <f t="shared" si="2147"/>
        <v>0</v>
      </c>
    </row>
    <row r="863" spans="1:13" ht="15" customHeight="1" x14ac:dyDescent="0.25">
      <c r="A863" s="24">
        <v>44006</v>
      </c>
      <c r="B863" s="29" t="s">
        <v>16</v>
      </c>
      <c r="C863" s="11">
        <v>100</v>
      </c>
      <c r="D863" s="11" t="s">
        <v>11</v>
      </c>
      <c r="E863" s="11">
        <v>3005</v>
      </c>
      <c r="F863" s="11">
        <v>3005</v>
      </c>
      <c r="G863" s="34">
        <v>0</v>
      </c>
      <c r="H863" s="35">
        <v>0</v>
      </c>
      <c r="I863" s="8">
        <f t="shared" si="2145"/>
        <v>0</v>
      </c>
      <c r="J863" s="8">
        <v>0</v>
      </c>
      <c r="K863" s="2">
        <v>0</v>
      </c>
      <c r="L863" s="8">
        <f t="shared" si="2146"/>
        <v>0</v>
      </c>
      <c r="M863" s="8">
        <f t="shared" si="2147"/>
        <v>0</v>
      </c>
    </row>
    <row r="864" spans="1:13" ht="15" customHeight="1" x14ac:dyDescent="0.25">
      <c r="A864" s="24">
        <v>44006</v>
      </c>
      <c r="B864" s="29" t="s">
        <v>71</v>
      </c>
      <c r="C864" s="11">
        <v>1000</v>
      </c>
      <c r="D864" s="11" t="s">
        <v>11</v>
      </c>
      <c r="E864" s="11">
        <v>161.5</v>
      </c>
      <c r="F864" s="11">
        <v>161.5</v>
      </c>
      <c r="G864" s="34">
        <v>0</v>
      </c>
      <c r="H864" s="35">
        <v>0</v>
      </c>
      <c r="I864" s="8">
        <f t="shared" si="2145"/>
        <v>0</v>
      </c>
      <c r="J864" s="8">
        <v>0</v>
      </c>
      <c r="K864" s="2">
        <v>0</v>
      </c>
      <c r="L864" s="8">
        <f t="shared" si="2146"/>
        <v>0</v>
      </c>
      <c r="M864" s="8">
        <f t="shared" si="2147"/>
        <v>0</v>
      </c>
    </row>
    <row r="865" spans="1:13" ht="15" customHeight="1" x14ac:dyDescent="0.25">
      <c r="A865" s="24">
        <v>44005</v>
      </c>
      <c r="B865" s="29" t="s">
        <v>16</v>
      </c>
      <c r="C865" s="11">
        <v>100</v>
      </c>
      <c r="D865" s="11" t="s">
        <v>10</v>
      </c>
      <c r="E865" s="11">
        <v>3118</v>
      </c>
      <c r="F865" s="11">
        <v>3138</v>
      </c>
      <c r="G865" s="34">
        <v>0</v>
      </c>
      <c r="H865" s="35">
        <v>0</v>
      </c>
      <c r="I865" s="8">
        <f t="shared" si="2145"/>
        <v>2000</v>
      </c>
      <c r="J865" s="8">
        <v>0</v>
      </c>
      <c r="K865" s="2">
        <v>0</v>
      </c>
      <c r="L865" s="8">
        <f t="shared" si="2146"/>
        <v>20</v>
      </c>
      <c r="M865" s="8">
        <f t="shared" si="2147"/>
        <v>2000</v>
      </c>
    </row>
    <row r="866" spans="1:13" ht="15" customHeight="1" x14ac:dyDescent="0.25">
      <c r="A866" s="24">
        <v>44005</v>
      </c>
      <c r="B866" s="29" t="s">
        <v>19</v>
      </c>
      <c r="C866" s="11">
        <v>100</v>
      </c>
      <c r="D866" s="11" t="s">
        <v>10</v>
      </c>
      <c r="E866" s="11">
        <v>47840</v>
      </c>
      <c r="F866" s="11">
        <v>47900</v>
      </c>
      <c r="G866" s="34">
        <v>48000</v>
      </c>
      <c r="H866" s="35">
        <v>0</v>
      </c>
      <c r="I866" s="8">
        <f t="shared" si="2145"/>
        <v>6000</v>
      </c>
      <c r="J866" s="8">
        <f>C866*100</f>
        <v>10000</v>
      </c>
      <c r="K866" s="2">
        <v>0</v>
      </c>
      <c r="L866" s="8">
        <f t="shared" si="2146"/>
        <v>160</v>
      </c>
      <c r="M866" s="8">
        <f t="shared" si="2147"/>
        <v>16000</v>
      </c>
    </row>
    <row r="867" spans="1:13" ht="15" customHeight="1" x14ac:dyDescent="0.25">
      <c r="A867" s="24">
        <v>44000</v>
      </c>
      <c r="B867" s="29" t="s">
        <v>16</v>
      </c>
      <c r="C867" s="11">
        <v>100</v>
      </c>
      <c r="D867" s="11" t="s">
        <v>10</v>
      </c>
      <c r="E867" s="11">
        <v>2903</v>
      </c>
      <c r="F867" s="11">
        <v>2924</v>
      </c>
      <c r="G867" s="34">
        <v>0</v>
      </c>
      <c r="H867" s="35">
        <v>0</v>
      </c>
      <c r="I867" s="8">
        <f t="shared" si="2145"/>
        <v>2100</v>
      </c>
      <c r="J867" s="8">
        <v>0</v>
      </c>
      <c r="K867" s="2">
        <v>0</v>
      </c>
      <c r="L867" s="8">
        <f t="shared" si="2146"/>
        <v>21</v>
      </c>
      <c r="M867" s="8">
        <f t="shared" si="2147"/>
        <v>2100</v>
      </c>
    </row>
    <row r="868" spans="1:13" ht="15" customHeight="1" x14ac:dyDescent="0.25">
      <c r="A868" s="24">
        <v>43999</v>
      </c>
      <c r="B868" s="29" t="s">
        <v>16</v>
      </c>
      <c r="C868" s="11">
        <v>100</v>
      </c>
      <c r="D868" s="11" t="s">
        <v>10</v>
      </c>
      <c r="E868" s="11">
        <v>2918</v>
      </c>
      <c r="F868" s="11">
        <v>2940</v>
      </c>
      <c r="G868" s="34">
        <v>0</v>
      </c>
      <c r="H868" s="35">
        <v>0</v>
      </c>
      <c r="I868" s="8">
        <f t="shared" si="2145"/>
        <v>2200</v>
      </c>
      <c r="J868" s="8">
        <v>0</v>
      </c>
      <c r="K868" s="2">
        <v>0</v>
      </c>
      <c r="L868" s="8">
        <f t="shared" si="2146"/>
        <v>22</v>
      </c>
      <c r="M868" s="8">
        <f t="shared" si="2147"/>
        <v>2200</v>
      </c>
    </row>
    <row r="869" spans="1:13" ht="15" customHeight="1" x14ac:dyDescent="0.25">
      <c r="A869" s="24">
        <v>43998</v>
      </c>
      <c r="B869" s="29" t="s">
        <v>16</v>
      </c>
      <c r="C869" s="11">
        <v>100</v>
      </c>
      <c r="D869" s="11" t="s">
        <v>10</v>
      </c>
      <c r="E869" s="11">
        <v>2859</v>
      </c>
      <c r="F869" s="11">
        <v>2879</v>
      </c>
      <c r="G869" s="34">
        <v>0</v>
      </c>
      <c r="H869" s="35">
        <v>0</v>
      </c>
      <c r="I869" s="8">
        <f t="shared" si="2145"/>
        <v>2000</v>
      </c>
      <c r="J869" s="8">
        <v>0</v>
      </c>
      <c r="K869" s="2">
        <v>0</v>
      </c>
      <c r="L869" s="8">
        <f t="shared" si="2146"/>
        <v>20</v>
      </c>
      <c r="M869" s="8">
        <f t="shared" si="2147"/>
        <v>2000</v>
      </c>
    </row>
    <row r="870" spans="1:13" ht="15" customHeight="1" x14ac:dyDescent="0.25">
      <c r="A870" s="24">
        <v>43997</v>
      </c>
      <c r="B870" s="29" t="s">
        <v>16</v>
      </c>
      <c r="C870" s="11">
        <v>100</v>
      </c>
      <c r="D870" s="11" t="s">
        <v>11</v>
      </c>
      <c r="E870" s="11">
        <v>2630</v>
      </c>
      <c r="F870" s="11">
        <v>2660</v>
      </c>
      <c r="G870" s="34">
        <v>0</v>
      </c>
      <c r="H870" s="35">
        <v>0</v>
      </c>
      <c r="I870" s="8">
        <f t="shared" si="2145"/>
        <v>-3000</v>
      </c>
      <c r="J870" s="8">
        <v>0</v>
      </c>
      <c r="K870" s="2">
        <v>0</v>
      </c>
      <c r="L870" s="8">
        <f t="shared" si="2146"/>
        <v>-30</v>
      </c>
      <c r="M870" s="8">
        <f t="shared" si="2147"/>
        <v>-3000</v>
      </c>
    </row>
    <row r="871" spans="1:13" ht="15" customHeight="1" x14ac:dyDescent="0.25">
      <c r="A871" s="24">
        <v>43994</v>
      </c>
      <c r="B871" s="29" t="s">
        <v>16</v>
      </c>
      <c r="C871" s="11">
        <v>100</v>
      </c>
      <c r="D871" s="11" t="s">
        <v>11</v>
      </c>
      <c r="E871" s="11">
        <v>2663</v>
      </c>
      <c r="F871" s="11">
        <v>2702</v>
      </c>
      <c r="G871" s="34">
        <v>0</v>
      </c>
      <c r="H871" s="35">
        <v>0</v>
      </c>
      <c r="I871" s="8">
        <f t="shared" si="2145"/>
        <v>-3900</v>
      </c>
      <c r="J871" s="8">
        <v>0</v>
      </c>
      <c r="K871" s="2">
        <v>0</v>
      </c>
      <c r="L871" s="8">
        <f t="shared" si="2146"/>
        <v>-39</v>
      </c>
      <c r="M871" s="8">
        <f t="shared" si="2147"/>
        <v>-3900</v>
      </c>
    </row>
    <row r="872" spans="1:13" ht="15" customHeight="1" x14ac:dyDescent="0.25">
      <c r="A872" s="24">
        <v>43993</v>
      </c>
      <c r="B872" s="29" t="s">
        <v>16</v>
      </c>
      <c r="C872" s="11">
        <v>100</v>
      </c>
      <c r="D872" s="11" t="s">
        <v>11</v>
      </c>
      <c r="E872" s="11">
        <v>2855</v>
      </c>
      <c r="F872" s="11">
        <v>2835</v>
      </c>
      <c r="G872" s="34">
        <v>2805</v>
      </c>
      <c r="H872" s="35">
        <v>2765</v>
      </c>
      <c r="I872" s="8">
        <f t="shared" si="2145"/>
        <v>2000</v>
      </c>
      <c r="J872" s="8">
        <f>C872*30</f>
        <v>3000</v>
      </c>
      <c r="K872" s="2">
        <f>C872*35</f>
        <v>3500</v>
      </c>
      <c r="L872" s="8">
        <f t="shared" si="2146"/>
        <v>85</v>
      </c>
      <c r="M872" s="8">
        <f t="shared" si="2147"/>
        <v>8500</v>
      </c>
    </row>
    <row r="873" spans="1:13" ht="15" customHeight="1" x14ac:dyDescent="0.25">
      <c r="A873" s="24">
        <v>43991</v>
      </c>
      <c r="B873" s="29" t="s">
        <v>16</v>
      </c>
      <c r="C873" s="11">
        <v>100</v>
      </c>
      <c r="D873" s="11" t="s">
        <v>11</v>
      </c>
      <c r="E873" s="11">
        <v>2842</v>
      </c>
      <c r="F873" s="11">
        <v>2822</v>
      </c>
      <c r="G873" s="34">
        <v>0</v>
      </c>
      <c r="H873" s="35">
        <v>0</v>
      </c>
      <c r="I873" s="8">
        <f t="shared" si="2145"/>
        <v>2000</v>
      </c>
      <c r="J873" s="8">
        <v>0</v>
      </c>
      <c r="K873" s="2">
        <v>0</v>
      </c>
      <c r="L873" s="8">
        <f t="shared" si="2146"/>
        <v>20</v>
      </c>
      <c r="M873" s="8">
        <f t="shared" si="2147"/>
        <v>2000</v>
      </c>
    </row>
    <row r="874" spans="1:13" ht="15" customHeight="1" x14ac:dyDescent="0.25">
      <c r="A874" s="48">
        <v>43956</v>
      </c>
      <c r="B874" s="49" t="s">
        <v>16</v>
      </c>
      <c r="C874" s="50">
        <v>100</v>
      </c>
      <c r="D874" s="50" t="s">
        <v>10</v>
      </c>
      <c r="E874" s="50">
        <v>1649</v>
      </c>
      <c r="F874" s="50">
        <v>1669</v>
      </c>
      <c r="G874" s="51">
        <v>1699</v>
      </c>
      <c r="H874" s="52">
        <v>1740</v>
      </c>
      <c r="I874" s="53">
        <f t="shared" si="2145"/>
        <v>2000</v>
      </c>
      <c r="J874" s="53">
        <f>C874*30</f>
        <v>3000</v>
      </c>
      <c r="K874" s="54">
        <f>C874*41</f>
        <v>4100</v>
      </c>
      <c r="L874" s="53">
        <f t="shared" si="2146"/>
        <v>91</v>
      </c>
      <c r="M874" s="53">
        <f t="shared" si="2147"/>
        <v>9100</v>
      </c>
    </row>
    <row r="875" spans="1:13" ht="15" customHeight="1" x14ac:dyDescent="0.25">
      <c r="A875" s="24">
        <v>43956</v>
      </c>
      <c r="B875" s="29" t="s">
        <v>14</v>
      </c>
      <c r="C875" s="11">
        <v>30</v>
      </c>
      <c r="D875" s="11" t="s">
        <v>10</v>
      </c>
      <c r="E875" s="11">
        <v>41320</v>
      </c>
      <c r="F875" s="11">
        <v>41150</v>
      </c>
      <c r="G875" s="34">
        <v>0</v>
      </c>
      <c r="H875" s="35">
        <v>0</v>
      </c>
      <c r="I875" s="8">
        <f t="shared" si="2145"/>
        <v>-5100</v>
      </c>
      <c r="J875" s="8">
        <v>0</v>
      </c>
      <c r="K875" s="2">
        <v>0</v>
      </c>
      <c r="L875" s="8">
        <f t="shared" si="2146"/>
        <v>-170</v>
      </c>
      <c r="M875" s="8">
        <f t="shared" si="2147"/>
        <v>-5100</v>
      </c>
    </row>
    <row r="876" spans="1:13" ht="15" customHeight="1" x14ac:dyDescent="0.25">
      <c r="A876" s="24">
        <v>43955</v>
      </c>
      <c r="B876" s="29" t="s">
        <v>16</v>
      </c>
      <c r="C876" s="11">
        <v>100</v>
      </c>
      <c r="D876" s="11" t="s">
        <v>11</v>
      </c>
      <c r="E876" s="11">
        <v>1434</v>
      </c>
      <c r="F876" s="11">
        <v>1413</v>
      </c>
      <c r="G876" s="34">
        <v>0</v>
      </c>
      <c r="H876" s="35">
        <v>0</v>
      </c>
      <c r="I876" s="8">
        <f t="shared" si="2145"/>
        <v>2100</v>
      </c>
      <c r="J876" s="8">
        <v>0</v>
      </c>
      <c r="K876" s="2">
        <v>0</v>
      </c>
      <c r="L876" s="8">
        <f t="shared" si="2146"/>
        <v>21</v>
      </c>
      <c r="M876" s="8">
        <f t="shared" si="2147"/>
        <v>2100</v>
      </c>
    </row>
    <row r="877" spans="1:13" ht="15" customHeight="1" x14ac:dyDescent="0.25">
      <c r="A877" s="24">
        <v>43955</v>
      </c>
      <c r="B877" s="29" t="s">
        <v>52</v>
      </c>
      <c r="C877" s="11">
        <v>1250</v>
      </c>
      <c r="D877" s="11" t="s">
        <v>10</v>
      </c>
      <c r="E877" s="11">
        <v>148.4</v>
      </c>
      <c r="F877" s="11">
        <v>150</v>
      </c>
      <c r="G877" s="34">
        <v>0</v>
      </c>
      <c r="H877" s="35">
        <v>0</v>
      </c>
      <c r="I877" s="8">
        <f t="shared" si="2145"/>
        <v>1999.999999999993</v>
      </c>
      <c r="J877" s="8">
        <v>0</v>
      </c>
      <c r="K877" s="2">
        <v>0</v>
      </c>
      <c r="L877" s="8">
        <f t="shared" si="2146"/>
        <v>1.5999999999999943</v>
      </c>
      <c r="M877" s="8">
        <f t="shared" si="2147"/>
        <v>1999.999999999993</v>
      </c>
    </row>
    <row r="878" spans="1:13" ht="15" customHeight="1" x14ac:dyDescent="0.25">
      <c r="A878" s="24">
        <v>43955</v>
      </c>
      <c r="B878" s="29" t="s">
        <v>19</v>
      </c>
      <c r="C878" s="11">
        <v>100</v>
      </c>
      <c r="D878" s="11" t="s">
        <v>10</v>
      </c>
      <c r="E878" s="11">
        <v>45835</v>
      </c>
      <c r="F878" s="11">
        <v>45745</v>
      </c>
      <c r="G878" s="34">
        <v>0</v>
      </c>
      <c r="H878" s="35">
        <v>0</v>
      </c>
      <c r="I878" s="8">
        <f t="shared" si="2145"/>
        <v>-9000</v>
      </c>
      <c r="J878" s="8">
        <v>0</v>
      </c>
      <c r="K878" s="2">
        <v>0</v>
      </c>
      <c r="L878" s="8">
        <f t="shared" si="2146"/>
        <v>-90</v>
      </c>
      <c r="M878" s="8">
        <f t="shared" si="2147"/>
        <v>-9000</v>
      </c>
    </row>
    <row r="879" spans="1:13" ht="15" customHeight="1" x14ac:dyDescent="0.25">
      <c r="A879" s="24">
        <v>43952</v>
      </c>
      <c r="B879" s="29" t="s">
        <v>16</v>
      </c>
      <c r="C879" s="11">
        <v>100</v>
      </c>
      <c r="D879" s="11" t="s">
        <v>10</v>
      </c>
      <c r="E879" s="11">
        <v>1394</v>
      </c>
      <c r="F879" s="11">
        <v>1414</v>
      </c>
      <c r="G879" s="34">
        <v>1444</v>
      </c>
      <c r="H879" s="35">
        <v>1484</v>
      </c>
      <c r="I879" s="8">
        <f t="shared" si="2145"/>
        <v>2000</v>
      </c>
      <c r="J879" s="8">
        <f>C879*30</f>
        <v>3000</v>
      </c>
      <c r="K879" s="2">
        <f>C879*40</f>
        <v>4000</v>
      </c>
      <c r="L879" s="8">
        <f t="shared" si="2146"/>
        <v>90</v>
      </c>
      <c r="M879" s="8">
        <f t="shared" si="2147"/>
        <v>9000</v>
      </c>
    </row>
    <row r="880" spans="1:13" ht="15" customHeight="1" x14ac:dyDescent="0.25">
      <c r="A880" s="24">
        <v>43951</v>
      </c>
      <c r="B880" s="29" t="s">
        <v>14</v>
      </c>
      <c r="C880" s="11">
        <v>30</v>
      </c>
      <c r="D880" s="11" t="s">
        <v>10</v>
      </c>
      <c r="E880" s="11">
        <v>42129</v>
      </c>
      <c r="F880" s="11">
        <v>42220</v>
      </c>
      <c r="G880" s="34">
        <v>42450</v>
      </c>
      <c r="H880" s="35">
        <v>42700</v>
      </c>
      <c r="I880" s="8">
        <f t="shared" si="2145"/>
        <v>2730</v>
      </c>
      <c r="J880" s="8">
        <f>C880*230</f>
        <v>6900</v>
      </c>
      <c r="K880" s="2">
        <f>C880*250</f>
        <v>7500</v>
      </c>
      <c r="L880" s="8">
        <f t="shared" si="2146"/>
        <v>571</v>
      </c>
      <c r="M880" s="8">
        <f t="shared" si="2147"/>
        <v>17130</v>
      </c>
    </row>
    <row r="881" spans="1:13" ht="15" customHeight="1" x14ac:dyDescent="0.25">
      <c r="A881" s="24">
        <v>43951</v>
      </c>
      <c r="B881" s="29" t="s">
        <v>16</v>
      </c>
      <c r="C881" s="11">
        <v>100</v>
      </c>
      <c r="D881" s="11" t="s">
        <v>10</v>
      </c>
      <c r="E881" s="11">
        <v>1254</v>
      </c>
      <c r="F881" s="11">
        <v>1274</v>
      </c>
      <c r="G881" s="34">
        <v>1304</v>
      </c>
      <c r="H881" s="35">
        <v>1344</v>
      </c>
      <c r="I881" s="8">
        <f t="shared" si="2145"/>
        <v>2000</v>
      </c>
      <c r="J881" s="8">
        <f>C881*30</f>
        <v>3000</v>
      </c>
      <c r="K881" s="2">
        <f>C881*40</f>
        <v>4000</v>
      </c>
      <c r="L881" s="8">
        <f t="shared" si="2146"/>
        <v>90</v>
      </c>
      <c r="M881" s="8">
        <f t="shared" si="2147"/>
        <v>9000</v>
      </c>
    </row>
    <row r="882" spans="1:13" ht="15" customHeight="1" x14ac:dyDescent="0.25">
      <c r="A882" s="24">
        <v>43950</v>
      </c>
      <c r="B882" s="29" t="s">
        <v>16</v>
      </c>
      <c r="C882" s="11">
        <v>100</v>
      </c>
      <c r="D882" s="11" t="s">
        <v>10</v>
      </c>
      <c r="E882" s="11">
        <v>1066</v>
      </c>
      <c r="F882" s="11">
        <v>1086</v>
      </c>
      <c r="G882" s="34">
        <v>1116</v>
      </c>
      <c r="H882" s="35">
        <v>1156</v>
      </c>
      <c r="I882" s="8">
        <f t="shared" si="2145"/>
        <v>2000</v>
      </c>
      <c r="J882" s="8">
        <f>C882*30</f>
        <v>3000</v>
      </c>
      <c r="K882" s="2">
        <f>C882*40</f>
        <v>4000</v>
      </c>
      <c r="L882" s="8">
        <f t="shared" si="2146"/>
        <v>90</v>
      </c>
      <c r="M882" s="8">
        <f t="shared" si="2147"/>
        <v>9000</v>
      </c>
    </row>
    <row r="883" spans="1:13" ht="15" customHeight="1" x14ac:dyDescent="0.25">
      <c r="A883" s="24">
        <v>43950</v>
      </c>
      <c r="B883" s="29" t="s">
        <v>14</v>
      </c>
      <c r="C883" s="11">
        <v>30</v>
      </c>
      <c r="D883" s="11" t="s">
        <v>10</v>
      </c>
      <c r="E883" s="11">
        <v>41960</v>
      </c>
      <c r="F883" s="11">
        <v>42050</v>
      </c>
      <c r="G883" s="34">
        <v>42200</v>
      </c>
      <c r="H883" s="35">
        <v>0</v>
      </c>
      <c r="I883" s="8">
        <f t="shared" si="2145"/>
        <v>2700</v>
      </c>
      <c r="J883" s="8">
        <f>C883*150</f>
        <v>4500</v>
      </c>
      <c r="K883" s="2">
        <v>0</v>
      </c>
      <c r="L883" s="8">
        <f t="shared" si="2146"/>
        <v>240</v>
      </c>
      <c r="M883" s="8">
        <f t="shared" si="2147"/>
        <v>7200</v>
      </c>
    </row>
    <row r="884" spans="1:13" ht="15" customHeight="1" x14ac:dyDescent="0.25">
      <c r="A884" s="24">
        <v>43949</v>
      </c>
      <c r="B884" s="29" t="s">
        <v>14</v>
      </c>
      <c r="C884" s="11">
        <v>30</v>
      </c>
      <c r="D884" s="11" t="s">
        <v>11</v>
      </c>
      <c r="E884" s="11">
        <v>41535</v>
      </c>
      <c r="F884" s="11">
        <v>41425</v>
      </c>
      <c r="G884" s="34">
        <v>41300</v>
      </c>
      <c r="H884" s="35">
        <v>0</v>
      </c>
      <c r="I884" s="8">
        <f t="shared" si="2145"/>
        <v>3300</v>
      </c>
      <c r="J884" s="8">
        <f>C884*125</f>
        <v>3750</v>
      </c>
      <c r="K884" s="2">
        <v>0</v>
      </c>
      <c r="L884" s="8">
        <f t="shared" si="2146"/>
        <v>235</v>
      </c>
      <c r="M884" s="8">
        <f t="shared" si="2147"/>
        <v>7050</v>
      </c>
    </row>
    <row r="885" spans="1:13" ht="15" customHeight="1" x14ac:dyDescent="0.25">
      <c r="A885" s="24">
        <v>43949</v>
      </c>
      <c r="B885" s="29" t="s">
        <v>19</v>
      </c>
      <c r="C885" s="11">
        <v>100</v>
      </c>
      <c r="D885" s="11" t="s">
        <v>11</v>
      </c>
      <c r="E885" s="11">
        <v>45900</v>
      </c>
      <c r="F885" s="11">
        <v>45860</v>
      </c>
      <c r="G885" s="34">
        <v>45770</v>
      </c>
      <c r="H885" s="35">
        <v>0</v>
      </c>
      <c r="I885" s="8">
        <f t="shared" si="2145"/>
        <v>4000</v>
      </c>
      <c r="J885" s="8">
        <f>C885*90</f>
        <v>9000</v>
      </c>
      <c r="K885" s="2">
        <v>0</v>
      </c>
      <c r="L885" s="8">
        <f t="shared" si="2146"/>
        <v>130</v>
      </c>
      <c r="M885" s="8">
        <f t="shared" si="2147"/>
        <v>13000</v>
      </c>
    </row>
    <row r="886" spans="1:13" ht="15" customHeight="1" x14ac:dyDescent="0.25">
      <c r="A886" s="24">
        <v>43949</v>
      </c>
      <c r="B886" s="29" t="s">
        <v>16</v>
      </c>
      <c r="C886" s="11">
        <v>100</v>
      </c>
      <c r="D886" s="11" t="s">
        <v>11</v>
      </c>
      <c r="E886" s="11">
        <v>1002</v>
      </c>
      <c r="F886" s="11">
        <v>981</v>
      </c>
      <c r="G886" s="34">
        <v>950</v>
      </c>
      <c r="H886" s="35">
        <v>910</v>
      </c>
      <c r="I886" s="8">
        <f t="shared" si="2145"/>
        <v>2100</v>
      </c>
      <c r="J886" s="8">
        <v>0</v>
      </c>
      <c r="K886" s="2">
        <v>0</v>
      </c>
      <c r="L886" s="8">
        <f t="shared" si="2146"/>
        <v>21</v>
      </c>
      <c r="M886" s="8">
        <f t="shared" si="2147"/>
        <v>2100</v>
      </c>
    </row>
    <row r="887" spans="1:13" ht="15" customHeight="1" x14ac:dyDescent="0.25">
      <c r="A887" s="24">
        <v>43948</v>
      </c>
      <c r="B887" s="29" t="s">
        <v>14</v>
      </c>
      <c r="C887" s="11">
        <v>30</v>
      </c>
      <c r="D887" s="11" t="s">
        <v>10</v>
      </c>
      <c r="E887" s="11">
        <v>42290</v>
      </c>
      <c r="F887" s="11">
        <v>42380</v>
      </c>
      <c r="G887" s="34">
        <v>0</v>
      </c>
      <c r="H887" s="35">
        <v>0</v>
      </c>
      <c r="I887" s="8">
        <f t="shared" si="2145"/>
        <v>2700</v>
      </c>
      <c r="J887" s="8">
        <v>0</v>
      </c>
      <c r="K887" s="2">
        <v>0</v>
      </c>
      <c r="L887" s="8">
        <f t="shared" si="2146"/>
        <v>90</v>
      </c>
      <c r="M887" s="8">
        <f t="shared" si="2147"/>
        <v>2700</v>
      </c>
    </row>
    <row r="888" spans="1:13" ht="15" customHeight="1" x14ac:dyDescent="0.25">
      <c r="A888" s="24">
        <v>43948</v>
      </c>
      <c r="B888" s="29" t="s">
        <v>52</v>
      </c>
      <c r="C888" s="11">
        <v>1250</v>
      </c>
      <c r="D888" s="11" t="s">
        <v>11</v>
      </c>
      <c r="E888" s="11">
        <v>129.80000000000001</v>
      </c>
      <c r="F888" s="11">
        <v>128.5</v>
      </c>
      <c r="G888" s="34">
        <v>126.5</v>
      </c>
      <c r="H888" s="35">
        <v>123</v>
      </c>
      <c r="I888" s="8">
        <f t="shared" si="2145"/>
        <v>1625.0000000000141</v>
      </c>
      <c r="J888" s="8">
        <f>C888*2</f>
        <v>2500</v>
      </c>
      <c r="K888" s="2">
        <f>C888*3.5</f>
        <v>4375</v>
      </c>
      <c r="L888" s="8">
        <f t="shared" si="2146"/>
        <v>6.8000000000000114</v>
      </c>
      <c r="M888" s="8">
        <f t="shared" si="2147"/>
        <v>8500.0000000000146</v>
      </c>
    </row>
    <row r="889" spans="1:13" ht="15" customHeight="1" x14ac:dyDescent="0.25">
      <c r="A889" s="24">
        <v>43948</v>
      </c>
      <c r="B889" s="29" t="s">
        <v>16</v>
      </c>
      <c r="C889" s="11">
        <v>100</v>
      </c>
      <c r="D889" s="11" t="s">
        <v>11</v>
      </c>
      <c r="E889" s="11">
        <v>1268</v>
      </c>
      <c r="F889" s="11">
        <v>1248</v>
      </c>
      <c r="G889" s="34">
        <v>1218</v>
      </c>
      <c r="H889" s="35">
        <v>1175</v>
      </c>
      <c r="I889" s="8">
        <f t="shared" si="2145"/>
        <v>2000</v>
      </c>
      <c r="J889" s="8">
        <f>C889*30</f>
        <v>3000</v>
      </c>
      <c r="K889" s="2">
        <f>C889*43</f>
        <v>4300</v>
      </c>
      <c r="L889" s="8">
        <f t="shared" si="2146"/>
        <v>93</v>
      </c>
      <c r="M889" s="8">
        <f t="shared" si="2147"/>
        <v>9300</v>
      </c>
    </row>
    <row r="890" spans="1:13" ht="15" customHeight="1" x14ac:dyDescent="0.25">
      <c r="A890" s="24">
        <v>43945</v>
      </c>
      <c r="B890" s="29" t="s">
        <v>14</v>
      </c>
      <c r="C890" s="11">
        <v>30</v>
      </c>
      <c r="D890" s="11" t="s">
        <v>10</v>
      </c>
      <c r="E890" s="11">
        <v>42100</v>
      </c>
      <c r="F890" s="11">
        <v>42190</v>
      </c>
      <c r="G890" s="34">
        <v>42350</v>
      </c>
      <c r="H890" s="35">
        <v>0</v>
      </c>
      <c r="I890" s="8">
        <f t="shared" si="2145"/>
        <v>2700</v>
      </c>
      <c r="J890" s="8">
        <f>C890*160</f>
        <v>4800</v>
      </c>
      <c r="K890" s="2">
        <v>0</v>
      </c>
      <c r="L890" s="8">
        <f t="shared" si="2146"/>
        <v>250</v>
      </c>
      <c r="M890" s="8">
        <f t="shared" si="2147"/>
        <v>7500</v>
      </c>
    </row>
    <row r="891" spans="1:13" ht="15" customHeight="1" x14ac:dyDescent="0.25">
      <c r="A891" s="24">
        <v>43945</v>
      </c>
      <c r="B891" s="29" t="s">
        <v>19</v>
      </c>
      <c r="C891" s="11">
        <v>100</v>
      </c>
      <c r="D891" s="11" t="s">
        <v>10</v>
      </c>
      <c r="E891" s="11">
        <v>46590</v>
      </c>
      <c r="F891" s="11">
        <v>46520</v>
      </c>
      <c r="G891" s="34">
        <v>0</v>
      </c>
      <c r="H891" s="35">
        <v>0</v>
      </c>
      <c r="I891" s="8">
        <f t="shared" si="2145"/>
        <v>-7000</v>
      </c>
      <c r="J891" s="8">
        <v>0</v>
      </c>
      <c r="K891" s="2">
        <v>0</v>
      </c>
      <c r="L891" s="8">
        <f t="shared" si="2146"/>
        <v>-70</v>
      </c>
      <c r="M891" s="8">
        <f t="shared" si="2147"/>
        <v>-7000</v>
      </c>
    </row>
    <row r="892" spans="1:13" ht="15" customHeight="1" x14ac:dyDescent="0.25">
      <c r="A892" s="24">
        <v>43945</v>
      </c>
      <c r="B892" s="29" t="s">
        <v>16</v>
      </c>
      <c r="C892" s="11">
        <v>100</v>
      </c>
      <c r="D892" s="11" t="s">
        <v>10</v>
      </c>
      <c r="E892" s="11">
        <v>1367</v>
      </c>
      <c r="F892" s="11">
        <v>1387</v>
      </c>
      <c r="G892" s="34">
        <v>0</v>
      </c>
      <c r="H892" s="35">
        <v>0</v>
      </c>
      <c r="I892" s="8">
        <f t="shared" si="2145"/>
        <v>2000</v>
      </c>
      <c r="J892" s="8">
        <v>0</v>
      </c>
      <c r="K892" s="2">
        <v>0</v>
      </c>
      <c r="L892" s="8">
        <f t="shared" si="2146"/>
        <v>20</v>
      </c>
      <c r="M892" s="8">
        <f t="shared" si="2147"/>
        <v>2000</v>
      </c>
    </row>
    <row r="893" spans="1:13" ht="15" customHeight="1" x14ac:dyDescent="0.25">
      <c r="A893" s="24">
        <v>43944</v>
      </c>
      <c r="B893" s="29" t="s">
        <v>16</v>
      </c>
      <c r="C893" s="11">
        <v>100</v>
      </c>
      <c r="D893" s="11" t="s">
        <v>10</v>
      </c>
      <c r="E893" s="11">
        <v>994</v>
      </c>
      <c r="F893" s="11">
        <v>1014</v>
      </c>
      <c r="G893" s="34">
        <v>1044</v>
      </c>
      <c r="H893" s="35">
        <v>0</v>
      </c>
      <c r="I893" s="8">
        <f t="shared" si="2145"/>
        <v>2000</v>
      </c>
      <c r="J893" s="8">
        <f>C893*30</f>
        <v>3000</v>
      </c>
      <c r="K893" s="2">
        <v>0</v>
      </c>
      <c r="L893" s="8">
        <f t="shared" si="2146"/>
        <v>50</v>
      </c>
      <c r="M893" s="8">
        <f t="shared" si="2147"/>
        <v>5000</v>
      </c>
    </row>
    <row r="894" spans="1:13" ht="15" customHeight="1" x14ac:dyDescent="0.25">
      <c r="A894" s="24">
        <v>43944</v>
      </c>
      <c r="B894" s="29" t="s">
        <v>52</v>
      </c>
      <c r="C894" s="11">
        <v>1250</v>
      </c>
      <c r="D894" s="11" t="s">
        <v>10</v>
      </c>
      <c r="E894" s="11">
        <v>147</v>
      </c>
      <c r="F894" s="11">
        <v>148.5</v>
      </c>
      <c r="G894" s="34">
        <v>0</v>
      </c>
      <c r="H894" s="35">
        <v>0</v>
      </c>
      <c r="I894" s="8">
        <f t="shared" si="2145"/>
        <v>1875</v>
      </c>
      <c r="J894" s="8">
        <v>0</v>
      </c>
      <c r="K894" s="2">
        <v>0</v>
      </c>
      <c r="L894" s="8">
        <f t="shared" si="2146"/>
        <v>1.5</v>
      </c>
      <c r="M894" s="8">
        <f t="shared" si="2147"/>
        <v>1875</v>
      </c>
    </row>
    <row r="895" spans="1:13" ht="15" customHeight="1" x14ac:dyDescent="0.25">
      <c r="A895" s="24">
        <v>43944</v>
      </c>
      <c r="B895" s="29" t="s">
        <v>14</v>
      </c>
      <c r="C895" s="11">
        <v>30</v>
      </c>
      <c r="D895" s="11" t="s">
        <v>10</v>
      </c>
      <c r="E895" s="11">
        <v>42530</v>
      </c>
      <c r="F895" s="11">
        <v>42300</v>
      </c>
      <c r="G895" s="34">
        <v>0</v>
      </c>
      <c r="H895" s="35">
        <v>0</v>
      </c>
      <c r="I895" s="8">
        <f t="shared" ref="I895:I958" si="2148">(IF(D895="SELL",E895-F895,IF(D895="BUY",F895-E895)))*C895</f>
        <v>-6900</v>
      </c>
      <c r="J895" s="8">
        <v>0</v>
      </c>
      <c r="K895" s="2">
        <v>0</v>
      </c>
      <c r="L895" s="8">
        <f t="shared" ref="L895:L958" si="2149">(J895+I895+K895)/C895</f>
        <v>-230</v>
      </c>
      <c r="M895" s="8">
        <f t="shared" ref="M895:M958" si="2150">L895*C895</f>
        <v>-6900</v>
      </c>
    </row>
    <row r="896" spans="1:13" ht="15" customHeight="1" x14ac:dyDescent="0.25">
      <c r="A896" s="24">
        <v>43943</v>
      </c>
      <c r="B896" s="29" t="s">
        <v>16</v>
      </c>
      <c r="C896" s="11">
        <v>100</v>
      </c>
      <c r="D896" s="11" t="s">
        <v>11</v>
      </c>
      <c r="E896" s="11">
        <v>1244</v>
      </c>
      <c r="F896" s="11">
        <v>1224</v>
      </c>
      <c r="G896" s="34">
        <v>1195</v>
      </c>
      <c r="H896" s="35">
        <v>1154</v>
      </c>
      <c r="I896" s="8">
        <f t="shared" si="2148"/>
        <v>2000</v>
      </c>
      <c r="J896" s="8">
        <f>C896*29</f>
        <v>2900</v>
      </c>
      <c r="K896" s="2">
        <f>C896*41</f>
        <v>4100</v>
      </c>
      <c r="L896" s="8">
        <f t="shared" si="2149"/>
        <v>90</v>
      </c>
      <c r="M896" s="8">
        <f t="shared" si="2150"/>
        <v>9000</v>
      </c>
    </row>
    <row r="897" spans="1:13" ht="15" customHeight="1" x14ac:dyDescent="0.25">
      <c r="A897" s="24">
        <v>43943</v>
      </c>
      <c r="B897" s="29" t="s">
        <v>21</v>
      </c>
      <c r="C897" s="11">
        <v>1500</v>
      </c>
      <c r="D897" s="11" t="s">
        <v>11</v>
      </c>
      <c r="E897" s="11">
        <v>911.3</v>
      </c>
      <c r="F897" s="11">
        <v>908.6</v>
      </c>
      <c r="G897" s="34">
        <v>906</v>
      </c>
      <c r="H897" s="35">
        <v>0</v>
      </c>
      <c r="I897" s="8">
        <f t="shared" si="2148"/>
        <v>4049.9999999998977</v>
      </c>
      <c r="J897" s="8">
        <f>C897*2.6</f>
        <v>3900</v>
      </c>
      <c r="K897" s="2">
        <v>0</v>
      </c>
      <c r="L897" s="8">
        <f t="shared" si="2149"/>
        <v>5.2999999999999323</v>
      </c>
      <c r="M897" s="8">
        <f t="shared" si="2150"/>
        <v>7949.9999999998981</v>
      </c>
    </row>
    <row r="898" spans="1:13" ht="15" customHeight="1" x14ac:dyDescent="0.25">
      <c r="A898" s="24">
        <v>43942</v>
      </c>
      <c r="B898" s="29" t="s">
        <v>19</v>
      </c>
      <c r="C898" s="11">
        <v>100</v>
      </c>
      <c r="D898" s="11" t="s">
        <v>10</v>
      </c>
      <c r="E898" s="11">
        <v>45900</v>
      </c>
      <c r="F898" s="11">
        <v>45940</v>
      </c>
      <c r="G898" s="34">
        <v>46030</v>
      </c>
      <c r="H898" s="35">
        <v>46150</v>
      </c>
      <c r="I898" s="8">
        <f t="shared" si="2148"/>
        <v>4000</v>
      </c>
      <c r="J898" s="8">
        <f>C898*90</f>
        <v>9000</v>
      </c>
      <c r="K898" s="2">
        <f>C898*120</f>
        <v>12000</v>
      </c>
      <c r="L898" s="8">
        <f t="shared" si="2149"/>
        <v>250</v>
      </c>
      <c r="M898" s="8">
        <f t="shared" si="2150"/>
        <v>25000</v>
      </c>
    </row>
    <row r="899" spans="1:13" ht="15" customHeight="1" x14ac:dyDescent="0.25">
      <c r="A899" s="24">
        <v>43942</v>
      </c>
      <c r="B899" s="29" t="s">
        <v>52</v>
      </c>
      <c r="C899" s="11">
        <v>1250</v>
      </c>
      <c r="D899" s="11" t="s">
        <v>10</v>
      </c>
      <c r="E899" s="11">
        <v>142.15</v>
      </c>
      <c r="F899" s="11">
        <v>143.6</v>
      </c>
      <c r="G899" s="34">
        <v>146.30000000000001</v>
      </c>
      <c r="H899" s="35">
        <v>0</v>
      </c>
      <c r="I899" s="8">
        <f t="shared" si="2148"/>
        <v>1812.4999999999859</v>
      </c>
      <c r="J899" s="8">
        <f>C899*3</f>
        <v>3750</v>
      </c>
      <c r="K899" s="2">
        <v>0</v>
      </c>
      <c r="L899" s="8">
        <f t="shared" si="2149"/>
        <v>4.4499999999999886</v>
      </c>
      <c r="M899" s="8">
        <f t="shared" si="2150"/>
        <v>5562.4999999999854</v>
      </c>
    </row>
    <row r="900" spans="1:13" ht="15" customHeight="1" x14ac:dyDescent="0.25">
      <c r="A900" s="24">
        <v>43942</v>
      </c>
      <c r="B900" s="29" t="s">
        <v>16</v>
      </c>
      <c r="C900" s="11">
        <v>100</v>
      </c>
      <c r="D900" s="11" t="s">
        <v>11</v>
      </c>
      <c r="E900" s="11">
        <v>1665</v>
      </c>
      <c r="F900" s="11">
        <v>1645</v>
      </c>
      <c r="G900" s="34">
        <v>1615</v>
      </c>
      <c r="H900" s="35">
        <v>1575</v>
      </c>
      <c r="I900" s="8">
        <f t="shared" si="2148"/>
        <v>2000</v>
      </c>
      <c r="J900" s="8">
        <f>C900*30</f>
        <v>3000</v>
      </c>
      <c r="K900" s="2">
        <f>C900*35</f>
        <v>3500</v>
      </c>
      <c r="L900" s="8">
        <f t="shared" si="2149"/>
        <v>85</v>
      </c>
      <c r="M900" s="8">
        <f t="shared" si="2150"/>
        <v>8500</v>
      </c>
    </row>
    <row r="901" spans="1:13" ht="15" customHeight="1" x14ac:dyDescent="0.25">
      <c r="A901" s="24">
        <v>43941</v>
      </c>
      <c r="B901" s="29" t="s">
        <v>16</v>
      </c>
      <c r="C901" s="11">
        <v>100</v>
      </c>
      <c r="D901" s="11" t="s">
        <v>11</v>
      </c>
      <c r="E901" s="11">
        <v>1348</v>
      </c>
      <c r="F901" s="11">
        <v>1328</v>
      </c>
      <c r="G901" s="34">
        <v>1298</v>
      </c>
      <c r="H901" s="35">
        <v>1258</v>
      </c>
      <c r="I901" s="8">
        <f t="shared" si="2148"/>
        <v>2000</v>
      </c>
      <c r="J901" s="8">
        <f>C901*30</f>
        <v>3000</v>
      </c>
      <c r="K901" s="2">
        <f>C901*40</f>
        <v>4000</v>
      </c>
      <c r="L901" s="8">
        <f t="shared" si="2149"/>
        <v>90</v>
      </c>
      <c r="M901" s="8">
        <f t="shared" si="2150"/>
        <v>9000</v>
      </c>
    </row>
    <row r="902" spans="1:13" ht="15" customHeight="1" x14ac:dyDescent="0.25">
      <c r="A902" s="24">
        <v>43938</v>
      </c>
      <c r="B902" s="29" t="s">
        <v>16</v>
      </c>
      <c r="C902" s="11">
        <v>100</v>
      </c>
      <c r="D902" s="11" t="s">
        <v>11</v>
      </c>
      <c r="E902" s="11">
        <v>1530</v>
      </c>
      <c r="F902" s="11">
        <v>1510</v>
      </c>
      <c r="G902" s="34">
        <v>1480</v>
      </c>
      <c r="H902" s="35">
        <v>1440</v>
      </c>
      <c r="I902" s="8">
        <f t="shared" si="2148"/>
        <v>2000</v>
      </c>
      <c r="J902" s="8">
        <f>C902*30</f>
        <v>3000</v>
      </c>
      <c r="K902" s="2">
        <f>C902*40</f>
        <v>4000</v>
      </c>
      <c r="L902" s="8">
        <f t="shared" si="2149"/>
        <v>90</v>
      </c>
      <c r="M902" s="8">
        <f t="shared" si="2150"/>
        <v>9000</v>
      </c>
    </row>
    <row r="903" spans="1:13" ht="15" customHeight="1" x14ac:dyDescent="0.25">
      <c r="A903" s="24">
        <v>43938</v>
      </c>
      <c r="B903" s="29" t="s">
        <v>52</v>
      </c>
      <c r="C903" s="11">
        <v>1250</v>
      </c>
      <c r="D903" s="11" t="s">
        <v>10</v>
      </c>
      <c r="E903" s="11">
        <v>130.5</v>
      </c>
      <c r="F903" s="11">
        <v>131.6</v>
      </c>
      <c r="G903" s="34">
        <v>0</v>
      </c>
      <c r="H903" s="35">
        <v>0</v>
      </c>
      <c r="I903" s="8">
        <f t="shared" si="2148"/>
        <v>1374.999999999993</v>
      </c>
      <c r="J903" s="8">
        <v>0</v>
      </c>
      <c r="K903" s="2">
        <v>0</v>
      </c>
      <c r="L903" s="8">
        <f t="shared" si="2149"/>
        <v>1.0999999999999943</v>
      </c>
      <c r="M903" s="8">
        <f t="shared" si="2150"/>
        <v>1374.999999999993</v>
      </c>
    </row>
    <row r="904" spans="1:13" ht="15" customHeight="1" x14ac:dyDescent="0.25">
      <c r="A904" s="24">
        <v>43938</v>
      </c>
      <c r="B904" s="29" t="s">
        <v>19</v>
      </c>
      <c r="C904" s="11">
        <v>100</v>
      </c>
      <c r="D904" s="11" t="s">
        <v>11</v>
      </c>
      <c r="E904" s="11">
        <v>46080</v>
      </c>
      <c r="F904" s="11">
        <v>46110</v>
      </c>
      <c r="G904" s="34">
        <v>0</v>
      </c>
      <c r="H904" s="35">
        <v>0</v>
      </c>
      <c r="I904" s="8">
        <f t="shared" si="2148"/>
        <v>-3000</v>
      </c>
      <c r="J904" s="8">
        <v>0</v>
      </c>
      <c r="K904" s="2">
        <v>0</v>
      </c>
      <c r="L904" s="8">
        <f t="shared" si="2149"/>
        <v>-30</v>
      </c>
      <c r="M904" s="8">
        <f t="shared" si="2150"/>
        <v>-3000</v>
      </c>
    </row>
    <row r="905" spans="1:13" ht="15" customHeight="1" x14ac:dyDescent="0.25">
      <c r="A905" s="24">
        <v>43937</v>
      </c>
      <c r="B905" s="29" t="s">
        <v>19</v>
      </c>
      <c r="C905" s="11">
        <v>100</v>
      </c>
      <c r="D905" s="11" t="s">
        <v>10</v>
      </c>
      <c r="E905" s="11">
        <v>46970</v>
      </c>
      <c r="F905" s="11">
        <v>47020</v>
      </c>
      <c r="G905" s="34">
        <v>47095</v>
      </c>
      <c r="H905" s="35">
        <v>47190</v>
      </c>
      <c r="I905" s="8">
        <f t="shared" si="2148"/>
        <v>5000</v>
      </c>
      <c r="J905" s="8">
        <f>C905*75</f>
        <v>7500</v>
      </c>
      <c r="K905" s="2">
        <f>C905*95</f>
        <v>9500</v>
      </c>
      <c r="L905" s="8">
        <f t="shared" si="2149"/>
        <v>220</v>
      </c>
      <c r="M905" s="8">
        <f t="shared" si="2150"/>
        <v>22000</v>
      </c>
    </row>
    <row r="906" spans="1:13" ht="15" customHeight="1" x14ac:dyDescent="0.25">
      <c r="A906" s="24">
        <v>43937</v>
      </c>
      <c r="B906" s="29" t="s">
        <v>16</v>
      </c>
      <c r="C906" s="11">
        <v>100</v>
      </c>
      <c r="D906" s="11" t="s">
        <v>10</v>
      </c>
      <c r="E906" s="11">
        <v>1553</v>
      </c>
      <c r="F906" s="11">
        <v>1575</v>
      </c>
      <c r="G906" s="34">
        <v>0</v>
      </c>
      <c r="H906" s="35">
        <v>0</v>
      </c>
      <c r="I906" s="8">
        <f t="shared" si="2148"/>
        <v>2200</v>
      </c>
      <c r="J906" s="8">
        <v>0</v>
      </c>
      <c r="K906" s="2">
        <v>0</v>
      </c>
      <c r="L906" s="8">
        <f t="shared" si="2149"/>
        <v>22</v>
      </c>
      <c r="M906" s="8">
        <f t="shared" si="2150"/>
        <v>2200</v>
      </c>
    </row>
    <row r="907" spans="1:13" ht="15" customHeight="1" x14ac:dyDescent="0.25">
      <c r="A907" s="24">
        <v>43937</v>
      </c>
      <c r="B907" s="29" t="s">
        <v>14</v>
      </c>
      <c r="C907" s="11">
        <v>30</v>
      </c>
      <c r="D907" s="11" t="s">
        <v>10</v>
      </c>
      <c r="E907" s="11">
        <v>44140</v>
      </c>
      <c r="F907" s="11">
        <v>44230</v>
      </c>
      <c r="G907" s="34">
        <v>0</v>
      </c>
      <c r="H907" s="35">
        <v>0</v>
      </c>
      <c r="I907" s="8">
        <f t="shared" si="2148"/>
        <v>2700</v>
      </c>
      <c r="J907" s="8">
        <v>0</v>
      </c>
      <c r="K907" s="2">
        <v>0</v>
      </c>
      <c r="L907" s="8">
        <f t="shared" si="2149"/>
        <v>90</v>
      </c>
      <c r="M907" s="8">
        <f t="shared" si="2150"/>
        <v>2700</v>
      </c>
    </row>
    <row r="908" spans="1:13" ht="15" customHeight="1" x14ac:dyDescent="0.25">
      <c r="A908" s="24">
        <v>43936</v>
      </c>
      <c r="B908" s="29" t="s">
        <v>19</v>
      </c>
      <c r="C908" s="11">
        <v>100</v>
      </c>
      <c r="D908" s="11" t="s">
        <v>10</v>
      </c>
      <c r="E908" s="11">
        <v>46660</v>
      </c>
      <c r="F908" s="11">
        <v>46700</v>
      </c>
      <c r="G908" s="34">
        <v>0</v>
      </c>
      <c r="H908" s="35">
        <v>0</v>
      </c>
      <c r="I908" s="8">
        <f t="shared" si="2148"/>
        <v>4000</v>
      </c>
      <c r="J908" s="8">
        <v>0</v>
      </c>
      <c r="K908" s="2">
        <v>0</v>
      </c>
      <c r="L908" s="8">
        <f t="shared" si="2149"/>
        <v>40</v>
      </c>
      <c r="M908" s="8">
        <f t="shared" si="2150"/>
        <v>4000</v>
      </c>
    </row>
    <row r="909" spans="1:13" ht="15" customHeight="1" x14ac:dyDescent="0.25">
      <c r="A909" s="24">
        <v>43936</v>
      </c>
      <c r="B909" s="29" t="s">
        <v>52</v>
      </c>
      <c r="C909" s="11">
        <v>1250</v>
      </c>
      <c r="D909" s="11" t="s">
        <v>11</v>
      </c>
      <c r="E909" s="11">
        <v>128.1</v>
      </c>
      <c r="F909" s="11">
        <v>126.5</v>
      </c>
      <c r="G909" s="34">
        <v>124</v>
      </c>
      <c r="H909" s="35">
        <v>0</v>
      </c>
      <c r="I909" s="8">
        <f t="shared" si="2148"/>
        <v>1999.999999999993</v>
      </c>
      <c r="J909" s="8">
        <f>C909*2.5</f>
        <v>3125</v>
      </c>
      <c r="K909" s="2">
        <v>0</v>
      </c>
      <c r="L909" s="8">
        <f t="shared" si="2149"/>
        <v>4.0999999999999943</v>
      </c>
      <c r="M909" s="8">
        <f t="shared" si="2150"/>
        <v>5124.9999999999927</v>
      </c>
    </row>
    <row r="910" spans="1:13" ht="15" customHeight="1" x14ac:dyDescent="0.25">
      <c r="A910" s="24">
        <v>43936</v>
      </c>
      <c r="B910" s="29" t="s">
        <v>16</v>
      </c>
      <c r="C910" s="11">
        <v>100</v>
      </c>
      <c r="D910" s="11" t="s">
        <v>11</v>
      </c>
      <c r="E910" s="11">
        <v>1673</v>
      </c>
      <c r="F910" s="11">
        <v>1653</v>
      </c>
      <c r="G910" s="34">
        <v>1623</v>
      </c>
      <c r="H910" s="35">
        <v>1583</v>
      </c>
      <c r="I910" s="8">
        <f t="shared" si="2148"/>
        <v>2000</v>
      </c>
      <c r="J910" s="8">
        <f>C910*30</f>
        <v>3000</v>
      </c>
      <c r="K910" s="2">
        <f>C910*40</f>
        <v>4000</v>
      </c>
      <c r="L910" s="8">
        <f t="shared" si="2149"/>
        <v>90</v>
      </c>
      <c r="M910" s="8">
        <f t="shared" si="2150"/>
        <v>9000</v>
      </c>
    </row>
    <row r="911" spans="1:13" ht="15" customHeight="1" x14ac:dyDescent="0.25">
      <c r="A911" s="24">
        <v>43934</v>
      </c>
      <c r="B911" s="29" t="s">
        <v>16</v>
      </c>
      <c r="C911" s="11">
        <v>100</v>
      </c>
      <c r="D911" s="11" t="s">
        <v>11</v>
      </c>
      <c r="E911" s="11">
        <v>1955</v>
      </c>
      <c r="F911" s="11">
        <v>1935</v>
      </c>
      <c r="G911" s="34">
        <v>1905</v>
      </c>
      <c r="H911" s="35">
        <v>1865</v>
      </c>
      <c r="I911" s="8">
        <f t="shared" si="2148"/>
        <v>2000</v>
      </c>
      <c r="J911" s="8">
        <f>C911*30</f>
        <v>3000</v>
      </c>
      <c r="K911" s="2">
        <f>C911*40</f>
        <v>4000</v>
      </c>
      <c r="L911" s="8">
        <f t="shared" si="2149"/>
        <v>90</v>
      </c>
      <c r="M911" s="8">
        <f t="shared" si="2150"/>
        <v>9000</v>
      </c>
    </row>
    <row r="912" spans="1:13" ht="15" customHeight="1" x14ac:dyDescent="0.25">
      <c r="A912" s="24">
        <v>43930</v>
      </c>
      <c r="B912" s="29" t="s">
        <v>19</v>
      </c>
      <c r="C912" s="11">
        <v>100</v>
      </c>
      <c r="D912" s="11" t="s">
        <v>10</v>
      </c>
      <c r="E912" s="11">
        <v>45120</v>
      </c>
      <c r="F912" s="11">
        <v>45165</v>
      </c>
      <c r="G912" s="34">
        <v>45250</v>
      </c>
      <c r="H912" s="35">
        <v>0</v>
      </c>
      <c r="I912" s="8">
        <f t="shared" si="2148"/>
        <v>4500</v>
      </c>
      <c r="J912" s="8">
        <f>C912*85</f>
        <v>8500</v>
      </c>
      <c r="K912" s="2">
        <v>0</v>
      </c>
      <c r="L912" s="8">
        <f t="shared" si="2149"/>
        <v>130</v>
      </c>
      <c r="M912" s="8">
        <f t="shared" si="2150"/>
        <v>13000</v>
      </c>
    </row>
    <row r="913" spans="1:13" ht="15" customHeight="1" x14ac:dyDescent="0.25">
      <c r="A913" s="24">
        <v>43930</v>
      </c>
      <c r="B913" s="29" t="s">
        <v>16</v>
      </c>
      <c r="C913" s="11">
        <v>100</v>
      </c>
      <c r="D913" s="11" t="s">
        <v>10</v>
      </c>
      <c r="E913" s="11">
        <v>2008</v>
      </c>
      <c r="F913" s="11">
        <v>2028</v>
      </c>
      <c r="G913" s="34">
        <v>2058</v>
      </c>
      <c r="H913" s="35">
        <v>2098</v>
      </c>
      <c r="I913" s="8">
        <f t="shared" si="2148"/>
        <v>2000</v>
      </c>
      <c r="J913" s="8">
        <f>C913*30</f>
        <v>3000</v>
      </c>
      <c r="K913" s="2">
        <f>C913*40</f>
        <v>4000</v>
      </c>
      <c r="L913" s="8">
        <f t="shared" si="2149"/>
        <v>90</v>
      </c>
      <c r="M913" s="8">
        <f t="shared" si="2150"/>
        <v>9000</v>
      </c>
    </row>
    <row r="914" spans="1:13" ht="15" customHeight="1" x14ac:dyDescent="0.25">
      <c r="A914" s="24">
        <v>43929</v>
      </c>
      <c r="B914" s="29" t="s">
        <v>16</v>
      </c>
      <c r="C914" s="11">
        <v>100</v>
      </c>
      <c r="D914" s="11" t="s">
        <v>11</v>
      </c>
      <c r="E914" s="11">
        <v>1940</v>
      </c>
      <c r="F914" s="11">
        <v>1920</v>
      </c>
      <c r="G914" s="34">
        <v>1890</v>
      </c>
      <c r="H914" s="35">
        <v>0</v>
      </c>
      <c r="I914" s="8">
        <f t="shared" si="2148"/>
        <v>2000</v>
      </c>
      <c r="J914" s="8">
        <f>C914*30</f>
        <v>3000</v>
      </c>
      <c r="K914" s="2">
        <v>0</v>
      </c>
      <c r="L914" s="8">
        <f t="shared" si="2149"/>
        <v>50</v>
      </c>
      <c r="M914" s="8">
        <f t="shared" si="2150"/>
        <v>5000</v>
      </c>
    </row>
    <row r="915" spans="1:13" ht="15" customHeight="1" x14ac:dyDescent="0.25">
      <c r="A915" s="24">
        <v>43928</v>
      </c>
      <c r="B915" s="29" t="s">
        <v>52</v>
      </c>
      <c r="C915" s="11">
        <v>1250</v>
      </c>
      <c r="D915" s="11" t="s">
        <v>10</v>
      </c>
      <c r="E915" s="11">
        <v>128.65</v>
      </c>
      <c r="F915" s="11">
        <v>130</v>
      </c>
      <c r="G915" s="34">
        <v>132</v>
      </c>
      <c r="H915" s="35">
        <v>0</v>
      </c>
      <c r="I915" s="8">
        <f t="shared" si="2148"/>
        <v>1687.499999999993</v>
      </c>
      <c r="J915" s="8">
        <f>C915*2</f>
        <v>2500</v>
      </c>
      <c r="K915" s="2">
        <v>0</v>
      </c>
      <c r="L915" s="8">
        <f t="shared" si="2149"/>
        <v>3.3499999999999943</v>
      </c>
      <c r="M915" s="8">
        <f t="shared" si="2150"/>
        <v>4187.4999999999927</v>
      </c>
    </row>
    <row r="916" spans="1:13" ht="15" customHeight="1" x14ac:dyDescent="0.25">
      <c r="A916" s="24">
        <v>43928</v>
      </c>
      <c r="B916" s="29" t="s">
        <v>16</v>
      </c>
      <c r="C916" s="11">
        <v>100</v>
      </c>
      <c r="D916" s="11" t="s">
        <v>10</v>
      </c>
      <c r="E916" s="11">
        <v>2085</v>
      </c>
      <c r="F916" s="11">
        <v>2054</v>
      </c>
      <c r="G916" s="34">
        <v>0</v>
      </c>
      <c r="H916" s="35">
        <v>0</v>
      </c>
      <c r="I916" s="8">
        <f t="shared" si="2148"/>
        <v>-3100</v>
      </c>
      <c r="J916" s="8">
        <v>0</v>
      </c>
      <c r="K916" s="2">
        <v>0</v>
      </c>
      <c r="L916" s="8">
        <f t="shared" si="2149"/>
        <v>-31</v>
      </c>
      <c r="M916" s="8">
        <f t="shared" si="2150"/>
        <v>-3100</v>
      </c>
    </row>
    <row r="917" spans="1:13" ht="15" customHeight="1" x14ac:dyDescent="0.25">
      <c r="A917" s="24">
        <v>43928</v>
      </c>
      <c r="B917" s="29" t="s">
        <v>19</v>
      </c>
      <c r="C917" s="11">
        <v>100</v>
      </c>
      <c r="D917" s="11" t="s">
        <v>10</v>
      </c>
      <c r="E917" s="11">
        <v>45260</v>
      </c>
      <c r="F917" s="11">
        <v>45180</v>
      </c>
      <c r="G917" s="34">
        <v>0</v>
      </c>
      <c r="H917" s="35">
        <v>0</v>
      </c>
      <c r="I917" s="8">
        <f t="shared" si="2148"/>
        <v>-8000</v>
      </c>
      <c r="J917" s="8">
        <v>0</v>
      </c>
      <c r="K917" s="2">
        <v>0</v>
      </c>
      <c r="L917" s="8">
        <f t="shared" si="2149"/>
        <v>-80</v>
      </c>
      <c r="M917" s="8">
        <f t="shared" si="2150"/>
        <v>-8000</v>
      </c>
    </row>
    <row r="918" spans="1:13" ht="15" customHeight="1" x14ac:dyDescent="0.25">
      <c r="A918" s="24">
        <v>43924</v>
      </c>
      <c r="B918" s="29" t="s">
        <v>19</v>
      </c>
      <c r="C918" s="11">
        <v>100</v>
      </c>
      <c r="D918" s="11" t="s">
        <v>10</v>
      </c>
      <c r="E918" s="11">
        <v>43801</v>
      </c>
      <c r="F918" s="11">
        <v>43840</v>
      </c>
      <c r="G918" s="34">
        <v>0</v>
      </c>
      <c r="H918" s="35">
        <v>0</v>
      </c>
      <c r="I918" s="8">
        <f t="shared" si="2148"/>
        <v>3900</v>
      </c>
      <c r="J918" s="8">
        <v>0</v>
      </c>
      <c r="K918" s="2">
        <v>0</v>
      </c>
      <c r="L918" s="8">
        <f t="shared" si="2149"/>
        <v>39</v>
      </c>
      <c r="M918" s="8">
        <f t="shared" si="2150"/>
        <v>3900</v>
      </c>
    </row>
    <row r="919" spans="1:13" ht="15" customHeight="1" x14ac:dyDescent="0.25">
      <c r="A919" s="24">
        <v>43924</v>
      </c>
      <c r="B919" s="29" t="s">
        <v>16</v>
      </c>
      <c r="C919" s="11">
        <v>100</v>
      </c>
      <c r="D919" s="11" t="s">
        <v>10</v>
      </c>
      <c r="E919" s="11">
        <v>1720</v>
      </c>
      <c r="F919" s="11">
        <v>1740</v>
      </c>
      <c r="G919" s="34">
        <v>1770</v>
      </c>
      <c r="H919" s="35">
        <v>0</v>
      </c>
      <c r="I919" s="8">
        <f t="shared" si="2148"/>
        <v>2000</v>
      </c>
      <c r="J919" s="8">
        <f>C919*30</f>
        <v>3000</v>
      </c>
      <c r="K919" s="2">
        <v>0</v>
      </c>
      <c r="L919" s="8">
        <f t="shared" si="2149"/>
        <v>50</v>
      </c>
      <c r="M919" s="8">
        <f t="shared" si="2150"/>
        <v>5000</v>
      </c>
    </row>
    <row r="920" spans="1:13" ht="15" customHeight="1" x14ac:dyDescent="0.25">
      <c r="A920" s="24">
        <v>43922</v>
      </c>
      <c r="B920" s="29" t="s">
        <v>52</v>
      </c>
      <c r="C920" s="11">
        <v>1250</v>
      </c>
      <c r="D920" s="11" t="s">
        <v>11</v>
      </c>
      <c r="E920" s="11">
        <v>126</v>
      </c>
      <c r="F920" s="11">
        <v>129.6</v>
      </c>
      <c r="G920" s="34">
        <v>0</v>
      </c>
      <c r="H920" s="35">
        <v>0</v>
      </c>
      <c r="I920" s="8">
        <f t="shared" si="2148"/>
        <v>-4499.9999999999927</v>
      </c>
      <c r="J920" s="8">
        <v>0</v>
      </c>
      <c r="K920" s="2">
        <v>0</v>
      </c>
      <c r="L920" s="8">
        <f t="shared" si="2149"/>
        <v>-3.5999999999999943</v>
      </c>
      <c r="M920" s="8">
        <f t="shared" si="2150"/>
        <v>-4499.9999999999927</v>
      </c>
    </row>
    <row r="921" spans="1:13" ht="15" customHeight="1" x14ac:dyDescent="0.25">
      <c r="A921" s="24">
        <v>43922</v>
      </c>
      <c r="B921" s="29" t="s">
        <v>16</v>
      </c>
      <c r="C921" s="11">
        <v>100</v>
      </c>
      <c r="D921" s="11" t="s">
        <v>11</v>
      </c>
      <c r="E921" s="11">
        <v>1605</v>
      </c>
      <c r="F921" s="11">
        <v>1585</v>
      </c>
      <c r="G921" s="34">
        <v>1555</v>
      </c>
      <c r="H921" s="35">
        <v>0</v>
      </c>
      <c r="I921" s="8">
        <f t="shared" si="2148"/>
        <v>2000</v>
      </c>
      <c r="J921" s="8">
        <f>C921*30</f>
        <v>3000</v>
      </c>
      <c r="K921" s="2">
        <v>0</v>
      </c>
      <c r="L921" s="8">
        <f t="shared" si="2149"/>
        <v>50</v>
      </c>
      <c r="M921" s="8">
        <f t="shared" si="2150"/>
        <v>5000</v>
      </c>
    </row>
    <row r="922" spans="1:13" ht="15" customHeight="1" x14ac:dyDescent="0.25">
      <c r="A922" s="24">
        <v>43921</v>
      </c>
      <c r="B922" s="29" t="s">
        <v>16</v>
      </c>
      <c r="C922" s="11">
        <v>100</v>
      </c>
      <c r="D922" s="11" t="s">
        <v>10</v>
      </c>
      <c r="E922" s="11">
        <v>1675</v>
      </c>
      <c r="F922" s="11">
        <v>1693</v>
      </c>
      <c r="G922" s="34">
        <v>0</v>
      </c>
      <c r="H922" s="35">
        <v>0</v>
      </c>
      <c r="I922" s="8">
        <f t="shared" si="2148"/>
        <v>1800</v>
      </c>
      <c r="J922" s="8">
        <v>0</v>
      </c>
      <c r="K922" s="2">
        <v>0</v>
      </c>
      <c r="L922" s="8">
        <f t="shared" si="2149"/>
        <v>18</v>
      </c>
      <c r="M922" s="8">
        <f t="shared" si="2150"/>
        <v>1800</v>
      </c>
    </row>
    <row r="923" spans="1:13" ht="15" customHeight="1" x14ac:dyDescent="0.25">
      <c r="A923" s="24">
        <v>43920</v>
      </c>
      <c r="B923" s="29" t="s">
        <v>19</v>
      </c>
      <c r="C923" s="11">
        <v>100</v>
      </c>
      <c r="D923" s="11" t="s">
        <v>11</v>
      </c>
      <c r="E923" s="11">
        <v>43270</v>
      </c>
      <c r="F923" s="11">
        <v>43220</v>
      </c>
      <c r="G923" s="34">
        <v>43120</v>
      </c>
      <c r="H923" s="35">
        <v>0</v>
      </c>
      <c r="I923" s="8">
        <f t="shared" si="2148"/>
        <v>5000</v>
      </c>
      <c r="J923" s="8">
        <f>C923*100</f>
        <v>10000</v>
      </c>
      <c r="K923" s="2">
        <v>0</v>
      </c>
      <c r="L923" s="8">
        <f t="shared" si="2149"/>
        <v>150</v>
      </c>
      <c r="M923" s="8">
        <f t="shared" si="2150"/>
        <v>15000</v>
      </c>
    </row>
    <row r="924" spans="1:13" ht="15" customHeight="1" x14ac:dyDescent="0.25">
      <c r="A924" s="24">
        <v>43920</v>
      </c>
      <c r="B924" s="29" t="s">
        <v>16</v>
      </c>
      <c r="C924" s="11">
        <v>100</v>
      </c>
      <c r="D924" s="11" t="s">
        <v>11</v>
      </c>
      <c r="E924" s="11">
        <v>1610</v>
      </c>
      <c r="F924" s="11">
        <v>1637</v>
      </c>
      <c r="G924" s="34">
        <v>0</v>
      </c>
      <c r="H924" s="35">
        <v>0</v>
      </c>
      <c r="I924" s="8">
        <f t="shared" si="2148"/>
        <v>-2700</v>
      </c>
      <c r="J924" s="8">
        <v>0</v>
      </c>
      <c r="K924" s="2">
        <v>0</v>
      </c>
      <c r="L924" s="8">
        <f t="shared" si="2149"/>
        <v>-27</v>
      </c>
      <c r="M924" s="8">
        <f t="shared" si="2150"/>
        <v>-2700</v>
      </c>
    </row>
    <row r="925" spans="1:13" ht="15" customHeight="1" x14ac:dyDescent="0.25">
      <c r="A925" s="24">
        <v>43917</v>
      </c>
      <c r="B925" s="29" t="s">
        <v>16</v>
      </c>
      <c r="C925" s="11">
        <v>100</v>
      </c>
      <c r="D925" s="11" t="s">
        <v>11</v>
      </c>
      <c r="E925" s="11">
        <v>1732</v>
      </c>
      <c r="F925" s="11">
        <v>1712</v>
      </c>
      <c r="G925" s="34">
        <v>0</v>
      </c>
      <c r="H925" s="35">
        <v>0</v>
      </c>
      <c r="I925" s="8">
        <f t="shared" si="2148"/>
        <v>2000</v>
      </c>
      <c r="J925" s="8">
        <v>0</v>
      </c>
      <c r="K925" s="2">
        <v>0</v>
      </c>
      <c r="L925" s="8">
        <f t="shared" si="2149"/>
        <v>20</v>
      </c>
      <c r="M925" s="8">
        <f t="shared" si="2150"/>
        <v>2000</v>
      </c>
    </row>
    <row r="926" spans="1:13" ht="15" customHeight="1" x14ac:dyDescent="0.25">
      <c r="A926" s="24">
        <v>43917</v>
      </c>
      <c r="B926" s="29" t="s">
        <v>71</v>
      </c>
      <c r="C926" s="11">
        <v>1000</v>
      </c>
      <c r="D926" s="11" t="s">
        <v>11</v>
      </c>
      <c r="E926" s="11">
        <v>144.6</v>
      </c>
      <c r="F926" s="11">
        <v>144</v>
      </c>
      <c r="G926" s="34">
        <v>143</v>
      </c>
      <c r="H926" s="35">
        <v>142</v>
      </c>
      <c r="I926" s="8">
        <f t="shared" si="2148"/>
        <v>599.99999999999432</v>
      </c>
      <c r="J926" s="8">
        <f>C926*1</f>
        <v>1000</v>
      </c>
      <c r="K926" s="2">
        <f>C926*1</f>
        <v>1000</v>
      </c>
      <c r="L926" s="8">
        <f t="shared" si="2149"/>
        <v>2.5999999999999948</v>
      </c>
      <c r="M926" s="8">
        <f t="shared" si="2150"/>
        <v>2599.9999999999945</v>
      </c>
    </row>
    <row r="927" spans="1:13" ht="15" customHeight="1" x14ac:dyDescent="0.25">
      <c r="A927" s="24">
        <v>43917</v>
      </c>
      <c r="B927" s="29" t="s">
        <v>19</v>
      </c>
      <c r="C927" s="11">
        <v>100</v>
      </c>
      <c r="D927" s="11" t="s">
        <v>10</v>
      </c>
      <c r="E927" s="11">
        <v>43500</v>
      </c>
      <c r="F927" s="11">
        <v>43547</v>
      </c>
      <c r="G927" s="34">
        <v>43650</v>
      </c>
      <c r="H927" s="35">
        <v>0</v>
      </c>
      <c r="I927" s="8">
        <f t="shared" si="2148"/>
        <v>4700</v>
      </c>
      <c r="J927" s="8">
        <f>C927*103</f>
        <v>10300</v>
      </c>
      <c r="K927" s="2">
        <v>0</v>
      </c>
      <c r="L927" s="8">
        <f t="shared" si="2149"/>
        <v>150</v>
      </c>
      <c r="M927" s="8">
        <f t="shared" si="2150"/>
        <v>15000</v>
      </c>
    </row>
    <row r="928" spans="1:13" ht="15" customHeight="1" x14ac:dyDescent="0.25">
      <c r="A928" s="24">
        <v>43916</v>
      </c>
      <c r="B928" s="29" t="s">
        <v>16</v>
      </c>
      <c r="C928" s="11">
        <v>100</v>
      </c>
      <c r="D928" s="11" t="s">
        <v>11</v>
      </c>
      <c r="E928" s="11">
        <v>1905</v>
      </c>
      <c r="F928" s="11">
        <v>1885</v>
      </c>
      <c r="G928" s="34">
        <v>0</v>
      </c>
      <c r="H928" s="35">
        <v>0</v>
      </c>
      <c r="I928" s="8">
        <f t="shared" si="2148"/>
        <v>2000</v>
      </c>
      <c r="J928" s="8">
        <v>0</v>
      </c>
      <c r="K928" s="2">
        <v>0</v>
      </c>
      <c r="L928" s="8">
        <f t="shared" si="2149"/>
        <v>20</v>
      </c>
      <c r="M928" s="8">
        <f t="shared" si="2150"/>
        <v>2000</v>
      </c>
    </row>
    <row r="929" spans="1:13" ht="15" customHeight="1" x14ac:dyDescent="0.25">
      <c r="A929" s="24">
        <v>43916</v>
      </c>
      <c r="B929" s="29" t="s">
        <v>52</v>
      </c>
      <c r="C929" s="11">
        <v>1250</v>
      </c>
      <c r="D929" s="11" t="s">
        <v>11</v>
      </c>
      <c r="E929" s="11">
        <v>124.1</v>
      </c>
      <c r="F929" s="11">
        <v>123</v>
      </c>
      <c r="G929" s="34">
        <v>0</v>
      </c>
      <c r="H929" s="35">
        <v>0</v>
      </c>
      <c r="I929" s="8">
        <f t="shared" si="2148"/>
        <v>1374.999999999993</v>
      </c>
      <c r="J929" s="8">
        <v>0</v>
      </c>
      <c r="K929" s="2">
        <v>0</v>
      </c>
      <c r="L929" s="8">
        <f t="shared" si="2149"/>
        <v>1.0999999999999943</v>
      </c>
      <c r="M929" s="8">
        <f t="shared" si="2150"/>
        <v>1374.999999999993</v>
      </c>
    </row>
    <row r="930" spans="1:13" ht="15" customHeight="1" x14ac:dyDescent="0.25">
      <c r="A930" s="24">
        <v>43916</v>
      </c>
      <c r="B930" s="29" t="s">
        <v>14</v>
      </c>
      <c r="C930" s="11">
        <v>30</v>
      </c>
      <c r="D930" s="11" t="s">
        <v>11</v>
      </c>
      <c r="E930" s="11">
        <v>40800</v>
      </c>
      <c r="F930" s="11">
        <v>41090</v>
      </c>
      <c r="G930" s="34">
        <v>0</v>
      </c>
      <c r="H930" s="35">
        <v>0</v>
      </c>
      <c r="I930" s="8">
        <f t="shared" si="2148"/>
        <v>-8700</v>
      </c>
      <c r="J930" s="8">
        <v>0</v>
      </c>
      <c r="K930" s="2">
        <v>0</v>
      </c>
      <c r="L930" s="8">
        <f t="shared" si="2149"/>
        <v>-290</v>
      </c>
      <c r="M930" s="8">
        <f t="shared" si="2150"/>
        <v>-8700</v>
      </c>
    </row>
    <row r="931" spans="1:13" ht="15" customHeight="1" x14ac:dyDescent="0.25">
      <c r="A931" s="24">
        <v>43915</v>
      </c>
      <c r="B931" s="29" t="s">
        <v>16</v>
      </c>
      <c r="C931" s="11">
        <v>100</v>
      </c>
      <c r="D931" s="11" t="s">
        <v>10</v>
      </c>
      <c r="E931" s="11">
        <v>1965</v>
      </c>
      <c r="F931" s="11">
        <v>1933</v>
      </c>
      <c r="G931" s="34">
        <v>0</v>
      </c>
      <c r="H931" s="35">
        <v>0</v>
      </c>
      <c r="I931" s="8">
        <f t="shared" si="2148"/>
        <v>-3200</v>
      </c>
      <c r="J931" s="8">
        <v>0</v>
      </c>
      <c r="K931" s="2">
        <v>0</v>
      </c>
      <c r="L931" s="8">
        <f t="shared" si="2149"/>
        <v>-32</v>
      </c>
      <c r="M931" s="8">
        <f t="shared" si="2150"/>
        <v>-3200</v>
      </c>
    </row>
    <row r="932" spans="1:13" ht="15" customHeight="1" x14ac:dyDescent="0.25">
      <c r="A932" s="24">
        <v>43915</v>
      </c>
      <c r="B932" s="29" t="s">
        <v>19</v>
      </c>
      <c r="C932" s="11">
        <v>100</v>
      </c>
      <c r="D932" s="11" t="s">
        <v>10</v>
      </c>
      <c r="E932" s="11">
        <v>41930</v>
      </c>
      <c r="F932" s="11">
        <v>41990</v>
      </c>
      <c r="G932" s="34">
        <v>42080</v>
      </c>
      <c r="H932" s="35">
        <v>0</v>
      </c>
      <c r="I932" s="8">
        <f t="shared" si="2148"/>
        <v>6000</v>
      </c>
      <c r="J932" s="8">
        <f>C932*90</f>
        <v>9000</v>
      </c>
      <c r="K932" s="2">
        <v>0</v>
      </c>
      <c r="L932" s="8">
        <f t="shared" si="2149"/>
        <v>150</v>
      </c>
      <c r="M932" s="8">
        <f t="shared" si="2150"/>
        <v>15000</v>
      </c>
    </row>
    <row r="933" spans="1:13" ht="15" customHeight="1" x14ac:dyDescent="0.25">
      <c r="A933" s="24">
        <v>43913</v>
      </c>
      <c r="B933" s="29" t="s">
        <v>16</v>
      </c>
      <c r="C933" s="11">
        <v>100</v>
      </c>
      <c r="D933" s="11" t="s">
        <v>11</v>
      </c>
      <c r="E933" s="11">
        <v>1775</v>
      </c>
      <c r="F933" s="11">
        <v>1755</v>
      </c>
      <c r="G933" s="34">
        <v>0</v>
      </c>
      <c r="H933" s="35">
        <v>0</v>
      </c>
      <c r="I933" s="8">
        <f t="shared" si="2148"/>
        <v>2000</v>
      </c>
      <c r="J933" s="8">
        <v>0</v>
      </c>
      <c r="K933" s="2">
        <v>0</v>
      </c>
      <c r="L933" s="8">
        <f t="shared" si="2149"/>
        <v>20</v>
      </c>
      <c r="M933" s="8">
        <f t="shared" si="2150"/>
        <v>2000</v>
      </c>
    </row>
    <row r="934" spans="1:13" ht="15" customHeight="1" x14ac:dyDescent="0.25">
      <c r="A934" s="24">
        <v>43913</v>
      </c>
      <c r="B934" s="29" t="s">
        <v>14</v>
      </c>
      <c r="C934" s="11">
        <v>30</v>
      </c>
      <c r="D934" s="11" t="s">
        <v>11</v>
      </c>
      <c r="E934" s="11">
        <v>35900</v>
      </c>
      <c r="F934" s="11">
        <v>35800</v>
      </c>
      <c r="G934" s="34">
        <v>0</v>
      </c>
      <c r="H934" s="35">
        <v>0</v>
      </c>
      <c r="I934" s="8">
        <f t="shared" si="2148"/>
        <v>3000</v>
      </c>
      <c r="J934" s="8">
        <v>0</v>
      </c>
      <c r="K934" s="2">
        <v>0</v>
      </c>
      <c r="L934" s="8">
        <f t="shared" si="2149"/>
        <v>100</v>
      </c>
      <c r="M934" s="8">
        <f t="shared" si="2150"/>
        <v>3000</v>
      </c>
    </row>
    <row r="935" spans="1:13" ht="15" customHeight="1" x14ac:dyDescent="0.25">
      <c r="A935" s="24">
        <v>43913</v>
      </c>
      <c r="B935" s="29" t="s">
        <v>19</v>
      </c>
      <c r="C935" s="11">
        <v>100</v>
      </c>
      <c r="D935" s="11" t="s">
        <v>11</v>
      </c>
      <c r="E935" s="11">
        <v>40480</v>
      </c>
      <c r="F935" s="11">
        <v>40430</v>
      </c>
      <c r="G935" s="34">
        <v>40350</v>
      </c>
      <c r="H935" s="35">
        <v>40250</v>
      </c>
      <c r="I935" s="8">
        <f t="shared" si="2148"/>
        <v>5000</v>
      </c>
      <c r="J935" s="8">
        <f>C935*80</f>
        <v>8000</v>
      </c>
      <c r="K935" s="2">
        <f>C935*100</f>
        <v>10000</v>
      </c>
      <c r="L935" s="8">
        <f t="shared" si="2149"/>
        <v>230</v>
      </c>
      <c r="M935" s="8">
        <f t="shared" si="2150"/>
        <v>23000</v>
      </c>
    </row>
    <row r="936" spans="1:13" ht="15" customHeight="1" x14ac:dyDescent="0.25">
      <c r="A936" s="24">
        <v>43910</v>
      </c>
      <c r="B936" s="29" t="s">
        <v>19</v>
      </c>
      <c r="C936" s="11">
        <v>100</v>
      </c>
      <c r="D936" s="11" t="s">
        <v>11</v>
      </c>
      <c r="E936" s="11">
        <v>40570</v>
      </c>
      <c r="F936" s="11">
        <v>40520</v>
      </c>
      <c r="G936" s="34">
        <v>40470</v>
      </c>
      <c r="H936" s="35">
        <v>0</v>
      </c>
      <c r="I936" s="8">
        <f t="shared" si="2148"/>
        <v>5000</v>
      </c>
      <c r="J936" s="8">
        <f>C936*50</f>
        <v>5000</v>
      </c>
      <c r="K936" s="2">
        <v>0</v>
      </c>
      <c r="L936" s="8">
        <f t="shared" si="2149"/>
        <v>100</v>
      </c>
      <c r="M936" s="8">
        <f t="shared" si="2150"/>
        <v>10000</v>
      </c>
    </row>
    <row r="937" spans="1:13" ht="15" customHeight="1" x14ac:dyDescent="0.25">
      <c r="A937" s="24">
        <v>43910</v>
      </c>
      <c r="B937" s="29" t="s">
        <v>16</v>
      </c>
      <c r="C937" s="11">
        <v>100</v>
      </c>
      <c r="D937" s="11" t="s">
        <v>10</v>
      </c>
      <c r="E937" s="11">
        <v>2135</v>
      </c>
      <c r="F937" s="11">
        <v>2155</v>
      </c>
      <c r="G937" s="34">
        <v>0</v>
      </c>
      <c r="H937" s="35">
        <v>0</v>
      </c>
      <c r="I937" s="8">
        <f t="shared" si="2148"/>
        <v>2000</v>
      </c>
      <c r="J937" s="8">
        <v>0</v>
      </c>
      <c r="K937" s="2">
        <v>0</v>
      </c>
      <c r="L937" s="8">
        <f t="shared" si="2149"/>
        <v>20</v>
      </c>
      <c r="M937" s="8">
        <f t="shared" si="2150"/>
        <v>2000</v>
      </c>
    </row>
    <row r="938" spans="1:13" ht="15" customHeight="1" x14ac:dyDescent="0.25">
      <c r="A938" s="24">
        <v>43910</v>
      </c>
      <c r="B938" s="29" t="s">
        <v>72</v>
      </c>
      <c r="C938" s="11">
        <v>1000</v>
      </c>
      <c r="D938" s="11" t="s">
        <v>10</v>
      </c>
      <c r="E938" s="11">
        <v>134.69999999999999</v>
      </c>
      <c r="F938" s="11">
        <v>135.30000000000001</v>
      </c>
      <c r="G938" s="34">
        <v>136</v>
      </c>
      <c r="H938" s="35">
        <v>136.80000000000001</v>
      </c>
      <c r="I938" s="8">
        <f t="shared" si="2148"/>
        <v>600.00000000002274</v>
      </c>
      <c r="J938" s="8">
        <f>C938*0.7</f>
        <v>700</v>
      </c>
      <c r="K938" s="2">
        <f>C938*0.8</f>
        <v>800</v>
      </c>
      <c r="L938" s="8">
        <f t="shared" si="2149"/>
        <v>2.1000000000000227</v>
      </c>
      <c r="M938" s="8">
        <f t="shared" si="2150"/>
        <v>2100.0000000000227</v>
      </c>
    </row>
    <row r="939" spans="1:13" ht="15" customHeight="1" x14ac:dyDescent="0.25">
      <c r="A939" s="24">
        <v>43910</v>
      </c>
      <c r="B939" s="29" t="s">
        <v>19</v>
      </c>
      <c r="C939" s="11">
        <v>100</v>
      </c>
      <c r="D939" s="11" t="s">
        <v>10</v>
      </c>
      <c r="E939" s="11">
        <v>40400</v>
      </c>
      <c r="F939" s="11">
        <v>40500</v>
      </c>
      <c r="G939" s="34">
        <v>40663</v>
      </c>
      <c r="H939" s="35">
        <v>0</v>
      </c>
      <c r="I939" s="8">
        <f t="shared" si="2148"/>
        <v>10000</v>
      </c>
      <c r="J939" s="8">
        <f>C939*163</f>
        <v>16300</v>
      </c>
      <c r="K939" s="2">
        <v>0</v>
      </c>
      <c r="L939" s="8">
        <f t="shared" si="2149"/>
        <v>263</v>
      </c>
      <c r="M939" s="8">
        <f t="shared" si="2150"/>
        <v>26300</v>
      </c>
    </row>
    <row r="940" spans="1:13" ht="15" customHeight="1" x14ac:dyDescent="0.25">
      <c r="A940" s="24">
        <v>43910</v>
      </c>
      <c r="B940" s="29" t="s">
        <v>14</v>
      </c>
      <c r="C940" s="11">
        <v>30</v>
      </c>
      <c r="D940" s="11" t="s">
        <v>10</v>
      </c>
      <c r="E940" s="11">
        <v>36260</v>
      </c>
      <c r="F940" s="11">
        <v>36380</v>
      </c>
      <c r="G940" s="34">
        <v>36600</v>
      </c>
      <c r="H940" s="35">
        <v>0</v>
      </c>
      <c r="I940" s="8">
        <f t="shared" si="2148"/>
        <v>3600</v>
      </c>
      <c r="J940" s="8">
        <f>C940*220</f>
        <v>6600</v>
      </c>
      <c r="K940" s="2">
        <v>0</v>
      </c>
      <c r="L940" s="8">
        <f t="shared" si="2149"/>
        <v>340</v>
      </c>
      <c r="M940" s="8">
        <f t="shared" si="2150"/>
        <v>10200</v>
      </c>
    </row>
    <row r="941" spans="1:13" ht="15" customHeight="1" x14ac:dyDescent="0.25">
      <c r="A941" s="24">
        <v>43910</v>
      </c>
      <c r="B941" s="29" t="s">
        <v>21</v>
      </c>
      <c r="C941" s="11">
        <v>1500</v>
      </c>
      <c r="D941" s="11" t="s">
        <v>10</v>
      </c>
      <c r="E941" s="11">
        <v>866</v>
      </c>
      <c r="F941" s="11">
        <v>871</v>
      </c>
      <c r="G941" s="34">
        <v>878</v>
      </c>
      <c r="H941" s="35">
        <v>0</v>
      </c>
      <c r="I941" s="8">
        <f t="shared" si="2148"/>
        <v>7500</v>
      </c>
      <c r="J941" s="8">
        <f>C941*7</f>
        <v>10500</v>
      </c>
      <c r="K941" s="2">
        <v>0</v>
      </c>
      <c r="L941" s="8">
        <f t="shared" si="2149"/>
        <v>12</v>
      </c>
      <c r="M941" s="8">
        <f t="shared" si="2150"/>
        <v>18000</v>
      </c>
    </row>
    <row r="942" spans="1:13" ht="15" customHeight="1" x14ac:dyDescent="0.25">
      <c r="A942" s="24">
        <v>43910</v>
      </c>
      <c r="B942" s="29" t="s">
        <v>71</v>
      </c>
      <c r="C942" s="11">
        <v>1000</v>
      </c>
      <c r="D942" s="11" t="s">
        <v>10</v>
      </c>
      <c r="E942" s="11">
        <v>145.19999999999999</v>
      </c>
      <c r="F942" s="11">
        <v>145.80000000000001</v>
      </c>
      <c r="G942" s="34">
        <v>146.6</v>
      </c>
      <c r="H942" s="35">
        <v>147.6</v>
      </c>
      <c r="I942" s="8">
        <f t="shared" si="2148"/>
        <v>600.00000000002274</v>
      </c>
      <c r="J942" s="8">
        <f>C942*0.8</f>
        <v>800</v>
      </c>
      <c r="K942" s="2">
        <f>C942*1</f>
        <v>1000</v>
      </c>
      <c r="L942" s="8">
        <f t="shared" si="2149"/>
        <v>2.4000000000000226</v>
      </c>
      <c r="M942" s="8">
        <f t="shared" si="2150"/>
        <v>2400.0000000000227</v>
      </c>
    </row>
    <row r="943" spans="1:13" ht="15" customHeight="1" x14ac:dyDescent="0.25">
      <c r="A943" s="24">
        <v>43910</v>
      </c>
      <c r="B943" s="29" t="s">
        <v>19</v>
      </c>
      <c r="C943" s="11">
        <v>100</v>
      </c>
      <c r="D943" s="11" t="s">
        <v>10</v>
      </c>
      <c r="E943" s="11">
        <v>40170</v>
      </c>
      <c r="F943" s="11">
        <v>40220</v>
      </c>
      <c r="G943" s="34">
        <v>40300</v>
      </c>
      <c r="H943" s="35">
        <v>40400</v>
      </c>
      <c r="I943" s="8">
        <f t="shared" si="2148"/>
        <v>5000</v>
      </c>
      <c r="J943" s="8">
        <f>C943*80</f>
        <v>8000</v>
      </c>
      <c r="K943" s="2">
        <f>C943*100</f>
        <v>10000</v>
      </c>
      <c r="L943" s="8">
        <f t="shared" si="2149"/>
        <v>230</v>
      </c>
      <c r="M943" s="8">
        <f t="shared" si="2150"/>
        <v>23000</v>
      </c>
    </row>
    <row r="944" spans="1:13" ht="15" customHeight="1" x14ac:dyDescent="0.25">
      <c r="A944" s="24">
        <v>43909</v>
      </c>
      <c r="B944" s="29" t="s">
        <v>71</v>
      </c>
      <c r="C944" s="11">
        <v>1000</v>
      </c>
      <c r="D944" s="11" t="s">
        <v>10</v>
      </c>
      <c r="E944" s="11">
        <v>137.69999999999999</v>
      </c>
      <c r="F944" s="11">
        <v>138.30000000000001</v>
      </c>
      <c r="G944" s="34">
        <v>139.30000000000001</v>
      </c>
      <c r="H944" s="35">
        <v>0</v>
      </c>
      <c r="I944" s="8">
        <f t="shared" si="2148"/>
        <v>600.00000000002274</v>
      </c>
      <c r="J944" s="8">
        <f>C944*1</f>
        <v>1000</v>
      </c>
      <c r="K944" s="2">
        <v>0</v>
      </c>
      <c r="L944" s="8">
        <f t="shared" si="2149"/>
        <v>1.6000000000000227</v>
      </c>
      <c r="M944" s="8">
        <f t="shared" si="2150"/>
        <v>1600.0000000000227</v>
      </c>
    </row>
    <row r="945" spans="1:13" ht="15" customHeight="1" x14ac:dyDescent="0.25">
      <c r="A945" s="24">
        <v>43909</v>
      </c>
      <c r="B945" s="29" t="s">
        <v>21</v>
      </c>
      <c r="C945" s="11">
        <v>1500</v>
      </c>
      <c r="D945" s="11" t="s">
        <v>10</v>
      </c>
      <c r="E945" s="11">
        <v>862</v>
      </c>
      <c r="F945" s="11">
        <v>867</v>
      </c>
      <c r="G945" s="34">
        <v>0</v>
      </c>
      <c r="H945" s="35">
        <v>0</v>
      </c>
      <c r="I945" s="8">
        <f t="shared" si="2148"/>
        <v>7500</v>
      </c>
      <c r="J945" s="8">
        <v>0</v>
      </c>
      <c r="K945" s="2">
        <v>0</v>
      </c>
      <c r="L945" s="8">
        <f t="shared" si="2149"/>
        <v>5</v>
      </c>
      <c r="M945" s="8">
        <f t="shared" si="2150"/>
        <v>7500</v>
      </c>
    </row>
    <row r="946" spans="1:13" ht="15" customHeight="1" x14ac:dyDescent="0.25">
      <c r="A946" s="24">
        <v>43909</v>
      </c>
      <c r="B946" s="29" t="s">
        <v>72</v>
      </c>
      <c r="C946" s="11">
        <v>1000</v>
      </c>
      <c r="D946" s="11" t="s">
        <v>10</v>
      </c>
      <c r="E946" s="11">
        <v>128.6</v>
      </c>
      <c r="F946" s="11">
        <v>129.1</v>
      </c>
      <c r="G946" s="34">
        <v>129.6</v>
      </c>
      <c r="H946" s="35">
        <v>130.1</v>
      </c>
      <c r="I946" s="8">
        <f t="shared" si="2148"/>
        <v>500</v>
      </c>
      <c r="J946" s="8">
        <f>C946*0.4</f>
        <v>400</v>
      </c>
      <c r="K946" s="2">
        <f>C946*0.5</f>
        <v>500</v>
      </c>
      <c r="L946" s="8">
        <f t="shared" si="2149"/>
        <v>1.4</v>
      </c>
      <c r="M946" s="8">
        <f t="shared" si="2150"/>
        <v>1400</v>
      </c>
    </row>
    <row r="947" spans="1:13" ht="15" customHeight="1" x14ac:dyDescent="0.25">
      <c r="A947" s="24">
        <v>43909</v>
      </c>
      <c r="B947" s="29" t="s">
        <v>19</v>
      </c>
      <c r="C947" s="11">
        <v>100</v>
      </c>
      <c r="D947" s="11" t="s">
        <v>10</v>
      </c>
      <c r="E947" s="11">
        <v>39890</v>
      </c>
      <c r="F947" s="11">
        <v>39950</v>
      </c>
      <c r="G947" s="34">
        <v>40099</v>
      </c>
      <c r="H947" s="35">
        <v>0</v>
      </c>
      <c r="I947" s="8">
        <f t="shared" si="2148"/>
        <v>6000</v>
      </c>
      <c r="J947" s="8">
        <f>C947*149</f>
        <v>14900</v>
      </c>
      <c r="K947" s="2">
        <v>0</v>
      </c>
      <c r="L947" s="8">
        <f t="shared" si="2149"/>
        <v>209</v>
      </c>
      <c r="M947" s="8">
        <f t="shared" si="2150"/>
        <v>20900</v>
      </c>
    </row>
    <row r="948" spans="1:13" ht="15" customHeight="1" x14ac:dyDescent="0.25">
      <c r="A948" s="24">
        <v>43909</v>
      </c>
      <c r="B948" s="29" t="s">
        <v>19</v>
      </c>
      <c r="C948" s="11">
        <v>100</v>
      </c>
      <c r="D948" s="11" t="s">
        <v>11</v>
      </c>
      <c r="E948" s="11">
        <v>39600</v>
      </c>
      <c r="F948" s="11">
        <v>39690</v>
      </c>
      <c r="G948" s="34">
        <v>0</v>
      </c>
      <c r="H948" s="35">
        <v>0</v>
      </c>
      <c r="I948" s="8">
        <f t="shared" si="2148"/>
        <v>-9000</v>
      </c>
      <c r="J948" s="8">
        <v>0</v>
      </c>
      <c r="K948" s="2">
        <v>0</v>
      </c>
      <c r="L948" s="8">
        <f t="shared" si="2149"/>
        <v>-90</v>
      </c>
      <c r="M948" s="8">
        <f t="shared" si="2150"/>
        <v>-9000</v>
      </c>
    </row>
    <row r="949" spans="1:13" ht="15" customHeight="1" x14ac:dyDescent="0.25">
      <c r="A949" s="24">
        <v>43909</v>
      </c>
      <c r="B949" s="29" t="s">
        <v>16</v>
      </c>
      <c r="C949" s="11">
        <v>100</v>
      </c>
      <c r="D949" s="11" t="s">
        <v>10</v>
      </c>
      <c r="E949" s="11">
        <v>1760</v>
      </c>
      <c r="F949" s="11">
        <v>1720</v>
      </c>
      <c r="G949" s="34">
        <v>0</v>
      </c>
      <c r="H949" s="35">
        <v>0</v>
      </c>
      <c r="I949" s="8">
        <f t="shared" si="2148"/>
        <v>-4000</v>
      </c>
      <c r="J949" s="8">
        <v>0</v>
      </c>
      <c r="K949" s="2">
        <v>0</v>
      </c>
      <c r="L949" s="8">
        <f t="shared" si="2149"/>
        <v>-40</v>
      </c>
      <c r="M949" s="8">
        <f t="shared" si="2150"/>
        <v>-4000</v>
      </c>
    </row>
    <row r="950" spans="1:13" ht="15" customHeight="1" x14ac:dyDescent="0.25">
      <c r="A950" s="24">
        <v>43908</v>
      </c>
      <c r="B950" s="29" t="s">
        <v>19</v>
      </c>
      <c r="C950" s="11">
        <v>100</v>
      </c>
      <c r="D950" s="11" t="s">
        <v>11</v>
      </c>
      <c r="E950" s="11">
        <v>39400</v>
      </c>
      <c r="F950" s="11">
        <v>39480</v>
      </c>
      <c r="G950" s="34">
        <v>0</v>
      </c>
      <c r="H950" s="35">
        <v>0</v>
      </c>
      <c r="I950" s="8">
        <f t="shared" si="2148"/>
        <v>-8000</v>
      </c>
      <c r="J950" s="8">
        <v>0</v>
      </c>
      <c r="K950" s="2">
        <v>0</v>
      </c>
      <c r="L950" s="8">
        <f t="shared" si="2149"/>
        <v>-80</v>
      </c>
      <c r="M950" s="8">
        <f t="shared" si="2150"/>
        <v>-8000</v>
      </c>
    </row>
    <row r="951" spans="1:13" ht="15" customHeight="1" x14ac:dyDescent="0.25">
      <c r="A951" s="24">
        <v>43908</v>
      </c>
      <c r="B951" s="29" t="s">
        <v>21</v>
      </c>
      <c r="C951" s="11">
        <v>1500</v>
      </c>
      <c r="D951" s="11" t="s">
        <v>11</v>
      </c>
      <c r="E951" s="11">
        <v>860</v>
      </c>
      <c r="F951" s="11">
        <v>855</v>
      </c>
      <c r="G951" s="34">
        <v>0</v>
      </c>
      <c r="H951" s="35">
        <v>0</v>
      </c>
      <c r="I951" s="8">
        <f t="shared" si="2148"/>
        <v>7500</v>
      </c>
      <c r="J951" s="8">
        <v>0</v>
      </c>
      <c r="K951" s="2">
        <v>0</v>
      </c>
      <c r="L951" s="8">
        <f t="shared" si="2149"/>
        <v>5</v>
      </c>
      <c r="M951" s="8">
        <f t="shared" si="2150"/>
        <v>7500</v>
      </c>
    </row>
    <row r="952" spans="1:13" ht="15" customHeight="1" x14ac:dyDescent="0.25">
      <c r="A952" s="24">
        <v>43908</v>
      </c>
      <c r="B952" s="29" t="s">
        <v>21</v>
      </c>
      <c r="C952" s="11">
        <v>1500</v>
      </c>
      <c r="D952" s="11" t="s">
        <v>11</v>
      </c>
      <c r="E952" s="11">
        <v>872</v>
      </c>
      <c r="F952" s="11">
        <v>867</v>
      </c>
      <c r="G952" s="34">
        <v>862.2</v>
      </c>
      <c r="H952" s="35">
        <v>0</v>
      </c>
      <c r="I952" s="8">
        <f t="shared" si="2148"/>
        <v>7500</v>
      </c>
      <c r="J952" s="8">
        <f>C952*4.8</f>
        <v>7200</v>
      </c>
      <c r="K952" s="2">
        <v>0</v>
      </c>
      <c r="L952" s="8">
        <f t="shared" si="2149"/>
        <v>9.8000000000000007</v>
      </c>
      <c r="M952" s="8">
        <f t="shared" si="2150"/>
        <v>14700.000000000002</v>
      </c>
    </row>
    <row r="953" spans="1:13" ht="15" customHeight="1" x14ac:dyDescent="0.25">
      <c r="A953" s="24">
        <v>43908</v>
      </c>
      <c r="B953" s="29" t="s">
        <v>71</v>
      </c>
      <c r="C953" s="11">
        <v>1000</v>
      </c>
      <c r="D953" s="11" t="s">
        <v>11</v>
      </c>
      <c r="E953" s="11">
        <v>144.1</v>
      </c>
      <c r="F953" s="11">
        <v>143.4</v>
      </c>
      <c r="G953" s="34">
        <v>142.80000000000001</v>
      </c>
      <c r="H953" s="35">
        <v>0</v>
      </c>
      <c r="I953" s="8">
        <f t="shared" si="2148"/>
        <v>699.99999999998863</v>
      </c>
      <c r="J953" s="8">
        <f>C953*0.6</f>
        <v>600</v>
      </c>
      <c r="K953" s="2">
        <v>0</v>
      </c>
      <c r="L953" s="8">
        <f t="shared" si="2149"/>
        <v>1.2999999999999887</v>
      </c>
      <c r="M953" s="8">
        <f t="shared" si="2150"/>
        <v>1299.9999999999886</v>
      </c>
    </row>
    <row r="954" spans="1:13" ht="15" customHeight="1" x14ac:dyDescent="0.25">
      <c r="A954" s="24">
        <v>43908</v>
      </c>
      <c r="B954" s="29" t="s">
        <v>16</v>
      </c>
      <c r="C954" s="11">
        <v>100</v>
      </c>
      <c r="D954" s="11" t="s">
        <v>11</v>
      </c>
      <c r="E954" s="11">
        <v>1975</v>
      </c>
      <c r="F954" s="11">
        <v>1955</v>
      </c>
      <c r="G954" s="34">
        <v>1935</v>
      </c>
      <c r="H954" s="35">
        <v>0</v>
      </c>
      <c r="I954" s="8">
        <f t="shared" si="2148"/>
        <v>2000</v>
      </c>
      <c r="J954" s="8">
        <f>C954*20</f>
        <v>2000</v>
      </c>
      <c r="K954" s="2">
        <v>0</v>
      </c>
      <c r="L954" s="8">
        <f t="shared" si="2149"/>
        <v>40</v>
      </c>
      <c r="M954" s="8">
        <f t="shared" si="2150"/>
        <v>4000</v>
      </c>
    </row>
    <row r="955" spans="1:13" ht="15" customHeight="1" x14ac:dyDescent="0.25">
      <c r="A955" s="24">
        <v>43908</v>
      </c>
      <c r="B955" s="29" t="s">
        <v>19</v>
      </c>
      <c r="C955" s="11">
        <v>100</v>
      </c>
      <c r="D955" s="11" t="s">
        <v>10</v>
      </c>
      <c r="E955" s="11">
        <v>40350</v>
      </c>
      <c r="F955" s="11">
        <v>40260</v>
      </c>
      <c r="G955" s="34">
        <v>0</v>
      </c>
      <c r="H955" s="35">
        <v>0</v>
      </c>
      <c r="I955" s="8">
        <f t="shared" si="2148"/>
        <v>-9000</v>
      </c>
      <c r="J955" s="8">
        <v>0</v>
      </c>
      <c r="K955" s="2">
        <v>0</v>
      </c>
      <c r="L955" s="8">
        <f t="shared" si="2149"/>
        <v>-90</v>
      </c>
      <c r="M955" s="8">
        <f t="shared" si="2150"/>
        <v>-9000</v>
      </c>
    </row>
    <row r="956" spans="1:13" ht="15" customHeight="1" x14ac:dyDescent="0.25">
      <c r="A956" s="24">
        <v>43907</v>
      </c>
      <c r="B956" s="29" t="s">
        <v>14</v>
      </c>
      <c r="C956" s="11">
        <v>30</v>
      </c>
      <c r="D956" s="11" t="s">
        <v>11</v>
      </c>
      <c r="E956" s="11">
        <v>34500</v>
      </c>
      <c r="F956" s="11">
        <v>34400</v>
      </c>
      <c r="G956" s="34">
        <v>0</v>
      </c>
      <c r="H956" s="35">
        <v>0</v>
      </c>
      <c r="I956" s="8">
        <f t="shared" si="2148"/>
        <v>3000</v>
      </c>
      <c r="J956" s="8">
        <v>0</v>
      </c>
      <c r="K956" s="2">
        <v>0</v>
      </c>
      <c r="L956" s="8">
        <f t="shared" si="2149"/>
        <v>100</v>
      </c>
      <c r="M956" s="8">
        <f t="shared" si="2150"/>
        <v>3000</v>
      </c>
    </row>
    <row r="957" spans="1:13" ht="15" customHeight="1" x14ac:dyDescent="0.25">
      <c r="A957" s="24">
        <v>43907</v>
      </c>
      <c r="B957" s="29" t="s">
        <v>71</v>
      </c>
      <c r="C957" s="11">
        <v>1000</v>
      </c>
      <c r="D957" s="11" t="s">
        <v>11</v>
      </c>
      <c r="E957" s="11">
        <v>147.30000000000001</v>
      </c>
      <c r="F957" s="11">
        <v>146.69999999999999</v>
      </c>
      <c r="G957" s="34">
        <v>0</v>
      </c>
      <c r="H957" s="35">
        <v>0</v>
      </c>
      <c r="I957" s="8">
        <f t="shared" si="2148"/>
        <v>600.00000000002274</v>
      </c>
      <c r="J957" s="8">
        <v>0</v>
      </c>
      <c r="K957" s="2">
        <v>0</v>
      </c>
      <c r="L957" s="8">
        <f t="shared" si="2149"/>
        <v>0.60000000000002274</v>
      </c>
      <c r="M957" s="8">
        <f t="shared" si="2150"/>
        <v>600.00000000002274</v>
      </c>
    </row>
    <row r="958" spans="1:13" ht="15" customHeight="1" x14ac:dyDescent="0.25">
      <c r="A958" s="24">
        <v>43907</v>
      </c>
      <c r="B958" s="29" t="s">
        <v>16</v>
      </c>
      <c r="C958" s="11">
        <v>100</v>
      </c>
      <c r="D958" s="11" t="s">
        <v>11</v>
      </c>
      <c r="E958" s="11">
        <v>2160</v>
      </c>
      <c r="F958" s="11">
        <v>2192</v>
      </c>
      <c r="G958" s="34">
        <v>0</v>
      </c>
      <c r="H958" s="35">
        <v>0</v>
      </c>
      <c r="I958" s="8">
        <f t="shared" si="2148"/>
        <v>-3200</v>
      </c>
      <c r="J958" s="8">
        <v>0</v>
      </c>
      <c r="K958" s="2">
        <v>0</v>
      </c>
      <c r="L958" s="8">
        <f t="shared" si="2149"/>
        <v>-32</v>
      </c>
      <c r="M958" s="8">
        <f t="shared" si="2150"/>
        <v>-3200</v>
      </c>
    </row>
    <row r="959" spans="1:13" ht="15" customHeight="1" x14ac:dyDescent="0.25">
      <c r="A959" s="24">
        <v>43906</v>
      </c>
      <c r="B959" s="29" t="s">
        <v>21</v>
      </c>
      <c r="C959" s="11">
        <v>1500</v>
      </c>
      <c r="D959" s="11" t="s">
        <v>11</v>
      </c>
      <c r="E959" s="11">
        <v>890</v>
      </c>
      <c r="F959" s="11">
        <v>885</v>
      </c>
      <c r="G959" s="34">
        <v>880</v>
      </c>
      <c r="H959" s="35">
        <v>0</v>
      </c>
      <c r="I959" s="8">
        <f t="shared" ref="I959:I1022" si="2151">(IF(D959="SELL",E959-F959,IF(D959="BUY",F959-E959)))*C959</f>
        <v>7500</v>
      </c>
      <c r="J959" s="8">
        <f>C959*5</f>
        <v>7500</v>
      </c>
      <c r="K959" s="2">
        <v>0</v>
      </c>
      <c r="L959" s="8">
        <f t="shared" ref="L959:L1022" si="2152">(J959+I959+K959)/C959</f>
        <v>10</v>
      </c>
      <c r="M959" s="8">
        <f t="shared" ref="M959:M1022" si="2153">L959*C959</f>
        <v>15000</v>
      </c>
    </row>
    <row r="960" spans="1:13" ht="15" customHeight="1" x14ac:dyDescent="0.25">
      <c r="A960" s="24">
        <v>43906</v>
      </c>
      <c r="B960" s="29" t="s">
        <v>19</v>
      </c>
      <c r="C960" s="11">
        <v>100</v>
      </c>
      <c r="D960" s="11" t="s">
        <v>11</v>
      </c>
      <c r="E960" s="11">
        <v>39340</v>
      </c>
      <c r="F960" s="11">
        <v>39280</v>
      </c>
      <c r="G960" s="34">
        <v>39170</v>
      </c>
      <c r="H960" s="35">
        <v>39070</v>
      </c>
      <c r="I960" s="8">
        <f t="shared" si="2151"/>
        <v>6000</v>
      </c>
      <c r="J960" s="8">
        <f>C960*110</f>
        <v>11000</v>
      </c>
      <c r="K960" s="2">
        <f>C960*100</f>
        <v>10000</v>
      </c>
      <c r="L960" s="8">
        <f t="shared" si="2152"/>
        <v>270</v>
      </c>
      <c r="M960" s="8">
        <f t="shared" si="2153"/>
        <v>27000</v>
      </c>
    </row>
    <row r="961" spans="1:13" ht="15" customHeight="1" x14ac:dyDescent="0.25">
      <c r="A961" s="24">
        <v>43906</v>
      </c>
      <c r="B961" s="29" t="s">
        <v>16</v>
      </c>
      <c r="C961" s="11">
        <v>100</v>
      </c>
      <c r="D961" s="11" t="s">
        <v>11</v>
      </c>
      <c r="E961" s="11">
        <v>2302</v>
      </c>
      <c r="F961" s="11">
        <v>2282</v>
      </c>
      <c r="G961" s="34">
        <v>2252</v>
      </c>
      <c r="H961" s="35">
        <v>2212</v>
      </c>
      <c r="I961" s="8">
        <f t="shared" si="2151"/>
        <v>2000</v>
      </c>
      <c r="J961" s="8">
        <f>C961*30</f>
        <v>3000</v>
      </c>
      <c r="K961" s="2">
        <f>C961*40</f>
        <v>4000</v>
      </c>
      <c r="L961" s="8">
        <f t="shared" si="2152"/>
        <v>90</v>
      </c>
      <c r="M961" s="8">
        <f t="shared" si="2153"/>
        <v>9000</v>
      </c>
    </row>
    <row r="962" spans="1:13" ht="15" customHeight="1" x14ac:dyDescent="0.25">
      <c r="A962" s="24">
        <v>43903</v>
      </c>
      <c r="B962" s="29" t="s">
        <v>16</v>
      </c>
      <c r="C962" s="11">
        <v>100</v>
      </c>
      <c r="D962" s="11" t="s">
        <v>10</v>
      </c>
      <c r="E962" s="11">
        <v>2400</v>
      </c>
      <c r="F962" s="11">
        <v>2420</v>
      </c>
      <c r="G962" s="34">
        <v>0</v>
      </c>
      <c r="H962" s="35">
        <v>0</v>
      </c>
      <c r="I962" s="8">
        <f t="shared" si="2151"/>
        <v>2000</v>
      </c>
      <c r="J962" s="8">
        <v>0</v>
      </c>
      <c r="K962" s="2">
        <v>0</v>
      </c>
      <c r="L962" s="8">
        <f t="shared" si="2152"/>
        <v>20</v>
      </c>
      <c r="M962" s="8">
        <f t="shared" si="2153"/>
        <v>2000</v>
      </c>
    </row>
    <row r="963" spans="1:13" ht="15" customHeight="1" x14ac:dyDescent="0.25">
      <c r="A963" s="24">
        <v>43902</v>
      </c>
      <c r="B963" s="29" t="s">
        <v>14</v>
      </c>
      <c r="C963" s="11">
        <v>30</v>
      </c>
      <c r="D963" s="11" t="s">
        <v>11</v>
      </c>
      <c r="E963" s="11">
        <v>44520</v>
      </c>
      <c r="F963" s="11">
        <v>44430</v>
      </c>
      <c r="G963" s="34">
        <v>44300</v>
      </c>
      <c r="H963" s="35">
        <v>44100</v>
      </c>
      <c r="I963" s="8">
        <f t="shared" si="2151"/>
        <v>2700</v>
      </c>
      <c r="J963" s="8">
        <f>C963*130</f>
        <v>3900</v>
      </c>
      <c r="K963" s="2">
        <f>C963*200</f>
        <v>6000</v>
      </c>
      <c r="L963" s="8">
        <f t="shared" si="2152"/>
        <v>420</v>
      </c>
      <c r="M963" s="8">
        <f t="shared" si="2153"/>
        <v>12600</v>
      </c>
    </row>
    <row r="964" spans="1:13" ht="15" customHeight="1" x14ac:dyDescent="0.25">
      <c r="A964" s="24">
        <v>43902</v>
      </c>
      <c r="B964" s="29" t="s">
        <v>19</v>
      </c>
      <c r="C964" s="11">
        <v>100</v>
      </c>
      <c r="D964" s="11" t="s">
        <v>10</v>
      </c>
      <c r="E964" s="11">
        <v>43430</v>
      </c>
      <c r="F964" s="11">
        <v>43480</v>
      </c>
      <c r="G964" s="34">
        <v>43570</v>
      </c>
      <c r="H964" s="35">
        <v>0</v>
      </c>
      <c r="I964" s="8">
        <f t="shared" si="2151"/>
        <v>5000</v>
      </c>
      <c r="J964" s="8">
        <f>C964*90</f>
        <v>9000</v>
      </c>
      <c r="K964" s="2">
        <v>0</v>
      </c>
      <c r="L964" s="8">
        <f t="shared" si="2152"/>
        <v>140</v>
      </c>
      <c r="M964" s="8">
        <f t="shared" si="2153"/>
        <v>14000</v>
      </c>
    </row>
    <row r="965" spans="1:13" ht="15" customHeight="1" x14ac:dyDescent="0.25">
      <c r="A965" s="24">
        <v>43901</v>
      </c>
      <c r="B965" s="29" t="s">
        <v>16</v>
      </c>
      <c r="C965" s="11">
        <v>100</v>
      </c>
      <c r="D965" s="11" t="s">
        <v>11</v>
      </c>
      <c r="E965" s="11">
        <v>2474</v>
      </c>
      <c r="F965" s="11">
        <v>2454</v>
      </c>
      <c r="G965" s="34">
        <v>0</v>
      </c>
      <c r="H965" s="35">
        <v>0</v>
      </c>
      <c r="I965" s="8">
        <f t="shared" si="2151"/>
        <v>2000</v>
      </c>
      <c r="J965" s="8">
        <v>0</v>
      </c>
      <c r="K965" s="2">
        <v>0</v>
      </c>
      <c r="L965" s="8">
        <f t="shared" si="2152"/>
        <v>20</v>
      </c>
      <c r="M965" s="8">
        <f t="shared" si="2153"/>
        <v>2000</v>
      </c>
    </row>
    <row r="966" spans="1:13" ht="15" customHeight="1" x14ac:dyDescent="0.25">
      <c r="A966" s="24">
        <v>43899</v>
      </c>
      <c r="B966" s="29" t="s">
        <v>16</v>
      </c>
      <c r="C966" s="11">
        <v>100</v>
      </c>
      <c r="D966" s="11" t="s">
        <v>10</v>
      </c>
      <c r="E966" s="11">
        <v>2315</v>
      </c>
      <c r="F966" s="11">
        <v>2337</v>
      </c>
      <c r="G966" s="34">
        <v>2370</v>
      </c>
      <c r="H966" s="35">
        <v>2410</v>
      </c>
      <c r="I966" s="8">
        <f t="shared" si="2151"/>
        <v>2200</v>
      </c>
      <c r="J966" s="8">
        <f>C966*33</f>
        <v>3300</v>
      </c>
      <c r="K966" s="2">
        <f>C966*40</f>
        <v>4000</v>
      </c>
      <c r="L966" s="8">
        <f t="shared" si="2152"/>
        <v>95</v>
      </c>
      <c r="M966" s="8">
        <f t="shared" si="2153"/>
        <v>9500</v>
      </c>
    </row>
    <row r="967" spans="1:13" ht="15" customHeight="1" x14ac:dyDescent="0.25">
      <c r="A967" s="24">
        <v>43896</v>
      </c>
      <c r="B967" s="29" t="s">
        <v>16</v>
      </c>
      <c r="C967" s="11">
        <v>100</v>
      </c>
      <c r="D967" s="11" t="s">
        <v>11</v>
      </c>
      <c r="E967" s="11">
        <v>3340</v>
      </c>
      <c r="F967" s="11">
        <v>3320</v>
      </c>
      <c r="G967" s="34">
        <v>3290</v>
      </c>
      <c r="H967" s="35">
        <v>3250</v>
      </c>
      <c r="I967" s="8">
        <f t="shared" si="2151"/>
        <v>2000</v>
      </c>
      <c r="J967" s="8">
        <f>C967*30</f>
        <v>3000</v>
      </c>
      <c r="K967" s="2">
        <f>C967*40</f>
        <v>4000</v>
      </c>
      <c r="L967" s="8">
        <f t="shared" si="2152"/>
        <v>90</v>
      </c>
      <c r="M967" s="8">
        <f t="shared" si="2153"/>
        <v>9000</v>
      </c>
    </row>
    <row r="968" spans="1:13" ht="15" customHeight="1" x14ac:dyDescent="0.25">
      <c r="A968" s="24">
        <v>43896</v>
      </c>
      <c r="B968" s="29" t="s">
        <v>19</v>
      </c>
      <c r="C968" s="11">
        <v>100</v>
      </c>
      <c r="D968" s="11" t="s">
        <v>10</v>
      </c>
      <c r="E968" s="11">
        <v>44894</v>
      </c>
      <c r="F968" s="11">
        <v>44810</v>
      </c>
      <c r="G968" s="34">
        <v>0</v>
      </c>
      <c r="H968" s="35">
        <v>0</v>
      </c>
      <c r="I968" s="8">
        <f t="shared" si="2151"/>
        <v>-8400</v>
      </c>
      <c r="J968" s="8">
        <v>0</v>
      </c>
      <c r="K968" s="2">
        <v>0</v>
      </c>
      <c r="L968" s="8">
        <f t="shared" si="2152"/>
        <v>-84</v>
      </c>
      <c r="M968" s="8">
        <f t="shared" si="2153"/>
        <v>-8400</v>
      </c>
    </row>
    <row r="969" spans="1:13" ht="15" customHeight="1" x14ac:dyDescent="0.25">
      <c r="A969" s="24">
        <v>43894</v>
      </c>
      <c r="B969" s="29" t="s">
        <v>16</v>
      </c>
      <c r="C969" s="11">
        <v>100</v>
      </c>
      <c r="D969" s="11" t="s">
        <v>10</v>
      </c>
      <c r="E969" s="11">
        <v>3544</v>
      </c>
      <c r="F969" s="11">
        <v>3510</v>
      </c>
      <c r="G969" s="34">
        <v>0</v>
      </c>
      <c r="H969" s="35">
        <v>0</v>
      </c>
      <c r="I969" s="8">
        <f t="shared" si="2151"/>
        <v>-3400</v>
      </c>
      <c r="J969" s="8">
        <v>0</v>
      </c>
      <c r="K969" s="2">
        <v>0</v>
      </c>
      <c r="L969" s="8">
        <f t="shared" si="2152"/>
        <v>-34</v>
      </c>
      <c r="M969" s="8">
        <f t="shared" si="2153"/>
        <v>-3400</v>
      </c>
    </row>
    <row r="970" spans="1:13" ht="15" customHeight="1" x14ac:dyDescent="0.25">
      <c r="A970" s="24">
        <v>43893</v>
      </c>
      <c r="B970" s="29" t="s">
        <v>16</v>
      </c>
      <c r="C970" s="11">
        <v>100</v>
      </c>
      <c r="D970" s="11" t="s">
        <v>10</v>
      </c>
      <c r="E970" s="11">
        <v>3505</v>
      </c>
      <c r="F970" s="11">
        <v>3525</v>
      </c>
      <c r="G970" s="34">
        <v>3555</v>
      </c>
      <c r="H970" s="35">
        <v>0</v>
      </c>
      <c r="I970" s="8">
        <f t="shared" si="2151"/>
        <v>2000</v>
      </c>
      <c r="J970" s="8">
        <f>C970*30</f>
        <v>3000</v>
      </c>
      <c r="K970" s="2">
        <v>0</v>
      </c>
      <c r="L970" s="8">
        <f t="shared" si="2152"/>
        <v>50</v>
      </c>
      <c r="M970" s="8">
        <f t="shared" si="2153"/>
        <v>5000</v>
      </c>
    </row>
    <row r="971" spans="1:13" ht="15" customHeight="1" x14ac:dyDescent="0.25">
      <c r="A971" s="24">
        <v>43893</v>
      </c>
      <c r="B971" s="29" t="s">
        <v>19</v>
      </c>
      <c r="C971" s="11">
        <v>100</v>
      </c>
      <c r="D971" s="11" t="s">
        <v>10</v>
      </c>
      <c r="E971" s="11">
        <v>42090</v>
      </c>
      <c r="F971" s="11">
        <v>42020</v>
      </c>
      <c r="G971" s="34">
        <v>0</v>
      </c>
      <c r="H971" s="35">
        <v>0</v>
      </c>
      <c r="I971" s="8">
        <f t="shared" si="2151"/>
        <v>-7000</v>
      </c>
      <c r="J971" s="8">
        <v>0</v>
      </c>
      <c r="K971" s="2">
        <v>0</v>
      </c>
      <c r="L971" s="8">
        <f t="shared" si="2152"/>
        <v>-70</v>
      </c>
      <c r="M971" s="8">
        <f t="shared" si="2153"/>
        <v>-7000</v>
      </c>
    </row>
    <row r="972" spans="1:13" ht="15" customHeight="1" x14ac:dyDescent="0.25">
      <c r="A972" s="24">
        <v>43892</v>
      </c>
      <c r="B972" s="29" t="s">
        <v>19</v>
      </c>
      <c r="C972" s="11">
        <v>100</v>
      </c>
      <c r="D972" s="11" t="s">
        <v>10</v>
      </c>
      <c r="E972" s="11">
        <v>42100</v>
      </c>
      <c r="F972" s="11">
        <v>42150</v>
      </c>
      <c r="G972" s="34">
        <v>42250</v>
      </c>
      <c r="H972" s="35">
        <v>0</v>
      </c>
      <c r="I972" s="8">
        <f t="shared" si="2151"/>
        <v>5000</v>
      </c>
      <c r="J972" s="8">
        <f>C972*100</f>
        <v>10000</v>
      </c>
      <c r="K972" s="2">
        <v>0</v>
      </c>
      <c r="L972" s="8">
        <f t="shared" si="2152"/>
        <v>150</v>
      </c>
      <c r="M972" s="8">
        <f t="shared" si="2153"/>
        <v>15000</v>
      </c>
    </row>
    <row r="973" spans="1:13" ht="15" customHeight="1" x14ac:dyDescent="0.25">
      <c r="A973" s="24">
        <v>43892</v>
      </c>
      <c r="B973" s="29" t="s">
        <v>16</v>
      </c>
      <c r="C973" s="11">
        <v>100</v>
      </c>
      <c r="D973" s="11" t="s">
        <v>10</v>
      </c>
      <c r="E973" s="11">
        <v>3360</v>
      </c>
      <c r="F973" s="11">
        <v>3380</v>
      </c>
      <c r="G973" s="34">
        <v>0</v>
      </c>
      <c r="H973" s="35">
        <v>0</v>
      </c>
      <c r="I973" s="8">
        <f t="shared" si="2151"/>
        <v>2000</v>
      </c>
      <c r="J973" s="8">
        <v>0</v>
      </c>
      <c r="K973" s="2">
        <v>0</v>
      </c>
      <c r="L973" s="8">
        <f t="shared" si="2152"/>
        <v>20</v>
      </c>
      <c r="M973" s="8">
        <f t="shared" si="2153"/>
        <v>2000</v>
      </c>
    </row>
    <row r="974" spans="1:13" ht="15" customHeight="1" x14ac:dyDescent="0.25">
      <c r="A974" s="24">
        <v>43889</v>
      </c>
      <c r="B974" s="29" t="s">
        <v>16</v>
      </c>
      <c r="C974" s="11">
        <v>100</v>
      </c>
      <c r="D974" s="11" t="s">
        <v>10</v>
      </c>
      <c r="E974" s="11">
        <v>3327</v>
      </c>
      <c r="F974" s="11">
        <v>3289</v>
      </c>
      <c r="G974" s="34">
        <v>0</v>
      </c>
      <c r="H974" s="35">
        <v>0</v>
      </c>
      <c r="I974" s="8">
        <f t="shared" si="2151"/>
        <v>-3800</v>
      </c>
      <c r="J974" s="8">
        <v>0</v>
      </c>
      <c r="K974" s="2">
        <v>0</v>
      </c>
      <c r="L974" s="8">
        <f t="shared" si="2152"/>
        <v>-38</v>
      </c>
      <c r="M974" s="8">
        <f t="shared" si="2153"/>
        <v>-3800</v>
      </c>
    </row>
    <row r="975" spans="1:13" ht="15" customHeight="1" x14ac:dyDescent="0.25">
      <c r="A975" s="24">
        <v>43888</v>
      </c>
      <c r="B975" s="29" t="s">
        <v>16</v>
      </c>
      <c r="C975" s="11">
        <v>100</v>
      </c>
      <c r="D975" s="11" t="s">
        <v>11</v>
      </c>
      <c r="E975" s="11">
        <v>3375</v>
      </c>
      <c r="F975" s="11">
        <v>3355</v>
      </c>
      <c r="G975" s="34">
        <v>3325</v>
      </c>
      <c r="H975" s="35">
        <v>0</v>
      </c>
      <c r="I975" s="8">
        <f t="shared" si="2151"/>
        <v>2000</v>
      </c>
      <c r="J975" s="8">
        <f>C975*30</f>
        <v>3000</v>
      </c>
      <c r="K975" s="2">
        <v>0</v>
      </c>
      <c r="L975" s="8">
        <f t="shared" si="2152"/>
        <v>50</v>
      </c>
      <c r="M975" s="8">
        <f t="shared" si="2153"/>
        <v>5000</v>
      </c>
    </row>
    <row r="976" spans="1:13" ht="15" customHeight="1" x14ac:dyDescent="0.25">
      <c r="A976" s="24">
        <v>43888</v>
      </c>
      <c r="B976" s="29" t="s">
        <v>19</v>
      </c>
      <c r="C976" s="11">
        <v>100</v>
      </c>
      <c r="D976" s="11" t="s">
        <v>11</v>
      </c>
      <c r="E976" s="11">
        <v>42480</v>
      </c>
      <c r="F976" s="11">
        <v>42560</v>
      </c>
      <c r="G976" s="34">
        <v>0</v>
      </c>
      <c r="H976" s="35">
        <v>0</v>
      </c>
      <c r="I976" s="8">
        <f t="shared" si="2151"/>
        <v>-8000</v>
      </c>
      <c r="J976" s="8">
        <v>0</v>
      </c>
      <c r="K976" s="2">
        <v>0</v>
      </c>
      <c r="L976" s="8">
        <f t="shared" si="2152"/>
        <v>-80</v>
      </c>
      <c r="M976" s="8">
        <f t="shared" si="2153"/>
        <v>-8000</v>
      </c>
    </row>
    <row r="977" spans="1:13" ht="15" customHeight="1" x14ac:dyDescent="0.25">
      <c r="A977" s="24">
        <v>43887</v>
      </c>
      <c r="B977" s="29" t="s">
        <v>16</v>
      </c>
      <c r="C977" s="11">
        <v>100</v>
      </c>
      <c r="D977" s="11" t="s">
        <v>11</v>
      </c>
      <c r="E977" s="11">
        <v>3595</v>
      </c>
      <c r="F977" s="11">
        <v>3575</v>
      </c>
      <c r="G977" s="34">
        <v>3545</v>
      </c>
      <c r="H977" s="35">
        <v>0</v>
      </c>
      <c r="I977" s="8">
        <f t="shared" si="2151"/>
        <v>2000</v>
      </c>
      <c r="J977" s="8">
        <f>C977*30</f>
        <v>3000</v>
      </c>
      <c r="K977" s="2">
        <v>0</v>
      </c>
      <c r="L977" s="8">
        <f t="shared" si="2152"/>
        <v>50</v>
      </c>
      <c r="M977" s="8">
        <f t="shared" si="2153"/>
        <v>5000</v>
      </c>
    </row>
    <row r="978" spans="1:13" ht="15" customHeight="1" x14ac:dyDescent="0.25">
      <c r="A978" s="24">
        <v>43887</v>
      </c>
      <c r="B978" s="29" t="s">
        <v>19</v>
      </c>
      <c r="C978" s="11">
        <v>100</v>
      </c>
      <c r="D978" s="11" t="s">
        <v>10</v>
      </c>
      <c r="E978" s="11">
        <v>42800</v>
      </c>
      <c r="F978" s="11">
        <v>42840</v>
      </c>
      <c r="G978" s="34">
        <v>0</v>
      </c>
      <c r="H978" s="35">
        <v>0</v>
      </c>
      <c r="I978" s="8">
        <f t="shared" si="2151"/>
        <v>4000</v>
      </c>
      <c r="J978" s="8">
        <v>0</v>
      </c>
      <c r="K978" s="2">
        <v>0</v>
      </c>
      <c r="L978" s="8">
        <f t="shared" si="2152"/>
        <v>40</v>
      </c>
      <c r="M978" s="8">
        <f t="shared" si="2153"/>
        <v>4000</v>
      </c>
    </row>
    <row r="979" spans="1:13" ht="15" customHeight="1" x14ac:dyDescent="0.25">
      <c r="A979" s="24">
        <v>43886</v>
      </c>
      <c r="B979" s="29" t="s">
        <v>19</v>
      </c>
      <c r="C979" s="11">
        <v>100</v>
      </c>
      <c r="D979" s="11" t="s">
        <v>11</v>
      </c>
      <c r="E979" s="11">
        <v>42730</v>
      </c>
      <c r="F979" s="11">
        <v>42690</v>
      </c>
      <c r="G979" s="34">
        <v>42600</v>
      </c>
      <c r="H979" s="35">
        <v>42510</v>
      </c>
      <c r="I979" s="8">
        <f t="shared" si="2151"/>
        <v>4000</v>
      </c>
      <c r="J979" s="8">
        <f>C979*90</f>
        <v>9000</v>
      </c>
      <c r="K979" s="2">
        <f>C979*90</f>
        <v>9000</v>
      </c>
      <c r="L979" s="8">
        <f t="shared" si="2152"/>
        <v>220</v>
      </c>
      <c r="M979" s="8">
        <f t="shared" si="2153"/>
        <v>22000</v>
      </c>
    </row>
    <row r="980" spans="1:13" ht="15" customHeight="1" x14ac:dyDescent="0.25">
      <c r="A980" s="24">
        <v>43886</v>
      </c>
      <c r="B980" s="29" t="s">
        <v>14</v>
      </c>
      <c r="C980" s="11">
        <v>30</v>
      </c>
      <c r="D980" s="11" t="s">
        <v>11</v>
      </c>
      <c r="E980" s="11">
        <v>48140</v>
      </c>
      <c r="F980" s="11">
        <v>48040</v>
      </c>
      <c r="G980" s="34">
        <v>47850</v>
      </c>
      <c r="H980" s="35">
        <v>0</v>
      </c>
      <c r="I980" s="8">
        <f t="shared" si="2151"/>
        <v>3000</v>
      </c>
      <c r="J980" s="8">
        <f>C980*190</f>
        <v>5700</v>
      </c>
      <c r="K980" s="2">
        <v>0</v>
      </c>
      <c r="L980" s="8">
        <f t="shared" si="2152"/>
        <v>290</v>
      </c>
      <c r="M980" s="8">
        <f t="shared" si="2153"/>
        <v>8700</v>
      </c>
    </row>
    <row r="981" spans="1:13" ht="15" customHeight="1" x14ac:dyDescent="0.25">
      <c r="A981" s="24">
        <v>43886</v>
      </c>
      <c r="B981" s="29" t="s">
        <v>16</v>
      </c>
      <c r="C981" s="11">
        <v>100</v>
      </c>
      <c r="D981" s="11" t="s">
        <v>10</v>
      </c>
      <c r="E981" s="11">
        <v>3730</v>
      </c>
      <c r="F981" s="11">
        <v>3750</v>
      </c>
      <c r="G981" s="34">
        <v>0</v>
      </c>
      <c r="H981" s="35">
        <v>0</v>
      </c>
      <c r="I981" s="8">
        <f t="shared" si="2151"/>
        <v>2000</v>
      </c>
      <c r="J981" s="8">
        <v>0</v>
      </c>
      <c r="K981" s="2">
        <v>0</v>
      </c>
      <c r="L981" s="8">
        <f t="shared" si="2152"/>
        <v>20</v>
      </c>
      <c r="M981" s="8">
        <f t="shared" si="2153"/>
        <v>2000</v>
      </c>
    </row>
    <row r="982" spans="1:13" ht="15" customHeight="1" x14ac:dyDescent="0.25">
      <c r="A982" s="24">
        <v>43885</v>
      </c>
      <c r="B982" s="29" t="s">
        <v>19</v>
      </c>
      <c r="C982" s="11">
        <v>100</v>
      </c>
      <c r="D982" s="11" t="s">
        <v>10</v>
      </c>
      <c r="E982" s="11">
        <v>43100</v>
      </c>
      <c r="F982" s="11">
        <v>43140</v>
      </c>
      <c r="G982" s="34">
        <v>43230</v>
      </c>
      <c r="H982" s="35">
        <v>43340</v>
      </c>
      <c r="I982" s="8">
        <f t="shared" si="2151"/>
        <v>4000</v>
      </c>
      <c r="J982" s="8">
        <f>C982*90</f>
        <v>9000</v>
      </c>
      <c r="K982" s="2">
        <f>C982*110</f>
        <v>11000</v>
      </c>
      <c r="L982" s="8">
        <f t="shared" si="2152"/>
        <v>240</v>
      </c>
      <c r="M982" s="8">
        <f t="shared" si="2153"/>
        <v>24000</v>
      </c>
    </row>
    <row r="983" spans="1:13" ht="15" customHeight="1" x14ac:dyDescent="0.25">
      <c r="A983" s="24">
        <v>43885</v>
      </c>
      <c r="B983" s="29" t="s">
        <v>14</v>
      </c>
      <c r="C983" s="11">
        <v>30</v>
      </c>
      <c r="D983" s="11" t="s">
        <v>10</v>
      </c>
      <c r="E983" s="11">
        <v>48650</v>
      </c>
      <c r="F983" s="11">
        <v>48750</v>
      </c>
      <c r="G983" s="34">
        <v>48900</v>
      </c>
      <c r="H983" s="35">
        <v>49150</v>
      </c>
      <c r="I983" s="8">
        <f t="shared" si="2151"/>
        <v>3000</v>
      </c>
      <c r="J983" s="8">
        <f>C983*150</f>
        <v>4500</v>
      </c>
      <c r="K983" s="2">
        <f>C983*250</f>
        <v>7500</v>
      </c>
      <c r="L983" s="8">
        <f t="shared" si="2152"/>
        <v>500</v>
      </c>
      <c r="M983" s="8">
        <f t="shared" si="2153"/>
        <v>15000</v>
      </c>
    </row>
    <row r="984" spans="1:13" ht="15" customHeight="1" x14ac:dyDescent="0.25">
      <c r="A984" s="24">
        <v>43885</v>
      </c>
      <c r="B984" s="29" t="s">
        <v>16</v>
      </c>
      <c r="C984" s="11">
        <v>100</v>
      </c>
      <c r="D984" s="11" t="s">
        <v>11</v>
      </c>
      <c r="E984" s="11">
        <v>3750</v>
      </c>
      <c r="F984" s="11">
        <v>3730</v>
      </c>
      <c r="G984" s="34">
        <v>3700</v>
      </c>
      <c r="H984" s="35">
        <v>0</v>
      </c>
      <c r="I984" s="8">
        <f t="shared" si="2151"/>
        <v>2000</v>
      </c>
      <c r="J984" s="8">
        <f>C984*30</f>
        <v>3000</v>
      </c>
      <c r="K984" s="2">
        <v>0</v>
      </c>
      <c r="L984" s="8">
        <f t="shared" si="2152"/>
        <v>50</v>
      </c>
      <c r="M984" s="8">
        <f t="shared" si="2153"/>
        <v>5000</v>
      </c>
    </row>
    <row r="985" spans="1:13" ht="15" customHeight="1" x14ac:dyDescent="0.25">
      <c r="A985" s="24">
        <v>43881</v>
      </c>
      <c r="B985" s="29" t="s">
        <v>19</v>
      </c>
      <c r="C985" s="11">
        <v>100</v>
      </c>
      <c r="D985" s="11" t="s">
        <v>11</v>
      </c>
      <c r="E985" s="11">
        <v>41550</v>
      </c>
      <c r="F985" s="11">
        <v>41500</v>
      </c>
      <c r="G985" s="34">
        <v>0</v>
      </c>
      <c r="H985" s="35">
        <v>0</v>
      </c>
      <c r="I985" s="8">
        <f t="shared" si="2151"/>
        <v>5000</v>
      </c>
      <c r="J985" s="8">
        <v>0</v>
      </c>
      <c r="K985" s="2">
        <v>0</v>
      </c>
      <c r="L985" s="8">
        <f t="shared" si="2152"/>
        <v>50</v>
      </c>
      <c r="M985" s="8">
        <f t="shared" si="2153"/>
        <v>5000</v>
      </c>
    </row>
    <row r="986" spans="1:13" ht="15" customHeight="1" x14ac:dyDescent="0.25">
      <c r="A986" s="24">
        <v>43881</v>
      </c>
      <c r="B986" s="29" t="s">
        <v>71</v>
      </c>
      <c r="C986" s="11">
        <v>1000</v>
      </c>
      <c r="D986" s="11" t="s">
        <v>11</v>
      </c>
      <c r="E986" s="11">
        <v>166</v>
      </c>
      <c r="F986" s="11">
        <v>165.2</v>
      </c>
      <c r="G986" s="34">
        <v>0</v>
      </c>
      <c r="H986" s="35">
        <v>0</v>
      </c>
      <c r="I986" s="8">
        <f t="shared" si="2151"/>
        <v>800.00000000001137</v>
      </c>
      <c r="J986" s="8">
        <v>0</v>
      </c>
      <c r="K986" s="2">
        <v>0</v>
      </c>
      <c r="L986" s="8">
        <f t="shared" si="2152"/>
        <v>0.80000000000001137</v>
      </c>
      <c r="M986" s="8">
        <f t="shared" si="2153"/>
        <v>800.00000000001137</v>
      </c>
    </row>
    <row r="987" spans="1:13" ht="15" customHeight="1" x14ac:dyDescent="0.25">
      <c r="A987" s="24">
        <v>43880</v>
      </c>
      <c r="B987" s="29" t="s">
        <v>14</v>
      </c>
      <c r="C987" s="11">
        <v>30</v>
      </c>
      <c r="D987" s="11" t="s">
        <v>10</v>
      </c>
      <c r="E987" s="11">
        <v>47580</v>
      </c>
      <c r="F987" s="11">
        <v>47680</v>
      </c>
      <c r="G987" s="34">
        <v>0</v>
      </c>
      <c r="H987" s="35">
        <v>0</v>
      </c>
      <c r="I987" s="8">
        <f t="shared" si="2151"/>
        <v>3000</v>
      </c>
      <c r="J987" s="8">
        <v>0</v>
      </c>
      <c r="K987" s="2">
        <v>0</v>
      </c>
      <c r="L987" s="8">
        <f t="shared" si="2152"/>
        <v>100</v>
      </c>
      <c r="M987" s="8">
        <f t="shared" si="2153"/>
        <v>3000</v>
      </c>
    </row>
    <row r="988" spans="1:13" ht="15" customHeight="1" x14ac:dyDescent="0.25">
      <c r="A988" s="24">
        <v>43880</v>
      </c>
      <c r="B988" s="29" t="s">
        <v>19</v>
      </c>
      <c r="C988" s="11">
        <v>100</v>
      </c>
      <c r="D988" s="11" t="s">
        <v>10</v>
      </c>
      <c r="E988" s="11">
        <v>41450</v>
      </c>
      <c r="F988" s="11">
        <v>41490</v>
      </c>
      <c r="G988" s="34">
        <v>41540</v>
      </c>
      <c r="H988" s="35">
        <v>0</v>
      </c>
      <c r="I988" s="8">
        <f t="shared" si="2151"/>
        <v>4000</v>
      </c>
      <c r="J988" s="8">
        <f>C988*50</f>
        <v>5000</v>
      </c>
      <c r="K988" s="2">
        <v>0</v>
      </c>
      <c r="L988" s="8">
        <f t="shared" si="2152"/>
        <v>90</v>
      </c>
      <c r="M988" s="8">
        <f t="shared" si="2153"/>
        <v>9000</v>
      </c>
    </row>
    <row r="989" spans="1:13" ht="15" customHeight="1" x14ac:dyDescent="0.25">
      <c r="A989" s="24">
        <v>43879</v>
      </c>
      <c r="B989" s="29" t="s">
        <v>16</v>
      </c>
      <c r="C989" s="11">
        <v>100</v>
      </c>
      <c r="D989" s="11" t="s">
        <v>11</v>
      </c>
      <c r="E989" s="11">
        <v>3678</v>
      </c>
      <c r="F989" s="11">
        <v>3658</v>
      </c>
      <c r="G989" s="34">
        <v>0</v>
      </c>
      <c r="H989" s="35">
        <v>0</v>
      </c>
      <c r="I989" s="8">
        <f t="shared" si="2151"/>
        <v>2000</v>
      </c>
      <c r="J989" s="8">
        <v>0</v>
      </c>
      <c r="K989" s="2">
        <v>0</v>
      </c>
      <c r="L989" s="8">
        <f t="shared" si="2152"/>
        <v>20</v>
      </c>
      <c r="M989" s="8">
        <f t="shared" si="2153"/>
        <v>2000</v>
      </c>
    </row>
    <row r="990" spans="1:13" ht="15" customHeight="1" x14ac:dyDescent="0.25">
      <c r="A990" s="24">
        <v>43879</v>
      </c>
      <c r="B990" s="29" t="s">
        <v>19</v>
      </c>
      <c r="C990" s="11">
        <v>100</v>
      </c>
      <c r="D990" s="11" t="s">
        <v>10</v>
      </c>
      <c r="E990" s="11">
        <v>41005</v>
      </c>
      <c r="F990" s="11">
        <v>41054</v>
      </c>
      <c r="G990" s="34">
        <v>41130</v>
      </c>
      <c r="H990" s="35">
        <v>0</v>
      </c>
      <c r="I990" s="8">
        <f t="shared" si="2151"/>
        <v>4900</v>
      </c>
      <c r="J990" s="8">
        <f>C990*76</f>
        <v>7600</v>
      </c>
      <c r="K990" s="2">
        <v>0</v>
      </c>
      <c r="L990" s="8">
        <f t="shared" si="2152"/>
        <v>125</v>
      </c>
      <c r="M990" s="8">
        <f t="shared" si="2153"/>
        <v>12500</v>
      </c>
    </row>
    <row r="991" spans="1:13" ht="15" customHeight="1" x14ac:dyDescent="0.25">
      <c r="A991" s="24">
        <v>43878</v>
      </c>
      <c r="B991" s="29" t="s">
        <v>19</v>
      </c>
      <c r="C991" s="11">
        <v>100</v>
      </c>
      <c r="D991" s="11" t="s">
        <v>11</v>
      </c>
      <c r="E991" s="11">
        <v>40778</v>
      </c>
      <c r="F991" s="11">
        <v>40732</v>
      </c>
      <c r="G991" s="34">
        <v>0</v>
      </c>
      <c r="H991" s="35">
        <v>0</v>
      </c>
      <c r="I991" s="8">
        <f t="shared" si="2151"/>
        <v>4600</v>
      </c>
      <c r="J991" s="8">
        <v>0</v>
      </c>
      <c r="K991" s="2">
        <v>0</v>
      </c>
      <c r="L991" s="8">
        <f t="shared" si="2152"/>
        <v>46</v>
      </c>
      <c r="M991" s="8">
        <f t="shared" si="2153"/>
        <v>4600</v>
      </c>
    </row>
    <row r="992" spans="1:13" ht="15" customHeight="1" x14ac:dyDescent="0.25">
      <c r="A992" s="24">
        <v>43878</v>
      </c>
      <c r="B992" s="29" t="s">
        <v>14</v>
      </c>
      <c r="C992" s="11">
        <v>30</v>
      </c>
      <c r="D992" s="11" t="s">
        <v>11</v>
      </c>
      <c r="E992" s="11">
        <v>46270</v>
      </c>
      <c r="F992" s="11">
        <v>46170</v>
      </c>
      <c r="G992" s="34">
        <v>0</v>
      </c>
      <c r="H992" s="35">
        <v>0</v>
      </c>
      <c r="I992" s="8">
        <f t="shared" si="2151"/>
        <v>3000</v>
      </c>
      <c r="J992" s="8">
        <v>0</v>
      </c>
      <c r="K992" s="2">
        <v>0</v>
      </c>
      <c r="L992" s="8">
        <f t="shared" si="2152"/>
        <v>100</v>
      </c>
      <c r="M992" s="8">
        <f t="shared" si="2153"/>
        <v>3000</v>
      </c>
    </row>
    <row r="993" spans="1:13" ht="15" customHeight="1" x14ac:dyDescent="0.25">
      <c r="A993" s="24">
        <v>43875</v>
      </c>
      <c r="B993" s="29" t="s">
        <v>14</v>
      </c>
      <c r="C993" s="11">
        <v>30</v>
      </c>
      <c r="D993" s="11" t="s">
        <v>10</v>
      </c>
      <c r="E993" s="11">
        <v>45980</v>
      </c>
      <c r="F993" s="11">
        <v>46080</v>
      </c>
      <c r="G993" s="34">
        <v>46250</v>
      </c>
      <c r="H993" s="35">
        <v>0</v>
      </c>
      <c r="I993" s="8">
        <f t="shared" si="2151"/>
        <v>3000</v>
      </c>
      <c r="J993" s="8">
        <f>C993*170</f>
        <v>5100</v>
      </c>
      <c r="K993" s="2">
        <v>0</v>
      </c>
      <c r="L993" s="8">
        <f t="shared" si="2152"/>
        <v>270</v>
      </c>
      <c r="M993" s="8">
        <f t="shared" si="2153"/>
        <v>8100</v>
      </c>
    </row>
    <row r="994" spans="1:13" ht="15" customHeight="1" x14ac:dyDescent="0.25">
      <c r="A994" s="24">
        <v>43875</v>
      </c>
      <c r="B994" s="29" t="s">
        <v>16</v>
      </c>
      <c r="C994" s="11">
        <v>100</v>
      </c>
      <c r="D994" s="11" t="s">
        <v>10</v>
      </c>
      <c r="E994" s="11">
        <v>3715</v>
      </c>
      <c r="F994" s="11">
        <v>3735</v>
      </c>
      <c r="G994" s="34">
        <v>0</v>
      </c>
      <c r="H994" s="35">
        <v>0</v>
      </c>
      <c r="I994" s="8">
        <f t="shared" si="2151"/>
        <v>2000</v>
      </c>
      <c r="J994" s="8">
        <v>0</v>
      </c>
      <c r="K994" s="2">
        <v>0</v>
      </c>
      <c r="L994" s="8">
        <f t="shared" si="2152"/>
        <v>20</v>
      </c>
      <c r="M994" s="8">
        <f t="shared" si="2153"/>
        <v>2000</v>
      </c>
    </row>
    <row r="995" spans="1:13" ht="15" customHeight="1" x14ac:dyDescent="0.25">
      <c r="A995" s="24">
        <v>43875</v>
      </c>
      <c r="B995" s="29" t="s">
        <v>52</v>
      </c>
      <c r="C995" s="11">
        <v>1250</v>
      </c>
      <c r="D995" s="11" t="s">
        <v>11</v>
      </c>
      <c r="E995" s="11">
        <v>130</v>
      </c>
      <c r="F995" s="11">
        <v>130</v>
      </c>
      <c r="G995" s="34">
        <v>0</v>
      </c>
      <c r="H995" s="35">
        <v>0</v>
      </c>
      <c r="I995" s="8">
        <f t="shared" si="2151"/>
        <v>0</v>
      </c>
      <c r="J995" s="8">
        <v>0</v>
      </c>
      <c r="K995" s="2">
        <v>0</v>
      </c>
      <c r="L995" s="8">
        <f t="shared" si="2152"/>
        <v>0</v>
      </c>
      <c r="M995" s="8">
        <f t="shared" si="2153"/>
        <v>0</v>
      </c>
    </row>
    <row r="996" spans="1:13" ht="15" customHeight="1" x14ac:dyDescent="0.25">
      <c r="A996" s="24">
        <v>43874</v>
      </c>
      <c r="B996" s="29" t="s">
        <v>19</v>
      </c>
      <c r="C996" s="11">
        <v>100</v>
      </c>
      <c r="D996" s="11" t="s">
        <v>10</v>
      </c>
      <c r="E996" s="11">
        <v>40680</v>
      </c>
      <c r="F996" s="11">
        <v>40590</v>
      </c>
      <c r="G996" s="34">
        <v>0</v>
      </c>
      <c r="H996" s="35">
        <v>0</v>
      </c>
      <c r="I996" s="8">
        <f t="shared" si="2151"/>
        <v>-9000</v>
      </c>
      <c r="J996" s="8">
        <v>0</v>
      </c>
      <c r="K996" s="2">
        <v>0</v>
      </c>
      <c r="L996" s="8">
        <f t="shared" si="2152"/>
        <v>-90</v>
      </c>
      <c r="M996" s="8">
        <f t="shared" si="2153"/>
        <v>-9000</v>
      </c>
    </row>
    <row r="997" spans="1:13" ht="15" customHeight="1" x14ac:dyDescent="0.25">
      <c r="A997" s="24">
        <v>43874</v>
      </c>
      <c r="B997" s="29" t="s">
        <v>16</v>
      </c>
      <c r="C997" s="11">
        <v>100</v>
      </c>
      <c r="D997" s="11" t="s">
        <v>11</v>
      </c>
      <c r="E997" s="11">
        <v>3618</v>
      </c>
      <c r="F997" s="11">
        <v>3648</v>
      </c>
      <c r="G997" s="34">
        <v>0</v>
      </c>
      <c r="H997" s="35">
        <v>0</v>
      </c>
      <c r="I997" s="8">
        <f t="shared" si="2151"/>
        <v>-3000</v>
      </c>
      <c r="J997" s="8">
        <v>0</v>
      </c>
      <c r="K997" s="2">
        <v>0</v>
      </c>
      <c r="L997" s="8">
        <f t="shared" si="2152"/>
        <v>-30</v>
      </c>
      <c r="M997" s="8">
        <f t="shared" si="2153"/>
        <v>-3000</v>
      </c>
    </row>
    <row r="998" spans="1:13" ht="15" customHeight="1" x14ac:dyDescent="0.25">
      <c r="A998" s="24">
        <v>43873</v>
      </c>
      <c r="B998" s="29" t="s">
        <v>52</v>
      </c>
      <c r="C998" s="11">
        <v>1250</v>
      </c>
      <c r="D998" s="11" t="s">
        <v>10</v>
      </c>
      <c r="E998" s="11">
        <v>128.30000000000001</v>
      </c>
      <c r="F998" s="11">
        <v>130</v>
      </c>
      <c r="G998" s="34">
        <v>0</v>
      </c>
      <c r="H998" s="35">
        <v>0</v>
      </c>
      <c r="I998" s="8">
        <f t="shared" si="2151"/>
        <v>2124.9999999999859</v>
      </c>
      <c r="J998" s="8">
        <v>0</v>
      </c>
      <c r="K998" s="2">
        <v>0</v>
      </c>
      <c r="L998" s="8">
        <f t="shared" si="2152"/>
        <v>1.6999999999999886</v>
      </c>
      <c r="M998" s="8">
        <f t="shared" si="2153"/>
        <v>2124.9999999999859</v>
      </c>
    </row>
    <row r="999" spans="1:13" ht="15" customHeight="1" x14ac:dyDescent="0.25">
      <c r="A999" s="24">
        <v>43873</v>
      </c>
      <c r="B999" s="29" t="s">
        <v>16</v>
      </c>
      <c r="C999" s="11">
        <v>100</v>
      </c>
      <c r="D999" s="11" t="s">
        <v>10</v>
      </c>
      <c r="E999" s="11">
        <v>3608</v>
      </c>
      <c r="F999" s="11">
        <v>3628</v>
      </c>
      <c r="G999" s="34">
        <v>3660</v>
      </c>
      <c r="H999" s="35">
        <v>0</v>
      </c>
      <c r="I999" s="8">
        <f t="shared" si="2151"/>
        <v>2000</v>
      </c>
      <c r="J999" s="8">
        <f>C999*32</f>
        <v>3200</v>
      </c>
      <c r="K999" s="2">
        <v>0</v>
      </c>
      <c r="L999" s="8">
        <f t="shared" si="2152"/>
        <v>52</v>
      </c>
      <c r="M999" s="8">
        <f t="shared" si="2153"/>
        <v>5200</v>
      </c>
    </row>
    <row r="1000" spans="1:13" ht="15" customHeight="1" x14ac:dyDescent="0.25">
      <c r="A1000" s="24">
        <v>43872</v>
      </c>
      <c r="B1000" s="29" t="s">
        <v>14</v>
      </c>
      <c r="C1000" s="11">
        <v>30</v>
      </c>
      <c r="D1000" s="11" t="s">
        <v>10</v>
      </c>
      <c r="E1000" s="11">
        <v>46020</v>
      </c>
      <c r="F1000" s="11">
        <v>45900</v>
      </c>
      <c r="G1000" s="34">
        <v>0</v>
      </c>
      <c r="H1000" s="35">
        <v>0</v>
      </c>
      <c r="I1000" s="8">
        <f t="shared" si="2151"/>
        <v>-3600</v>
      </c>
      <c r="J1000" s="8">
        <v>0</v>
      </c>
      <c r="K1000" s="2">
        <v>0</v>
      </c>
      <c r="L1000" s="8">
        <f t="shared" si="2152"/>
        <v>-120</v>
      </c>
      <c r="M1000" s="8">
        <f t="shared" si="2153"/>
        <v>-3600</v>
      </c>
    </row>
    <row r="1001" spans="1:13" ht="15" customHeight="1" x14ac:dyDescent="0.25">
      <c r="A1001" s="24">
        <v>43872</v>
      </c>
      <c r="B1001" s="29" t="s">
        <v>16</v>
      </c>
      <c r="C1001" s="11">
        <v>100</v>
      </c>
      <c r="D1001" s="11" t="s">
        <v>10</v>
      </c>
      <c r="E1001" s="11">
        <v>3594</v>
      </c>
      <c r="F1001" s="11">
        <v>3561</v>
      </c>
      <c r="G1001" s="34">
        <v>0</v>
      </c>
      <c r="H1001" s="35">
        <v>0</v>
      </c>
      <c r="I1001" s="8">
        <f t="shared" si="2151"/>
        <v>-3300</v>
      </c>
      <c r="J1001" s="8">
        <v>0</v>
      </c>
      <c r="K1001" s="2">
        <v>0</v>
      </c>
      <c r="L1001" s="8">
        <f t="shared" si="2152"/>
        <v>-33</v>
      </c>
      <c r="M1001" s="8">
        <f t="shared" si="2153"/>
        <v>-3300</v>
      </c>
    </row>
    <row r="1002" spans="1:13" ht="15" customHeight="1" x14ac:dyDescent="0.25">
      <c r="A1002" s="24">
        <v>43872</v>
      </c>
      <c r="B1002" s="29" t="s">
        <v>19</v>
      </c>
      <c r="C1002" s="11">
        <v>100</v>
      </c>
      <c r="D1002" s="11" t="s">
        <v>11</v>
      </c>
      <c r="E1002" s="11">
        <v>40332</v>
      </c>
      <c r="F1002" s="11">
        <v>40410</v>
      </c>
      <c r="G1002" s="34">
        <v>0</v>
      </c>
      <c r="H1002" s="35">
        <v>0</v>
      </c>
      <c r="I1002" s="8">
        <f t="shared" si="2151"/>
        <v>-7800</v>
      </c>
      <c r="J1002" s="8">
        <v>0</v>
      </c>
      <c r="K1002" s="2">
        <v>0</v>
      </c>
      <c r="L1002" s="8">
        <f t="shared" si="2152"/>
        <v>-78</v>
      </c>
      <c r="M1002" s="8">
        <f t="shared" si="2153"/>
        <v>-7800</v>
      </c>
    </row>
    <row r="1003" spans="1:13" ht="15" customHeight="1" x14ac:dyDescent="0.25">
      <c r="A1003" s="24">
        <v>43871</v>
      </c>
      <c r="B1003" s="29" t="s">
        <v>16</v>
      </c>
      <c r="C1003" s="11">
        <v>100</v>
      </c>
      <c r="D1003" s="11" t="s">
        <v>11</v>
      </c>
      <c r="E1003" s="11">
        <v>3578</v>
      </c>
      <c r="F1003" s="11">
        <v>3558</v>
      </c>
      <c r="G1003" s="34">
        <v>0</v>
      </c>
      <c r="H1003" s="35">
        <v>0</v>
      </c>
      <c r="I1003" s="8">
        <f t="shared" si="2151"/>
        <v>2000</v>
      </c>
      <c r="J1003" s="8">
        <v>0</v>
      </c>
      <c r="K1003" s="2">
        <v>0</v>
      </c>
      <c r="L1003" s="8">
        <f t="shared" si="2152"/>
        <v>20</v>
      </c>
      <c r="M1003" s="8">
        <f t="shared" si="2153"/>
        <v>2000</v>
      </c>
    </row>
    <row r="1004" spans="1:13" ht="15" customHeight="1" x14ac:dyDescent="0.25">
      <c r="A1004" s="24">
        <v>43868</v>
      </c>
      <c r="B1004" s="29" t="s">
        <v>19</v>
      </c>
      <c r="C1004" s="11">
        <v>100</v>
      </c>
      <c r="D1004" s="11" t="s">
        <v>10</v>
      </c>
      <c r="E1004" s="11">
        <v>40450</v>
      </c>
      <c r="F1004" s="11">
        <v>40490</v>
      </c>
      <c r="G1004" s="34">
        <v>40600</v>
      </c>
      <c r="H1004" s="35">
        <v>40700</v>
      </c>
      <c r="I1004" s="8">
        <f t="shared" si="2151"/>
        <v>4000</v>
      </c>
      <c r="J1004" s="8">
        <f>C1004*110</f>
        <v>11000</v>
      </c>
      <c r="K1004" s="2">
        <f>C1004*100</f>
        <v>10000</v>
      </c>
      <c r="L1004" s="8">
        <f t="shared" si="2152"/>
        <v>250</v>
      </c>
      <c r="M1004" s="8">
        <f t="shared" si="2153"/>
        <v>25000</v>
      </c>
    </row>
    <row r="1005" spans="1:13" ht="15" customHeight="1" x14ac:dyDescent="0.25">
      <c r="A1005" s="24">
        <v>43868</v>
      </c>
      <c r="B1005" s="29" t="s">
        <v>16</v>
      </c>
      <c r="C1005" s="11">
        <v>100</v>
      </c>
      <c r="D1005" s="11" t="s">
        <v>10</v>
      </c>
      <c r="E1005" s="11">
        <v>3661</v>
      </c>
      <c r="F1005" s="11">
        <v>3630</v>
      </c>
      <c r="G1005" s="34">
        <v>0</v>
      </c>
      <c r="H1005" s="35">
        <v>0</v>
      </c>
      <c r="I1005" s="8">
        <f t="shared" si="2151"/>
        <v>-3100</v>
      </c>
      <c r="J1005" s="8">
        <v>0</v>
      </c>
      <c r="K1005" s="2">
        <v>0</v>
      </c>
      <c r="L1005" s="8">
        <f t="shared" si="2152"/>
        <v>-31</v>
      </c>
      <c r="M1005" s="8">
        <f t="shared" si="2153"/>
        <v>-3100</v>
      </c>
    </row>
    <row r="1006" spans="1:13" ht="15" customHeight="1" x14ac:dyDescent="0.25">
      <c r="A1006" s="24">
        <v>43867</v>
      </c>
      <c r="B1006" s="29" t="s">
        <v>14</v>
      </c>
      <c r="C1006" s="11">
        <v>30</v>
      </c>
      <c r="D1006" s="11" t="s">
        <v>10</v>
      </c>
      <c r="E1006" s="11">
        <v>46058</v>
      </c>
      <c r="F1006" s="11">
        <v>46140</v>
      </c>
      <c r="G1006" s="34">
        <v>46250</v>
      </c>
      <c r="H1006" s="35">
        <v>0</v>
      </c>
      <c r="I1006" s="8">
        <f t="shared" si="2151"/>
        <v>2460</v>
      </c>
      <c r="J1006" s="8">
        <f>C1006*160</f>
        <v>4800</v>
      </c>
      <c r="K1006" s="2">
        <v>0</v>
      </c>
      <c r="L1006" s="8">
        <f t="shared" si="2152"/>
        <v>242</v>
      </c>
      <c r="M1006" s="8">
        <f t="shared" si="2153"/>
        <v>7260</v>
      </c>
    </row>
    <row r="1007" spans="1:13" ht="15" customHeight="1" x14ac:dyDescent="0.25">
      <c r="A1007" s="24">
        <v>43867</v>
      </c>
      <c r="B1007" s="29" t="s">
        <v>16</v>
      </c>
      <c r="C1007" s="11">
        <v>100</v>
      </c>
      <c r="D1007" s="11" t="s">
        <v>11</v>
      </c>
      <c r="E1007" s="11">
        <v>3670</v>
      </c>
      <c r="F1007" s="11">
        <v>3650</v>
      </c>
      <c r="G1007" s="34">
        <v>3620</v>
      </c>
      <c r="H1007" s="35">
        <v>0</v>
      </c>
      <c r="I1007" s="8">
        <f t="shared" si="2151"/>
        <v>2000</v>
      </c>
      <c r="J1007" s="8">
        <f>C1007*30</f>
        <v>3000</v>
      </c>
      <c r="K1007" s="2">
        <v>0</v>
      </c>
      <c r="L1007" s="8">
        <f t="shared" si="2152"/>
        <v>50</v>
      </c>
      <c r="M1007" s="8">
        <f t="shared" si="2153"/>
        <v>5000</v>
      </c>
    </row>
    <row r="1008" spans="1:13" ht="15" customHeight="1" x14ac:dyDescent="0.25">
      <c r="A1008" s="24">
        <v>43867</v>
      </c>
      <c r="B1008" s="29" t="s">
        <v>18</v>
      </c>
      <c r="C1008" s="11">
        <v>2500</v>
      </c>
      <c r="D1008" s="11" t="s">
        <v>10</v>
      </c>
      <c r="E1008" s="11">
        <v>438.5</v>
      </c>
      <c r="F1008" s="11">
        <v>435.4</v>
      </c>
      <c r="G1008" s="34">
        <v>0</v>
      </c>
      <c r="H1008" s="35">
        <v>0</v>
      </c>
      <c r="I1008" s="8">
        <f t="shared" si="2151"/>
        <v>-7750.0000000000564</v>
      </c>
      <c r="J1008" s="8">
        <v>0</v>
      </c>
      <c r="K1008" s="2">
        <v>0</v>
      </c>
      <c r="L1008" s="8">
        <f t="shared" si="2152"/>
        <v>-3.1000000000000227</v>
      </c>
      <c r="M1008" s="8">
        <f t="shared" si="2153"/>
        <v>-7750.0000000000564</v>
      </c>
    </row>
    <row r="1009" spans="1:13" ht="15" customHeight="1" x14ac:dyDescent="0.25">
      <c r="A1009" s="24">
        <v>43867</v>
      </c>
      <c r="B1009" s="29" t="s">
        <v>52</v>
      </c>
      <c r="C1009" s="11">
        <v>1250</v>
      </c>
      <c r="D1009" s="11" t="s">
        <v>10</v>
      </c>
      <c r="E1009" s="11">
        <v>135</v>
      </c>
      <c r="F1009" s="11">
        <v>132.69999999999999</v>
      </c>
      <c r="G1009" s="34">
        <v>0</v>
      </c>
      <c r="H1009" s="35">
        <v>0</v>
      </c>
      <c r="I1009" s="8">
        <f t="shared" si="2151"/>
        <v>-2875.0000000000141</v>
      </c>
      <c r="J1009" s="8">
        <v>0</v>
      </c>
      <c r="K1009" s="2">
        <v>0</v>
      </c>
      <c r="L1009" s="8">
        <f t="shared" si="2152"/>
        <v>-2.3000000000000114</v>
      </c>
      <c r="M1009" s="8">
        <f t="shared" si="2153"/>
        <v>-2875.0000000000141</v>
      </c>
    </row>
    <row r="1010" spans="1:13" ht="15" customHeight="1" x14ac:dyDescent="0.25">
      <c r="A1010" s="24">
        <v>43866</v>
      </c>
      <c r="B1010" s="29" t="s">
        <v>16</v>
      </c>
      <c r="C1010" s="11">
        <v>100</v>
      </c>
      <c r="D1010" s="11" t="s">
        <v>10</v>
      </c>
      <c r="E1010" s="11">
        <v>3624</v>
      </c>
      <c r="F1010" s="11">
        <v>3644</v>
      </c>
      <c r="G1010" s="34">
        <v>0</v>
      </c>
      <c r="H1010" s="35">
        <v>0</v>
      </c>
      <c r="I1010" s="8">
        <f t="shared" si="2151"/>
        <v>2000</v>
      </c>
      <c r="J1010" s="8">
        <v>0</v>
      </c>
      <c r="K1010" s="2">
        <v>0</v>
      </c>
      <c r="L1010" s="8">
        <f t="shared" si="2152"/>
        <v>20</v>
      </c>
      <c r="M1010" s="8">
        <f t="shared" si="2153"/>
        <v>2000</v>
      </c>
    </row>
    <row r="1011" spans="1:13" ht="15" customHeight="1" x14ac:dyDescent="0.25">
      <c r="A1011" s="24">
        <v>43866</v>
      </c>
      <c r="B1011" s="29" t="s">
        <v>14</v>
      </c>
      <c r="C1011" s="11">
        <v>30</v>
      </c>
      <c r="D1011" s="11" t="s">
        <v>11</v>
      </c>
      <c r="E1011" s="11">
        <v>45500</v>
      </c>
      <c r="F1011" s="11">
        <v>45400</v>
      </c>
      <c r="G1011" s="34">
        <v>0</v>
      </c>
      <c r="H1011" s="35">
        <v>0</v>
      </c>
      <c r="I1011" s="8">
        <f t="shared" si="2151"/>
        <v>3000</v>
      </c>
      <c r="J1011" s="8">
        <v>0</v>
      </c>
      <c r="K1011" s="2">
        <v>0</v>
      </c>
      <c r="L1011" s="8">
        <f t="shared" si="2152"/>
        <v>100</v>
      </c>
      <c r="M1011" s="8">
        <f t="shared" si="2153"/>
        <v>3000</v>
      </c>
    </row>
    <row r="1012" spans="1:13" ht="15" customHeight="1" x14ac:dyDescent="0.25">
      <c r="A1012" s="24">
        <v>43866</v>
      </c>
      <c r="B1012" s="29" t="s">
        <v>21</v>
      </c>
      <c r="C1012" s="11">
        <v>1500</v>
      </c>
      <c r="D1012" s="11" t="s">
        <v>10</v>
      </c>
      <c r="E1012" s="11">
        <v>964</v>
      </c>
      <c r="F1012" s="11">
        <v>961</v>
      </c>
      <c r="G1012" s="34">
        <v>0</v>
      </c>
      <c r="H1012" s="35">
        <v>0</v>
      </c>
      <c r="I1012" s="8">
        <f t="shared" si="2151"/>
        <v>-4500</v>
      </c>
      <c r="J1012" s="8">
        <v>0</v>
      </c>
      <c r="K1012" s="2">
        <v>0</v>
      </c>
      <c r="L1012" s="8">
        <f t="shared" si="2152"/>
        <v>-3</v>
      </c>
      <c r="M1012" s="8">
        <f t="shared" si="2153"/>
        <v>-4500</v>
      </c>
    </row>
    <row r="1013" spans="1:13" ht="15" customHeight="1" x14ac:dyDescent="0.25">
      <c r="A1013" s="24">
        <v>43865</v>
      </c>
      <c r="B1013" s="29" t="s">
        <v>16</v>
      </c>
      <c r="C1013" s="11">
        <v>100</v>
      </c>
      <c r="D1013" s="11" t="s">
        <v>10</v>
      </c>
      <c r="E1013" s="11">
        <v>3645</v>
      </c>
      <c r="F1013" s="11">
        <v>3665</v>
      </c>
      <c r="G1013" s="34">
        <v>0</v>
      </c>
      <c r="H1013" s="35">
        <v>0</v>
      </c>
      <c r="I1013" s="8">
        <f t="shared" si="2151"/>
        <v>2000</v>
      </c>
      <c r="J1013" s="8">
        <f>C1013*4</f>
        <v>400</v>
      </c>
      <c r="K1013" s="2">
        <v>0</v>
      </c>
      <c r="L1013" s="8">
        <f t="shared" si="2152"/>
        <v>24</v>
      </c>
      <c r="M1013" s="8">
        <f t="shared" si="2153"/>
        <v>2400</v>
      </c>
    </row>
    <row r="1014" spans="1:13" ht="15" customHeight="1" x14ac:dyDescent="0.25">
      <c r="A1014" s="24">
        <v>43865</v>
      </c>
      <c r="B1014" s="29" t="s">
        <v>21</v>
      </c>
      <c r="C1014" s="11">
        <v>1500</v>
      </c>
      <c r="D1014" s="11" t="s">
        <v>10</v>
      </c>
      <c r="E1014" s="11">
        <v>957</v>
      </c>
      <c r="F1014" s="11">
        <v>960</v>
      </c>
      <c r="G1014" s="34">
        <v>964</v>
      </c>
      <c r="H1014" s="35">
        <v>0</v>
      </c>
      <c r="I1014" s="8">
        <f t="shared" si="2151"/>
        <v>4500</v>
      </c>
      <c r="J1014" s="8">
        <f>C1014*4</f>
        <v>6000</v>
      </c>
      <c r="K1014" s="2">
        <v>0</v>
      </c>
      <c r="L1014" s="8">
        <f t="shared" si="2152"/>
        <v>7</v>
      </c>
      <c r="M1014" s="8">
        <f t="shared" si="2153"/>
        <v>10500</v>
      </c>
    </row>
    <row r="1015" spans="1:13" ht="15" customHeight="1" x14ac:dyDescent="0.25">
      <c r="A1015" s="24">
        <v>43865</v>
      </c>
      <c r="B1015" s="29" t="s">
        <v>19</v>
      </c>
      <c r="C1015" s="11">
        <v>100</v>
      </c>
      <c r="D1015" s="11" t="s">
        <v>11</v>
      </c>
      <c r="E1015" s="11">
        <v>40500</v>
      </c>
      <c r="F1015" s="11">
        <v>40460</v>
      </c>
      <c r="G1015" s="34">
        <v>40370</v>
      </c>
      <c r="H1015" s="35">
        <v>40250</v>
      </c>
      <c r="I1015" s="8">
        <f t="shared" si="2151"/>
        <v>4000</v>
      </c>
      <c r="J1015" s="8">
        <f>C1015*90</f>
        <v>9000</v>
      </c>
      <c r="K1015" s="2">
        <f>C1015*120</f>
        <v>12000</v>
      </c>
      <c r="L1015" s="8">
        <f t="shared" si="2152"/>
        <v>250</v>
      </c>
      <c r="M1015" s="8">
        <f t="shared" si="2153"/>
        <v>25000</v>
      </c>
    </row>
    <row r="1016" spans="1:13" ht="15" customHeight="1" x14ac:dyDescent="0.25">
      <c r="A1016" s="24">
        <v>43865</v>
      </c>
      <c r="B1016" s="29" t="s">
        <v>18</v>
      </c>
      <c r="C1016" s="11">
        <v>2500</v>
      </c>
      <c r="D1016" s="11" t="s">
        <v>10</v>
      </c>
      <c r="E1016" s="11">
        <v>427.8</v>
      </c>
      <c r="F1016" s="11">
        <v>428</v>
      </c>
      <c r="G1016" s="34">
        <v>0</v>
      </c>
      <c r="H1016" s="35">
        <v>0</v>
      </c>
      <c r="I1016" s="8">
        <f t="shared" si="2151"/>
        <v>499.99999999997158</v>
      </c>
      <c r="J1016" s="8">
        <v>0</v>
      </c>
      <c r="K1016" s="2">
        <v>0</v>
      </c>
      <c r="L1016" s="8">
        <f t="shared" si="2152"/>
        <v>0.19999999999998863</v>
      </c>
      <c r="M1016" s="8">
        <f t="shared" si="2153"/>
        <v>499.99999999997158</v>
      </c>
    </row>
    <row r="1017" spans="1:13" ht="15" customHeight="1" x14ac:dyDescent="0.25">
      <c r="A1017" s="24">
        <v>43864</v>
      </c>
      <c r="B1017" s="29" t="s">
        <v>19</v>
      </c>
      <c r="C1017" s="11">
        <v>100</v>
      </c>
      <c r="D1017" s="11" t="s">
        <v>11</v>
      </c>
      <c r="E1017" s="11">
        <v>40930</v>
      </c>
      <c r="F1017" s="11">
        <v>40880</v>
      </c>
      <c r="G1017" s="34">
        <v>40800</v>
      </c>
      <c r="H1017" s="35">
        <v>40700</v>
      </c>
      <c r="I1017" s="8">
        <f t="shared" si="2151"/>
        <v>5000</v>
      </c>
      <c r="J1017" s="8">
        <f>C1017*80</f>
        <v>8000</v>
      </c>
      <c r="K1017" s="2">
        <f>C1017*100</f>
        <v>10000</v>
      </c>
      <c r="L1017" s="8">
        <f t="shared" si="2152"/>
        <v>230</v>
      </c>
      <c r="M1017" s="8">
        <f t="shared" si="2153"/>
        <v>23000</v>
      </c>
    </row>
    <row r="1018" spans="1:13" ht="15" customHeight="1" x14ac:dyDescent="0.25">
      <c r="A1018" s="24">
        <v>43864</v>
      </c>
      <c r="B1018" s="29" t="s">
        <v>16</v>
      </c>
      <c r="C1018" s="11">
        <v>100</v>
      </c>
      <c r="D1018" s="11" t="s">
        <v>11</v>
      </c>
      <c r="E1018" s="11">
        <v>3690</v>
      </c>
      <c r="F1018" s="11">
        <v>3721</v>
      </c>
      <c r="G1018" s="34">
        <v>0</v>
      </c>
      <c r="H1018" s="35">
        <v>0</v>
      </c>
      <c r="I1018" s="8">
        <f t="shared" si="2151"/>
        <v>-3100</v>
      </c>
      <c r="J1018" s="8">
        <v>0</v>
      </c>
      <c r="K1018" s="2">
        <v>0</v>
      </c>
      <c r="L1018" s="8">
        <f t="shared" si="2152"/>
        <v>-31</v>
      </c>
      <c r="M1018" s="8">
        <f t="shared" si="2153"/>
        <v>-3100</v>
      </c>
    </row>
    <row r="1019" spans="1:13" ht="15" customHeight="1" x14ac:dyDescent="0.25">
      <c r="A1019" s="24">
        <v>43862</v>
      </c>
      <c r="B1019" s="29" t="s">
        <v>19</v>
      </c>
      <c r="C1019" s="11">
        <v>100</v>
      </c>
      <c r="D1019" s="11" t="s">
        <v>10</v>
      </c>
      <c r="E1019" s="11">
        <v>41190</v>
      </c>
      <c r="F1019" s="11">
        <v>41230</v>
      </c>
      <c r="G1019" s="34">
        <v>0</v>
      </c>
      <c r="H1019" s="35">
        <v>0</v>
      </c>
      <c r="I1019" s="8">
        <f t="shared" si="2151"/>
        <v>4000</v>
      </c>
      <c r="J1019" s="8">
        <v>0</v>
      </c>
      <c r="K1019" s="2">
        <v>0</v>
      </c>
      <c r="L1019" s="8">
        <f t="shared" si="2152"/>
        <v>40</v>
      </c>
      <c r="M1019" s="8">
        <f t="shared" si="2153"/>
        <v>4000</v>
      </c>
    </row>
    <row r="1020" spans="1:13" ht="15" customHeight="1" x14ac:dyDescent="0.25">
      <c r="A1020" s="24">
        <v>43861</v>
      </c>
      <c r="B1020" s="29" t="s">
        <v>19</v>
      </c>
      <c r="C1020" s="11">
        <v>100</v>
      </c>
      <c r="D1020" s="11" t="s">
        <v>10</v>
      </c>
      <c r="E1020" s="11">
        <v>40820</v>
      </c>
      <c r="F1020" s="11">
        <v>40860</v>
      </c>
      <c r="G1020" s="34">
        <v>0</v>
      </c>
      <c r="H1020" s="35">
        <v>0</v>
      </c>
      <c r="I1020" s="8">
        <f t="shared" si="2151"/>
        <v>4000</v>
      </c>
      <c r="J1020" s="8">
        <v>0</v>
      </c>
      <c r="K1020" s="2">
        <v>0</v>
      </c>
      <c r="L1020" s="8">
        <f t="shared" si="2152"/>
        <v>40</v>
      </c>
      <c r="M1020" s="8">
        <f t="shared" si="2153"/>
        <v>4000</v>
      </c>
    </row>
    <row r="1021" spans="1:13" ht="15" customHeight="1" x14ac:dyDescent="0.25">
      <c r="A1021" s="24">
        <v>43861</v>
      </c>
      <c r="B1021" s="29" t="s">
        <v>16</v>
      </c>
      <c r="C1021" s="11">
        <v>100</v>
      </c>
      <c r="D1021" s="11" t="s">
        <v>11</v>
      </c>
      <c r="E1021" s="11">
        <v>3770</v>
      </c>
      <c r="F1021" s="11">
        <v>3750</v>
      </c>
      <c r="G1021" s="34">
        <v>0</v>
      </c>
      <c r="H1021" s="35">
        <v>0</v>
      </c>
      <c r="I1021" s="8">
        <f t="shared" si="2151"/>
        <v>2000</v>
      </c>
      <c r="J1021" s="8">
        <v>0</v>
      </c>
      <c r="K1021" s="2">
        <v>0</v>
      </c>
      <c r="L1021" s="8">
        <f t="shared" si="2152"/>
        <v>20</v>
      </c>
      <c r="M1021" s="8">
        <f t="shared" si="2153"/>
        <v>2000</v>
      </c>
    </row>
    <row r="1022" spans="1:13" ht="15" customHeight="1" x14ac:dyDescent="0.25">
      <c r="A1022" s="24">
        <v>43861</v>
      </c>
      <c r="B1022" s="29" t="s">
        <v>14</v>
      </c>
      <c r="C1022" s="11">
        <v>30</v>
      </c>
      <c r="D1022" s="11" t="s">
        <v>10</v>
      </c>
      <c r="E1022" s="11">
        <v>46600</v>
      </c>
      <c r="F1022" s="11">
        <v>46450</v>
      </c>
      <c r="G1022" s="34">
        <v>0</v>
      </c>
      <c r="H1022" s="35">
        <v>0</v>
      </c>
      <c r="I1022" s="8">
        <f t="shared" si="2151"/>
        <v>-4500</v>
      </c>
      <c r="J1022" s="8">
        <v>0</v>
      </c>
      <c r="K1022" s="2">
        <v>0</v>
      </c>
      <c r="L1022" s="8">
        <f t="shared" si="2152"/>
        <v>-150</v>
      </c>
      <c r="M1022" s="8">
        <f t="shared" si="2153"/>
        <v>-4500</v>
      </c>
    </row>
    <row r="1023" spans="1:13" ht="15" customHeight="1" x14ac:dyDescent="0.25">
      <c r="A1023" s="24">
        <v>43860</v>
      </c>
      <c r="B1023" s="29" t="s">
        <v>16</v>
      </c>
      <c r="C1023" s="11">
        <v>100</v>
      </c>
      <c r="D1023" s="11" t="s">
        <v>11</v>
      </c>
      <c r="E1023" s="11">
        <v>3760</v>
      </c>
      <c r="F1023" s="11">
        <v>3740</v>
      </c>
      <c r="G1023" s="34">
        <v>0</v>
      </c>
      <c r="H1023" s="35">
        <v>0</v>
      </c>
      <c r="I1023" s="8">
        <f t="shared" ref="I1023:I1086" si="2154">(IF(D1023="SELL",E1023-F1023,IF(D1023="BUY",F1023-E1023)))*C1023</f>
        <v>2000</v>
      </c>
      <c r="J1023" s="8">
        <v>0</v>
      </c>
      <c r="K1023" s="2">
        <v>0</v>
      </c>
      <c r="L1023" s="8">
        <f t="shared" ref="L1023:L1086" si="2155">(J1023+I1023+K1023)/C1023</f>
        <v>20</v>
      </c>
      <c r="M1023" s="8">
        <f t="shared" ref="M1023:M1086" si="2156">L1023*C1023</f>
        <v>2000</v>
      </c>
    </row>
    <row r="1024" spans="1:13" ht="15" customHeight="1" x14ac:dyDescent="0.25">
      <c r="A1024" s="24">
        <v>43860</v>
      </c>
      <c r="B1024" s="29" t="s">
        <v>19</v>
      </c>
      <c r="C1024" s="11">
        <v>100</v>
      </c>
      <c r="D1024" s="11" t="s">
        <v>10</v>
      </c>
      <c r="E1024" s="11">
        <v>40680</v>
      </c>
      <c r="F1024" s="11">
        <v>40720</v>
      </c>
      <c r="G1024" s="34">
        <v>40820</v>
      </c>
      <c r="H1024" s="35">
        <v>0</v>
      </c>
      <c r="I1024" s="8">
        <f t="shared" si="2154"/>
        <v>4000</v>
      </c>
      <c r="J1024" s="8">
        <f>C1024*100</f>
        <v>10000</v>
      </c>
      <c r="K1024" s="2">
        <v>0</v>
      </c>
      <c r="L1024" s="8">
        <f t="shared" si="2155"/>
        <v>140</v>
      </c>
      <c r="M1024" s="8">
        <f t="shared" si="2156"/>
        <v>14000</v>
      </c>
    </row>
    <row r="1025" spans="1:13" ht="15" customHeight="1" x14ac:dyDescent="0.25">
      <c r="A1025" s="24">
        <v>43860</v>
      </c>
      <c r="B1025" s="29" t="s">
        <v>14</v>
      </c>
      <c r="C1025" s="11">
        <v>30</v>
      </c>
      <c r="D1025" s="11" t="s">
        <v>10</v>
      </c>
      <c r="E1025" s="11">
        <v>46060</v>
      </c>
      <c r="F1025" s="11">
        <v>46160</v>
      </c>
      <c r="G1025" s="34">
        <v>0</v>
      </c>
      <c r="H1025" s="35">
        <v>0</v>
      </c>
      <c r="I1025" s="8">
        <f t="shared" si="2154"/>
        <v>3000</v>
      </c>
      <c r="J1025" s="8">
        <v>0</v>
      </c>
      <c r="K1025" s="2">
        <v>0</v>
      </c>
      <c r="L1025" s="8">
        <f t="shared" si="2155"/>
        <v>100</v>
      </c>
      <c r="M1025" s="8">
        <f t="shared" si="2156"/>
        <v>3000</v>
      </c>
    </row>
    <row r="1026" spans="1:13" ht="15" customHeight="1" x14ac:dyDescent="0.25">
      <c r="A1026" s="24">
        <v>43860</v>
      </c>
      <c r="B1026" s="29" t="s">
        <v>52</v>
      </c>
      <c r="C1026" s="11">
        <v>1250</v>
      </c>
      <c r="D1026" s="11" t="s">
        <v>10</v>
      </c>
      <c r="E1026" s="11">
        <v>135.30000000000001</v>
      </c>
      <c r="F1026" s="11">
        <v>132</v>
      </c>
      <c r="G1026" s="34">
        <v>0</v>
      </c>
      <c r="H1026" s="35">
        <v>0</v>
      </c>
      <c r="I1026" s="8">
        <f t="shared" si="2154"/>
        <v>-4125.0000000000146</v>
      </c>
      <c r="J1026" s="8">
        <v>0</v>
      </c>
      <c r="K1026" s="2">
        <v>0</v>
      </c>
      <c r="L1026" s="8">
        <f t="shared" si="2155"/>
        <v>-3.3000000000000118</v>
      </c>
      <c r="M1026" s="8">
        <f t="shared" si="2156"/>
        <v>-4125.0000000000146</v>
      </c>
    </row>
    <row r="1027" spans="1:13" ht="15" customHeight="1" x14ac:dyDescent="0.25">
      <c r="A1027" s="24">
        <v>43859</v>
      </c>
      <c r="B1027" s="29" t="s">
        <v>19</v>
      </c>
      <c r="C1027" s="11">
        <v>100</v>
      </c>
      <c r="D1027" s="11" t="s">
        <v>10</v>
      </c>
      <c r="E1027" s="11">
        <v>40210</v>
      </c>
      <c r="F1027" s="11">
        <v>40250</v>
      </c>
      <c r="G1027" s="34">
        <v>40330</v>
      </c>
      <c r="H1027" s="35">
        <v>0</v>
      </c>
      <c r="I1027" s="8">
        <f t="shared" si="2154"/>
        <v>4000</v>
      </c>
      <c r="J1027" s="8">
        <f>C1027*80</f>
        <v>8000</v>
      </c>
      <c r="K1027" s="2">
        <v>0</v>
      </c>
      <c r="L1027" s="8">
        <f t="shared" si="2155"/>
        <v>120</v>
      </c>
      <c r="M1027" s="8">
        <f t="shared" si="2156"/>
        <v>12000</v>
      </c>
    </row>
    <row r="1028" spans="1:13" ht="15" customHeight="1" x14ac:dyDescent="0.25">
      <c r="A1028" s="24">
        <v>43859</v>
      </c>
      <c r="B1028" s="29" t="s">
        <v>16</v>
      </c>
      <c r="C1028" s="11">
        <v>100</v>
      </c>
      <c r="D1028" s="11" t="s">
        <v>10</v>
      </c>
      <c r="E1028" s="11">
        <v>3860</v>
      </c>
      <c r="F1028" s="11">
        <v>3882</v>
      </c>
      <c r="G1028" s="34">
        <v>0</v>
      </c>
      <c r="H1028" s="35">
        <v>0</v>
      </c>
      <c r="I1028" s="8">
        <f t="shared" si="2154"/>
        <v>2200</v>
      </c>
      <c r="J1028" s="8">
        <v>0</v>
      </c>
      <c r="K1028" s="2">
        <v>0</v>
      </c>
      <c r="L1028" s="8">
        <f t="shared" si="2155"/>
        <v>22</v>
      </c>
      <c r="M1028" s="8">
        <f t="shared" si="2156"/>
        <v>2200</v>
      </c>
    </row>
    <row r="1029" spans="1:13" ht="15" customHeight="1" x14ac:dyDescent="0.25">
      <c r="A1029" s="24">
        <v>43859</v>
      </c>
      <c r="B1029" s="29" t="s">
        <v>14</v>
      </c>
      <c r="C1029" s="11">
        <v>30</v>
      </c>
      <c r="D1029" s="11" t="s">
        <v>11</v>
      </c>
      <c r="E1029" s="11">
        <v>46530</v>
      </c>
      <c r="F1029" s="11">
        <v>46430</v>
      </c>
      <c r="G1029" s="34">
        <v>0</v>
      </c>
      <c r="H1029" s="35">
        <v>0</v>
      </c>
      <c r="I1029" s="8">
        <f t="shared" si="2154"/>
        <v>3000</v>
      </c>
      <c r="J1029" s="8">
        <v>0</v>
      </c>
      <c r="K1029" s="2">
        <v>0</v>
      </c>
      <c r="L1029" s="8">
        <f t="shared" si="2155"/>
        <v>100</v>
      </c>
      <c r="M1029" s="8">
        <f t="shared" si="2156"/>
        <v>3000</v>
      </c>
    </row>
    <row r="1030" spans="1:13" ht="15" customHeight="1" x14ac:dyDescent="0.25">
      <c r="A1030" s="24">
        <v>43858</v>
      </c>
      <c r="B1030" s="29" t="s">
        <v>14</v>
      </c>
      <c r="C1030" s="11">
        <v>30</v>
      </c>
      <c r="D1030" s="11" t="s">
        <v>11</v>
      </c>
      <c r="E1030" s="11">
        <v>46530</v>
      </c>
      <c r="F1030" s="11">
        <v>46430</v>
      </c>
      <c r="G1030" s="34">
        <v>0</v>
      </c>
      <c r="H1030" s="35">
        <v>0</v>
      </c>
      <c r="I1030" s="8">
        <f t="shared" si="2154"/>
        <v>3000</v>
      </c>
      <c r="J1030" s="8">
        <v>0</v>
      </c>
      <c r="K1030" s="2">
        <v>0</v>
      </c>
      <c r="L1030" s="8">
        <f t="shared" si="2155"/>
        <v>100</v>
      </c>
      <c r="M1030" s="8">
        <f t="shared" si="2156"/>
        <v>3000</v>
      </c>
    </row>
    <row r="1031" spans="1:13" ht="15" customHeight="1" x14ac:dyDescent="0.25">
      <c r="A1031" s="24">
        <v>43858</v>
      </c>
      <c r="B1031" s="29" t="s">
        <v>19</v>
      </c>
      <c r="C1031" s="11">
        <v>100</v>
      </c>
      <c r="D1031" s="11" t="s">
        <v>11</v>
      </c>
      <c r="E1031" s="11">
        <v>40404</v>
      </c>
      <c r="F1031" s="11">
        <v>40360</v>
      </c>
      <c r="G1031" s="34">
        <v>0</v>
      </c>
      <c r="H1031" s="35">
        <v>0</v>
      </c>
      <c r="I1031" s="8">
        <f t="shared" si="2154"/>
        <v>4400</v>
      </c>
      <c r="J1031" s="8">
        <v>0</v>
      </c>
      <c r="K1031" s="2">
        <v>0</v>
      </c>
      <c r="L1031" s="8">
        <f t="shared" si="2155"/>
        <v>44</v>
      </c>
      <c r="M1031" s="8">
        <f t="shared" si="2156"/>
        <v>4400</v>
      </c>
    </row>
    <row r="1032" spans="1:13" ht="15" customHeight="1" x14ac:dyDescent="0.25">
      <c r="A1032" s="24">
        <v>43858</v>
      </c>
      <c r="B1032" s="29" t="s">
        <v>16</v>
      </c>
      <c r="C1032" s="11">
        <v>100</v>
      </c>
      <c r="D1032" s="11" t="s">
        <v>10</v>
      </c>
      <c r="E1032" s="11">
        <v>3800</v>
      </c>
      <c r="F1032" s="11">
        <v>3770</v>
      </c>
      <c r="G1032" s="34">
        <v>0</v>
      </c>
      <c r="H1032" s="35">
        <v>0</v>
      </c>
      <c r="I1032" s="8">
        <f t="shared" si="2154"/>
        <v>-3000</v>
      </c>
      <c r="J1032" s="8">
        <v>0</v>
      </c>
      <c r="K1032" s="2">
        <v>0</v>
      </c>
      <c r="L1032" s="8">
        <f t="shared" si="2155"/>
        <v>-30</v>
      </c>
      <c r="M1032" s="8">
        <f t="shared" si="2156"/>
        <v>-3000</v>
      </c>
    </row>
    <row r="1033" spans="1:13" ht="15" customHeight="1" x14ac:dyDescent="0.25">
      <c r="A1033" s="24">
        <v>43857</v>
      </c>
      <c r="B1033" s="29" t="s">
        <v>16</v>
      </c>
      <c r="C1033" s="11">
        <v>100</v>
      </c>
      <c r="D1033" s="11" t="s">
        <v>10</v>
      </c>
      <c r="E1033" s="11">
        <v>3755</v>
      </c>
      <c r="F1033" s="11">
        <v>3778</v>
      </c>
      <c r="G1033" s="34">
        <v>3810</v>
      </c>
      <c r="H1033" s="35">
        <v>0</v>
      </c>
      <c r="I1033" s="8">
        <f t="shared" si="2154"/>
        <v>2300</v>
      </c>
      <c r="J1033" s="8">
        <f>C1033*32</f>
        <v>3200</v>
      </c>
      <c r="K1033" s="2">
        <v>0</v>
      </c>
      <c r="L1033" s="8">
        <f t="shared" si="2155"/>
        <v>55</v>
      </c>
      <c r="M1033" s="8">
        <f t="shared" si="2156"/>
        <v>5500</v>
      </c>
    </row>
    <row r="1034" spans="1:13" ht="15" customHeight="1" x14ac:dyDescent="0.25">
      <c r="A1034" s="24">
        <v>43857</v>
      </c>
      <c r="B1034" s="29" t="s">
        <v>14</v>
      </c>
      <c r="C1034" s="11">
        <v>30</v>
      </c>
      <c r="D1034" s="11" t="s">
        <v>10</v>
      </c>
      <c r="E1034" s="11">
        <v>47430</v>
      </c>
      <c r="F1034" s="11">
        <v>47540</v>
      </c>
      <c r="G1034" s="34">
        <v>0</v>
      </c>
      <c r="H1034" s="35">
        <v>0</v>
      </c>
      <c r="I1034" s="8">
        <f t="shared" si="2154"/>
        <v>3300</v>
      </c>
      <c r="J1034" s="8">
        <v>0</v>
      </c>
      <c r="K1034" s="2">
        <v>0</v>
      </c>
      <c r="L1034" s="8">
        <f t="shared" si="2155"/>
        <v>110</v>
      </c>
      <c r="M1034" s="8">
        <f t="shared" si="2156"/>
        <v>3300</v>
      </c>
    </row>
    <row r="1035" spans="1:13" ht="15" customHeight="1" x14ac:dyDescent="0.25">
      <c r="A1035" s="24">
        <v>43857</v>
      </c>
      <c r="B1035" s="29" t="s">
        <v>19</v>
      </c>
      <c r="C1035" s="11">
        <v>100</v>
      </c>
      <c r="D1035" s="11" t="s">
        <v>10</v>
      </c>
      <c r="E1035" s="11">
        <v>40650</v>
      </c>
      <c r="F1035" s="11">
        <v>40690</v>
      </c>
      <c r="G1035" s="34">
        <v>40780</v>
      </c>
      <c r="H1035" s="35">
        <v>0</v>
      </c>
      <c r="I1035" s="8">
        <f t="shared" si="2154"/>
        <v>4000</v>
      </c>
      <c r="J1035" s="8">
        <f>C1035*90</f>
        <v>9000</v>
      </c>
      <c r="K1035" s="2">
        <v>0</v>
      </c>
      <c r="L1035" s="8">
        <f t="shared" si="2155"/>
        <v>130</v>
      </c>
      <c r="M1035" s="8">
        <f t="shared" si="2156"/>
        <v>13000</v>
      </c>
    </row>
    <row r="1036" spans="1:13" ht="15" customHeight="1" x14ac:dyDescent="0.25">
      <c r="A1036" s="24">
        <v>43853</v>
      </c>
      <c r="B1036" s="29" t="s">
        <v>18</v>
      </c>
      <c r="C1036" s="11">
        <v>2500</v>
      </c>
      <c r="D1036" s="11" t="s">
        <v>11</v>
      </c>
      <c r="E1036" s="11">
        <v>450</v>
      </c>
      <c r="F1036" s="11">
        <v>448.5</v>
      </c>
      <c r="G1036" s="34">
        <v>445.2</v>
      </c>
      <c r="H1036" s="35">
        <v>0</v>
      </c>
      <c r="I1036" s="8">
        <f t="shared" si="2154"/>
        <v>3750</v>
      </c>
      <c r="J1036" s="8">
        <f>C1036*3.3</f>
        <v>8250</v>
      </c>
      <c r="K1036" s="2">
        <v>0</v>
      </c>
      <c r="L1036" s="8">
        <f t="shared" si="2155"/>
        <v>4.8</v>
      </c>
      <c r="M1036" s="8">
        <f t="shared" si="2156"/>
        <v>12000</v>
      </c>
    </row>
    <row r="1037" spans="1:13" ht="15" customHeight="1" x14ac:dyDescent="0.25">
      <c r="A1037" s="24">
        <v>43853</v>
      </c>
      <c r="B1037" s="29" t="s">
        <v>52</v>
      </c>
      <c r="C1037" s="11">
        <v>1250</v>
      </c>
      <c r="D1037" s="11" t="s">
        <v>10</v>
      </c>
      <c r="E1037" s="11">
        <v>139</v>
      </c>
      <c r="F1037" s="11">
        <v>140</v>
      </c>
      <c r="G1037" s="34">
        <v>0</v>
      </c>
      <c r="H1037" s="35">
        <v>0</v>
      </c>
      <c r="I1037" s="8">
        <f t="shared" si="2154"/>
        <v>1250</v>
      </c>
      <c r="J1037" s="8">
        <v>0</v>
      </c>
      <c r="K1037" s="2">
        <v>0</v>
      </c>
      <c r="L1037" s="8">
        <f t="shared" si="2155"/>
        <v>1</v>
      </c>
      <c r="M1037" s="8">
        <f t="shared" si="2156"/>
        <v>1250</v>
      </c>
    </row>
    <row r="1038" spans="1:13" ht="15" customHeight="1" x14ac:dyDescent="0.25">
      <c r="A1038" s="24">
        <v>43853</v>
      </c>
      <c r="B1038" s="29" t="s">
        <v>21</v>
      </c>
      <c r="C1038" s="11">
        <v>1500</v>
      </c>
      <c r="D1038" s="11" t="s">
        <v>11</v>
      </c>
      <c r="E1038" s="11">
        <v>1005</v>
      </c>
      <c r="F1038" s="11">
        <v>1003</v>
      </c>
      <c r="G1038" s="34">
        <v>1000</v>
      </c>
      <c r="H1038" s="35">
        <v>0</v>
      </c>
      <c r="I1038" s="8">
        <f t="shared" si="2154"/>
        <v>3000</v>
      </c>
      <c r="J1038" s="8">
        <f>C1038*3</f>
        <v>4500</v>
      </c>
      <c r="K1038" s="2">
        <v>0</v>
      </c>
      <c r="L1038" s="8">
        <f t="shared" si="2155"/>
        <v>5</v>
      </c>
      <c r="M1038" s="8">
        <f t="shared" si="2156"/>
        <v>7500</v>
      </c>
    </row>
    <row r="1039" spans="1:13" ht="15" customHeight="1" x14ac:dyDescent="0.25">
      <c r="A1039" s="24">
        <v>43852</v>
      </c>
      <c r="B1039" s="29" t="s">
        <v>16</v>
      </c>
      <c r="C1039" s="11">
        <v>100</v>
      </c>
      <c r="D1039" s="11" t="s">
        <v>11</v>
      </c>
      <c r="E1039" s="11">
        <v>4140</v>
      </c>
      <c r="F1039" s="11">
        <v>4120</v>
      </c>
      <c r="G1039" s="34">
        <v>4090</v>
      </c>
      <c r="H1039" s="35">
        <v>4050</v>
      </c>
      <c r="I1039" s="8">
        <f t="shared" si="2154"/>
        <v>2000</v>
      </c>
      <c r="J1039" s="8">
        <f>C1039*30</f>
        <v>3000</v>
      </c>
      <c r="K1039" s="2">
        <f>C1039*40</f>
        <v>4000</v>
      </c>
      <c r="L1039" s="8">
        <f t="shared" si="2155"/>
        <v>90</v>
      </c>
      <c r="M1039" s="8">
        <f t="shared" si="2156"/>
        <v>9000</v>
      </c>
    </row>
    <row r="1040" spans="1:13" ht="15" customHeight="1" x14ac:dyDescent="0.25">
      <c r="A1040" s="24">
        <v>43851</v>
      </c>
      <c r="B1040" s="29" t="s">
        <v>16</v>
      </c>
      <c r="C1040" s="11">
        <v>100</v>
      </c>
      <c r="D1040" s="11" t="s">
        <v>11</v>
      </c>
      <c r="E1040" s="11">
        <v>4146</v>
      </c>
      <c r="F1040" s="11">
        <v>4126</v>
      </c>
      <c r="G1040" s="34">
        <v>0</v>
      </c>
      <c r="H1040" s="35">
        <v>0</v>
      </c>
      <c r="I1040" s="8">
        <f t="shared" si="2154"/>
        <v>2000</v>
      </c>
      <c r="J1040" s="8">
        <v>0</v>
      </c>
      <c r="K1040" s="2">
        <v>0</v>
      </c>
      <c r="L1040" s="8">
        <f t="shared" si="2155"/>
        <v>20</v>
      </c>
      <c r="M1040" s="8">
        <f t="shared" si="2156"/>
        <v>2000</v>
      </c>
    </row>
    <row r="1041" spans="1:13" ht="15" customHeight="1" x14ac:dyDescent="0.25">
      <c r="A1041" s="24">
        <v>43850</v>
      </c>
      <c r="B1041" s="29" t="s">
        <v>16</v>
      </c>
      <c r="C1041" s="11">
        <v>100</v>
      </c>
      <c r="D1041" s="11" t="s">
        <v>10</v>
      </c>
      <c r="E1041" s="11">
        <v>4217</v>
      </c>
      <c r="F1041" s="11">
        <v>4177</v>
      </c>
      <c r="G1041" s="34">
        <v>0</v>
      </c>
      <c r="H1041" s="35">
        <v>0</v>
      </c>
      <c r="I1041" s="8">
        <f t="shared" si="2154"/>
        <v>-4000</v>
      </c>
      <c r="J1041" s="8">
        <v>0</v>
      </c>
      <c r="K1041" s="2">
        <v>0</v>
      </c>
      <c r="L1041" s="8">
        <f t="shared" si="2155"/>
        <v>-40</v>
      </c>
      <c r="M1041" s="8">
        <f t="shared" si="2156"/>
        <v>-4000</v>
      </c>
    </row>
    <row r="1042" spans="1:13" ht="15" customHeight="1" x14ac:dyDescent="0.25">
      <c r="A1042" s="24">
        <v>43850</v>
      </c>
      <c r="B1042" s="29" t="s">
        <v>71</v>
      </c>
      <c r="C1042" s="11">
        <v>1000</v>
      </c>
      <c r="D1042" s="11" t="s">
        <v>10</v>
      </c>
      <c r="E1042" s="11">
        <v>184.3</v>
      </c>
      <c r="F1042" s="11">
        <v>183</v>
      </c>
      <c r="G1042" s="34">
        <v>0</v>
      </c>
      <c r="H1042" s="35">
        <v>0</v>
      </c>
      <c r="I1042" s="8">
        <f t="shared" si="2154"/>
        <v>-1300.0000000000114</v>
      </c>
      <c r="J1042" s="8">
        <v>0</v>
      </c>
      <c r="K1042" s="2">
        <v>0</v>
      </c>
      <c r="L1042" s="8">
        <f t="shared" si="2155"/>
        <v>-1.3000000000000114</v>
      </c>
      <c r="M1042" s="8">
        <f t="shared" si="2156"/>
        <v>-1300.0000000000114</v>
      </c>
    </row>
    <row r="1043" spans="1:13" ht="15" customHeight="1" x14ac:dyDescent="0.25">
      <c r="A1043" s="24">
        <v>43847</v>
      </c>
      <c r="B1043" s="29" t="s">
        <v>19</v>
      </c>
      <c r="C1043" s="11">
        <v>100</v>
      </c>
      <c r="D1043" s="11" t="s">
        <v>10</v>
      </c>
      <c r="E1043" s="11">
        <v>39870</v>
      </c>
      <c r="F1043" s="11">
        <v>39910</v>
      </c>
      <c r="G1043" s="34">
        <v>142.5</v>
      </c>
      <c r="H1043" s="35">
        <v>0</v>
      </c>
      <c r="I1043" s="8">
        <f t="shared" si="2154"/>
        <v>4000</v>
      </c>
      <c r="J1043" s="8">
        <f>C1043*3</f>
        <v>300</v>
      </c>
      <c r="K1043" s="2">
        <v>0</v>
      </c>
      <c r="L1043" s="8">
        <f t="shared" si="2155"/>
        <v>43</v>
      </c>
      <c r="M1043" s="8">
        <f t="shared" si="2156"/>
        <v>4300</v>
      </c>
    </row>
    <row r="1044" spans="1:13" ht="15" customHeight="1" x14ac:dyDescent="0.25">
      <c r="A1044" s="24">
        <v>43847</v>
      </c>
      <c r="B1044" s="29" t="s">
        <v>52</v>
      </c>
      <c r="C1044" s="11">
        <v>1250</v>
      </c>
      <c r="D1044" s="11" t="s">
        <v>11</v>
      </c>
      <c r="E1044" s="11">
        <v>147.5</v>
      </c>
      <c r="F1044" s="11">
        <v>145.5</v>
      </c>
      <c r="G1044" s="34">
        <v>142.5</v>
      </c>
      <c r="H1044" s="35">
        <v>0</v>
      </c>
      <c r="I1044" s="8">
        <f t="shared" si="2154"/>
        <v>2500</v>
      </c>
      <c r="J1044" s="8">
        <f>C1044*3</f>
        <v>3750</v>
      </c>
      <c r="K1044" s="2">
        <v>0</v>
      </c>
      <c r="L1044" s="8">
        <f t="shared" si="2155"/>
        <v>5</v>
      </c>
      <c r="M1044" s="8">
        <f t="shared" si="2156"/>
        <v>6250</v>
      </c>
    </row>
    <row r="1045" spans="1:13" ht="15" customHeight="1" x14ac:dyDescent="0.25">
      <c r="A1045" s="24">
        <v>43847</v>
      </c>
      <c r="B1045" s="29" t="s">
        <v>71</v>
      </c>
      <c r="C1045" s="11">
        <v>1000</v>
      </c>
      <c r="D1045" s="11" t="s">
        <v>10</v>
      </c>
      <c r="E1045" s="11">
        <v>183.5</v>
      </c>
      <c r="F1045" s="11">
        <v>184.2</v>
      </c>
      <c r="G1045" s="34">
        <v>0</v>
      </c>
      <c r="H1045" s="35">
        <v>0</v>
      </c>
      <c r="I1045" s="8">
        <f t="shared" si="2154"/>
        <v>699.99999999998863</v>
      </c>
      <c r="J1045" s="8">
        <v>0</v>
      </c>
      <c r="K1045" s="2">
        <v>0</v>
      </c>
      <c r="L1045" s="8">
        <f t="shared" si="2155"/>
        <v>0.69999999999998863</v>
      </c>
      <c r="M1045" s="8">
        <f t="shared" si="2156"/>
        <v>699.99999999998863</v>
      </c>
    </row>
    <row r="1046" spans="1:13" ht="15" customHeight="1" x14ac:dyDescent="0.25">
      <c r="A1046" s="24">
        <v>43846</v>
      </c>
      <c r="B1046" s="29" t="s">
        <v>21</v>
      </c>
      <c r="C1046" s="11">
        <v>1500</v>
      </c>
      <c r="D1046" s="11" t="s">
        <v>10</v>
      </c>
      <c r="E1046" s="11">
        <v>1053</v>
      </c>
      <c r="F1046" s="11">
        <v>1056</v>
      </c>
      <c r="G1046" s="34">
        <v>0</v>
      </c>
      <c r="H1046" s="35">
        <v>0</v>
      </c>
      <c r="I1046" s="8">
        <f t="shared" si="2154"/>
        <v>4500</v>
      </c>
      <c r="J1046" s="8">
        <v>0</v>
      </c>
      <c r="K1046" s="2">
        <v>0</v>
      </c>
      <c r="L1046" s="8">
        <f t="shared" si="2155"/>
        <v>3</v>
      </c>
      <c r="M1046" s="8">
        <f t="shared" si="2156"/>
        <v>4500</v>
      </c>
    </row>
    <row r="1047" spans="1:13" ht="15" customHeight="1" x14ac:dyDescent="0.25">
      <c r="A1047" s="24">
        <v>43846</v>
      </c>
      <c r="B1047" s="29" t="s">
        <v>18</v>
      </c>
      <c r="C1047" s="11">
        <v>2500</v>
      </c>
      <c r="D1047" s="11" t="s">
        <v>10</v>
      </c>
      <c r="E1047" s="11">
        <v>455.5</v>
      </c>
      <c r="F1047" s="11">
        <v>456.7</v>
      </c>
      <c r="G1047" s="34">
        <v>0</v>
      </c>
      <c r="H1047" s="35">
        <v>0</v>
      </c>
      <c r="I1047" s="8">
        <f t="shared" si="2154"/>
        <v>2999.9999999999718</v>
      </c>
      <c r="J1047" s="8">
        <v>0</v>
      </c>
      <c r="K1047" s="2">
        <v>0</v>
      </c>
      <c r="L1047" s="8">
        <f t="shared" si="2155"/>
        <v>1.1999999999999886</v>
      </c>
      <c r="M1047" s="8">
        <f t="shared" si="2156"/>
        <v>2999.9999999999718</v>
      </c>
    </row>
    <row r="1048" spans="1:13" ht="15" customHeight="1" x14ac:dyDescent="0.25">
      <c r="A1048" s="24">
        <v>43846</v>
      </c>
      <c r="B1048" s="29" t="s">
        <v>16</v>
      </c>
      <c r="C1048" s="11">
        <v>100</v>
      </c>
      <c r="D1048" s="11" t="s">
        <v>10</v>
      </c>
      <c r="E1048" s="11">
        <v>4137</v>
      </c>
      <c r="F1048" s="11">
        <v>4107</v>
      </c>
      <c r="G1048" s="34">
        <v>0</v>
      </c>
      <c r="H1048" s="35">
        <v>0</v>
      </c>
      <c r="I1048" s="8">
        <f t="shared" si="2154"/>
        <v>-3000</v>
      </c>
      <c r="J1048" s="8">
        <v>0</v>
      </c>
      <c r="K1048" s="2">
        <v>0</v>
      </c>
      <c r="L1048" s="8">
        <f t="shared" si="2155"/>
        <v>-30</v>
      </c>
      <c r="M1048" s="8">
        <f t="shared" si="2156"/>
        <v>-3000</v>
      </c>
    </row>
    <row r="1049" spans="1:13" ht="15" customHeight="1" x14ac:dyDescent="0.25">
      <c r="A1049" s="24">
        <v>43846</v>
      </c>
      <c r="B1049" s="29" t="s">
        <v>19</v>
      </c>
      <c r="C1049" s="11">
        <v>100</v>
      </c>
      <c r="D1049" s="11" t="s">
        <v>10</v>
      </c>
      <c r="E1049" s="11">
        <v>39750</v>
      </c>
      <c r="F1049" s="11">
        <v>39670</v>
      </c>
      <c r="G1049" s="34">
        <v>0</v>
      </c>
      <c r="H1049" s="35">
        <v>0</v>
      </c>
      <c r="I1049" s="8">
        <f t="shared" si="2154"/>
        <v>-8000</v>
      </c>
      <c r="J1049" s="8">
        <v>0</v>
      </c>
      <c r="K1049" s="2">
        <v>0</v>
      </c>
      <c r="L1049" s="8">
        <f t="shared" si="2155"/>
        <v>-80</v>
      </c>
      <c r="M1049" s="8">
        <f t="shared" si="2156"/>
        <v>-8000</v>
      </c>
    </row>
    <row r="1050" spans="1:13" ht="15" customHeight="1" x14ac:dyDescent="0.25">
      <c r="A1050" s="24">
        <v>43846</v>
      </c>
      <c r="B1050" s="29" t="s">
        <v>70</v>
      </c>
      <c r="C1050" s="11">
        <v>1000</v>
      </c>
      <c r="D1050" s="11" t="s">
        <v>10</v>
      </c>
      <c r="E1050" s="11">
        <v>153</v>
      </c>
      <c r="F1050" s="11">
        <v>152</v>
      </c>
      <c r="G1050" s="34">
        <v>0</v>
      </c>
      <c r="H1050" s="35">
        <v>0</v>
      </c>
      <c r="I1050" s="8">
        <f t="shared" si="2154"/>
        <v>-1000</v>
      </c>
      <c r="J1050" s="8">
        <v>0</v>
      </c>
      <c r="K1050" s="2">
        <v>0</v>
      </c>
      <c r="L1050" s="8">
        <f t="shared" si="2155"/>
        <v>-1</v>
      </c>
      <c r="M1050" s="8">
        <f t="shared" si="2156"/>
        <v>-1000</v>
      </c>
    </row>
    <row r="1051" spans="1:13" ht="15" customHeight="1" x14ac:dyDescent="0.25">
      <c r="A1051" s="24">
        <v>43845</v>
      </c>
      <c r="B1051" s="29" t="s">
        <v>52</v>
      </c>
      <c r="C1051" s="11">
        <v>1250</v>
      </c>
      <c r="D1051" s="11" t="s">
        <v>11</v>
      </c>
      <c r="E1051" s="11">
        <v>153.5</v>
      </c>
      <c r="F1051" s="11">
        <v>151.5</v>
      </c>
      <c r="G1051" s="34">
        <v>0</v>
      </c>
      <c r="H1051" s="35">
        <v>0</v>
      </c>
      <c r="I1051" s="8">
        <f t="shared" si="2154"/>
        <v>2500</v>
      </c>
      <c r="J1051" s="8">
        <v>0</v>
      </c>
      <c r="K1051" s="2">
        <v>0</v>
      </c>
      <c r="L1051" s="8">
        <f t="shared" si="2155"/>
        <v>2</v>
      </c>
      <c r="M1051" s="8">
        <f t="shared" si="2156"/>
        <v>2500</v>
      </c>
    </row>
    <row r="1052" spans="1:13" ht="15" customHeight="1" x14ac:dyDescent="0.25">
      <c r="A1052" s="24">
        <v>43845</v>
      </c>
      <c r="B1052" s="29" t="s">
        <v>15</v>
      </c>
      <c r="C1052" s="11">
        <v>1000</v>
      </c>
      <c r="D1052" s="11" t="s">
        <v>10</v>
      </c>
      <c r="E1052" s="11">
        <v>152.5</v>
      </c>
      <c r="F1052" s="11">
        <v>152.80000000000001</v>
      </c>
      <c r="G1052" s="34">
        <v>0</v>
      </c>
      <c r="H1052" s="35">
        <v>0</v>
      </c>
      <c r="I1052" s="8">
        <f t="shared" si="2154"/>
        <v>300.00000000001137</v>
      </c>
      <c r="J1052" s="8">
        <v>0</v>
      </c>
      <c r="K1052" s="2">
        <v>0</v>
      </c>
      <c r="L1052" s="8">
        <f t="shared" si="2155"/>
        <v>0.30000000000001137</v>
      </c>
      <c r="M1052" s="8">
        <f t="shared" si="2156"/>
        <v>300.00000000001137</v>
      </c>
    </row>
    <row r="1053" spans="1:13" ht="15" customHeight="1" x14ac:dyDescent="0.25">
      <c r="A1053" s="24">
        <v>43844</v>
      </c>
      <c r="B1053" s="29" t="s">
        <v>18</v>
      </c>
      <c r="C1053" s="11">
        <v>2500</v>
      </c>
      <c r="D1053" s="11" t="s">
        <v>10</v>
      </c>
      <c r="E1053" s="11">
        <v>450.5</v>
      </c>
      <c r="F1053" s="11">
        <v>451.5</v>
      </c>
      <c r="G1053" s="34">
        <v>453</v>
      </c>
      <c r="H1053" s="35">
        <v>455</v>
      </c>
      <c r="I1053" s="8">
        <f t="shared" si="2154"/>
        <v>2500</v>
      </c>
      <c r="J1053" s="8">
        <f>C1053*2</f>
        <v>5000</v>
      </c>
      <c r="K1053" s="2">
        <f>C1053*2</f>
        <v>5000</v>
      </c>
      <c r="L1053" s="8">
        <f t="shared" si="2155"/>
        <v>5</v>
      </c>
      <c r="M1053" s="8">
        <f t="shared" si="2156"/>
        <v>12500</v>
      </c>
    </row>
    <row r="1054" spans="1:13" ht="15" customHeight="1" x14ac:dyDescent="0.25">
      <c r="A1054" s="24">
        <v>43844</v>
      </c>
      <c r="B1054" s="29" t="s">
        <v>21</v>
      </c>
      <c r="C1054" s="11">
        <v>1500</v>
      </c>
      <c r="D1054" s="11" t="s">
        <v>11</v>
      </c>
      <c r="E1054" s="11">
        <v>1023</v>
      </c>
      <c r="F1054" s="11">
        <v>1021</v>
      </c>
      <c r="G1054" s="34">
        <v>1015</v>
      </c>
      <c r="H1054" s="35">
        <v>1010</v>
      </c>
      <c r="I1054" s="8">
        <f t="shared" si="2154"/>
        <v>3000</v>
      </c>
      <c r="J1054" s="8">
        <f>C1054*6</f>
        <v>9000</v>
      </c>
      <c r="K1054" s="2">
        <f>C1054*5</f>
        <v>7500</v>
      </c>
      <c r="L1054" s="8">
        <f t="shared" si="2155"/>
        <v>13</v>
      </c>
      <c r="M1054" s="8">
        <f t="shared" si="2156"/>
        <v>19500</v>
      </c>
    </row>
    <row r="1055" spans="1:13" ht="15" customHeight="1" x14ac:dyDescent="0.25">
      <c r="A1055" s="24">
        <v>43844</v>
      </c>
      <c r="B1055" s="29" t="s">
        <v>52</v>
      </c>
      <c r="C1055" s="11">
        <v>1250</v>
      </c>
      <c r="D1055" s="11" t="s">
        <v>10</v>
      </c>
      <c r="E1055" s="11">
        <v>157.30000000000001</v>
      </c>
      <c r="F1055" s="11">
        <v>159.30000000000001</v>
      </c>
      <c r="G1055" s="34">
        <v>0</v>
      </c>
      <c r="H1055" s="35">
        <v>0</v>
      </c>
      <c r="I1055" s="8">
        <f t="shared" si="2154"/>
        <v>2500</v>
      </c>
      <c r="J1055" s="8">
        <v>0</v>
      </c>
      <c r="K1055" s="2">
        <v>0</v>
      </c>
      <c r="L1055" s="8">
        <f t="shared" si="2155"/>
        <v>2</v>
      </c>
      <c r="M1055" s="8">
        <f t="shared" si="2156"/>
        <v>2500</v>
      </c>
    </row>
    <row r="1056" spans="1:13" ht="15" customHeight="1" x14ac:dyDescent="0.25">
      <c r="A1056" s="24">
        <v>43843</v>
      </c>
      <c r="B1056" s="29" t="s">
        <v>52</v>
      </c>
      <c r="C1056" s="11">
        <v>1250</v>
      </c>
      <c r="D1056" s="11" t="s">
        <v>11</v>
      </c>
      <c r="E1056" s="11">
        <v>155</v>
      </c>
      <c r="F1056" s="11">
        <v>153.5</v>
      </c>
      <c r="G1056" s="34">
        <v>0</v>
      </c>
      <c r="H1056" s="35">
        <v>0</v>
      </c>
      <c r="I1056" s="8">
        <f t="shared" si="2154"/>
        <v>1875</v>
      </c>
      <c r="J1056" s="8">
        <v>0</v>
      </c>
      <c r="K1056" s="2">
        <v>0</v>
      </c>
      <c r="L1056" s="8">
        <f t="shared" si="2155"/>
        <v>1.5</v>
      </c>
      <c r="M1056" s="8">
        <f t="shared" si="2156"/>
        <v>1875</v>
      </c>
    </row>
    <row r="1057" spans="1:13" ht="15" customHeight="1" x14ac:dyDescent="0.25">
      <c r="A1057" s="24">
        <v>43843</v>
      </c>
      <c r="B1057" s="29" t="s">
        <v>16</v>
      </c>
      <c r="C1057" s="11">
        <v>100</v>
      </c>
      <c r="D1057" s="11" t="s">
        <v>11</v>
      </c>
      <c r="E1057" s="11">
        <v>4166</v>
      </c>
      <c r="F1057" s="11">
        <v>4146</v>
      </c>
      <c r="G1057" s="34">
        <v>4116</v>
      </c>
      <c r="H1057" s="35">
        <v>0</v>
      </c>
      <c r="I1057" s="8">
        <f t="shared" si="2154"/>
        <v>2000</v>
      </c>
      <c r="J1057" s="8">
        <f>C1057*30</f>
        <v>3000</v>
      </c>
      <c r="K1057" s="2">
        <v>0</v>
      </c>
      <c r="L1057" s="8">
        <f t="shared" si="2155"/>
        <v>50</v>
      </c>
      <c r="M1057" s="8">
        <f t="shared" si="2156"/>
        <v>5000</v>
      </c>
    </row>
    <row r="1058" spans="1:13" ht="15" customHeight="1" x14ac:dyDescent="0.25">
      <c r="A1058" s="24">
        <v>43839</v>
      </c>
      <c r="B1058" s="29" t="s">
        <v>16</v>
      </c>
      <c r="C1058" s="11">
        <v>100</v>
      </c>
      <c r="D1058" s="11" t="s">
        <v>11</v>
      </c>
      <c r="E1058" s="11">
        <v>4195</v>
      </c>
      <c r="F1058" s="11">
        <v>4230</v>
      </c>
      <c r="G1058" s="34">
        <v>0</v>
      </c>
      <c r="H1058" s="35">
        <v>0</v>
      </c>
      <c r="I1058" s="8">
        <f t="shared" si="2154"/>
        <v>-3500</v>
      </c>
      <c r="J1058" s="8">
        <v>0</v>
      </c>
      <c r="K1058" s="2">
        <v>0</v>
      </c>
      <c r="L1058" s="8">
        <f t="shared" si="2155"/>
        <v>-35</v>
      </c>
      <c r="M1058" s="8">
        <f t="shared" si="2156"/>
        <v>-3500</v>
      </c>
    </row>
    <row r="1059" spans="1:13" ht="15" customHeight="1" x14ac:dyDescent="0.25">
      <c r="A1059" s="24">
        <v>43838</v>
      </c>
      <c r="B1059" s="29" t="s">
        <v>14</v>
      </c>
      <c r="C1059" s="11">
        <v>30</v>
      </c>
      <c r="D1059" s="11" t="s">
        <v>10</v>
      </c>
      <c r="E1059" s="11">
        <v>48880</v>
      </c>
      <c r="F1059" s="11">
        <v>48650</v>
      </c>
      <c r="G1059" s="34">
        <v>0</v>
      </c>
      <c r="H1059" s="35">
        <v>0</v>
      </c>
      <c r="I1059" s="8">
        <f t="shared" si="2154"/>
        <v>-6900</v>
      </c>
      <c r="J1059" s="8">
        <v>0</v>
      </c>
      <c r="K1059" s="2">
        <v>0</v>
      </c>
      <c r="L1059" s="8">
        <f t="shared" si="2155"/>
        <v>-230</v>
      </c>
      <c r="M1059" s="8">
        <f t="shared" si="2156"/>
        <v>-6900</v>
      </c>
    </row>
    <row r="1060" spans="1:13" ht="15" customHeight="1" x14ac:dyDescent="0.25">
      <c r="A1060" s="24">
        <v>43838</v>
      </c>
      <c r="B1060" s="29" t="s">
        <v>16</v>
      </c>
      <c r="C1060" s="11">
        <v>100</v>
      </c>
      <c r="D1060" s="11" t="s">
        <v>10</v>
      </c>
      <c r="E1060" s="11">
        <v>4576</v>
      </c>
      <c r="F1060" s="11">
        <v>4535</v>
      </c>
      <c r="G1060" s="34">
        <v>0</v>
      </c>
      <c r="H1060" s="35">
        <v>0</v>
      </c>
      <c r="I1060" s="8">
        <f t="shared" si="2154"/>
        <v>-4100</v>
      </c>
      <c r="J1060" s="8">
        <v>0</v>
      </c>
      <c r="K1060" s="2">
        <v>0</v>
      </c>
      <c r="L1060" s="8">
        <f t="shared" si="2155"/>
        <v>-41</v>
      </c>
      <c r="M1060" s="8">
        <f t="shared" si="2156"/>
        <v>-4100</v>
      </c>
    </row>
    <row r="1061" spans="1:13" ht="15" customHeight="1" x14ac:dyDescent="0.25">
      <c r="A1061" s="24">
        <v>43837</v>
      </c>
      <c r="B1061" s="29" t="s">
        <v>16</v>
      </c>
      <c r="C1061" s="11">
        <v>100</v>
      </c>
      <c r="D1061" s="11" t="s">
        <v>10</v>
      </c>
      <c r="E1061" s="11">
        <v>4522</v>
      </c>
      <c r="F1061" s="11">
        <v>4480</v>
      </c>
      <c r="G1061" s="34">
        <v>0</v>
      </c>
      <c r="H1061" s="35">
        <v>0</v>
      </c>
      <c r="I1061" s="8">
        <f t="shared" si="2154"/>
        <v>-4200</v>
      </c>
      <c r="J1061" s="8">
        <v>0</v>
      </c>
      <c r="K1061" s="2">
        <v>0</v>
      </c>
      <c r="L1061" s="8">
        <f t="shared" si="2155"/>
        <v>-42</v>
      </c>
      <c r="M1061" s="8">
        <f t="shared" si="2156"/>
        <v>-4200</v>
      </c>
    </row>
    <row r="1062" spans="1:13" ht="15" customHeight="1" x14ac:dyDescent="0.25">
      <c r="A1062" s="24">
        <v>43836</v>
      </c>
      <c r="B1062" s="29" t="s">
        <v>52</v>
      </c>
      <c r="C1062" s="11">
        <v>1250</v>
      </c>
      <c r="D1062" s="11" t="s">
        <v>10</v>
      </c>
      <c r="E1062" s="11">
        <v>156.6</v>
      </c>
      <c r="F1062" s="11">
        <v>153</v>
      </c>
      <c r="G1062" s="34">
        <v>0</v>
      </c>
      <c r="H1062" s="35">
        <v>0</v>
      </c>
      <c r="I1062" s="8">
        <f t="shared" si="2154"/>
        <v>-4499.9999999999927</v>
      </c>
      <c r="J1062" s="8">
        <v>0</v>
      </c>
      <c r="K1062" s="2">
        <v>0</v>
      </c>
      <c r="L1062" s="8">
        <f t="shared" si="2155"/>
        <v>-3.5999999999999943</v>
      </c>
      <c r="M1062" s="8">
        <f t="shared" si="2156"/>
        <v>-4499.9999999999927</v>
      </c>
    </row>
    <row r="1063" spans="1:13" ht="15" customHeight="1" x14ac:dyDescent="0.25">
      <c r="A1063" s="24">
        <v>43836</v>
      </c>
      <c r="B1063" s="29" t="s">
        <v>21</v>
      </c>
      <c r="C1063" s="11">
        <v>1500</v>
      </c>
      <c r="D1063" s="11" t="s">
        <v>10</v>
      </c>
      <c r="E1063" s="11">
        <v>1026.5</v>
      </c>
      <c r="F1063" s="11">
        <v>1020</v>
      </c>
      <c r="G1063" s="34">
        <v>0</v>
      </c>
      <c r="H1063" s="35">
        <v>0</v>
      </c>
      <c r="I1063" s="8">
        <f t="shared" si="2154"/>
        <v>-9750</v>
      </c>
      <c r="J1063" s="8">
        <v>0</v>
      </c>
      <c r="K1063" s="2">
        <v>0</v>
      </c>
      <c r="L1063" s="8">
        <f t="shared" si="2155"/>
        <v>-6.5</v>
      </c>
      <c r="M1063" s="8">
        <f t="shared" si="2156"/>
        <v>-9750</v>
      </c>
    </row>
    <row r="1064" spans="1:13" ht="15" customHeight="1" x14ac:dyDescent="0.25">
      <c r="A1064" s="24">
        <v>43833</v>
      </c>
      <c r="B1064" s="29" t="s">
        <v>16</v>
      </c>
      <c r="C1064" s="11">
        <v>100</v>
      </c>
      <c r="D1064" s="11" t="s">
        <v>10</v>
      </c>
      <c r="E1064" s="11">
        <v>4537</v>
      </c>
      <c r="F1064" s="11">
        <v>4560</v>
      </c>
      <c r="G1064" s="34">
        <v>4590</v>
      </c>
      <c r="H1064" s="35">
        <v>0</v>
      </c>
      <c r="I1064" s="8">
        <f t="shared" si="2154"/>
        <v>2300</v>
      </c>
      <c r="J1064" s="8">
        <f>C1064*20</f>
        <v>2000</v>
      </c>
      <c r="K1064" s="2">
        <v>0</v>
      </c>
      <c r="L1064" s="8">
        <f t="shared" si="2155"/>
        <v>43</v>
      </c>
      <c r="M1064" s="8">
        <f t="shared" si="2156"/>
        <v>4300</v>
      </c>
    </row>
    <row r="1065" spans="1:13" ht="15" customHeight="1" x14ac:dyDescent="0.25">
      <c r="A1065" s="24">
        <v>43833</v>
      </c>
      <c r="B1065" s="29" t="s">
        <v>19</v>
      </c>
      <c r="C1065" s="11">
        <v>100</v>
      </c>
      <c r="D1065" s="11" t="s">
        <v>10</v>
      </c>
      <c r="E1065" s="11">
        <v>39940</v>
      </c>
      <c r="F1065" s="11">
        <v>39990</v>
      </c>
      <c r="G1065" s="34">
        <v>0</v>
      </c>
      <c r="H1065" s="35">
        <v>0</v>
      </c>
      <c r="I1065" s="8">
        <f t="shared" si="2154"/>
        <v>5000</v>
      </c>
      <c r="J1065" s="8">
        <v>0</v>
      </c>
      <c r="K1065" s="2">
        <v>0</v>
      </c>
      <c r="L1065" s="8">
        <f t="shared" si="2155"/>
        <v>50</v>
      </c>
      <c r="M1065" s="8">
        <f t="shared" si="2156"/>
        <v>5000</v>
      </c>
    </row>
    <row r="1066" spans="1:13" ht="15" customHeight="1" x14ac:dyDescent="0.25">
      <c r="A1066" s="24">
        <v>43833</v>
      </c>
      <c r="B1066" s="29" t="s">
        <v>14</v>
      </c>
      <c r="C1066" s="11">
        <v>30</v>
      </c>
      <c r="D1066" s="11" t="s">
        <v>10</v>
      </c>
      <c r="E1066" s="11">
        <v>47720</v>
      </c>
      <c r="F1066" s="11">
        <v>47810</v>
      </c>
      <c r="G1066" s="34">
        <v>0</v>
      </c>
      <c r="H1066" s="35">
        <v>0</v>
      </c>
      <c r="I1066" s="8">
        <f t="shared" si="2154"/>
        <v>2700</v>
      </c>
      <c r="J1066" s="8">
        <v>0</v>
      </c>
      <c r="K1066" s="2">
        <v>0</v>
      </c>
      <c r="L1066" s="8">
        <f t="shared" si="2155"/>
        <v>90</v>
      </c>
      <c r="M1066" s="8">
        <f t="shared" si="2156"/>
        <v>2700</v>
      </c>
    </row>
    <row r="1067" spans="1:13" ht="15" customHeight="1" x14ac:dyDescent="0.25">
      <c r="A1067" s="24">
        <v>43832</v>
      </c>
      <c r="B1067" s="29" t="s">
        <v>14</v>
      </c>
      <c r="C1067" s="11">
        <v>30</v>
      </c>
      <c r="D1067" s="11" t="s">
        <v>10</v>
      </c>
      <c r="E1067" s="11">
        <v>46900</v>
      </c>
      <c r="F1067" s="11">
        <v>47100</v>
      </c>
      <c r="G1067" s="34">
        <v>0</v>
      </c>
      <c r="H1067" s="35">
        <v>0</v>
      </c>
      <c r="I1067" s="8">
        <f t="shared" si="2154"/>
        <v>6000</v>
      </c>
      <c r="J1067" s="8">
        <f>C1067*80</f>
        <v>2400</v>
      </c>
      <c r="K1067" s="2">
        <v>0</v>
      </c>
      <c r="L1067" s="8">
        <f t="shared" si="2155"/>
        <v>280</v>
      </c>
      <c r="M1067" s="8">
        <f t="shared" si="2156"/>
        <v>8400</v>
      </c>
    </row>
    <row r="1068" spans="1:13" ht="15" customHeight="1" x14ac:dyDescent="0.25">
      <c r="A1068" s="24">
        <v>43832</v>
      </c>
      <c r="B1068" s="29" t="s">
        <v>19</v>
      </c>
      <c r="C1068" s="11">
        <v>100</v>
      </c>
      <c r="D1068" s="11" t="s">
        <v>10</v>
      </c>
      <c r="E1068" s="11">
        <v>39180</v>
      </c>
      <c r="F1068" s="11">
        <v>39220</v>
      </c>
      <c r="G1068" s="47">
        <v>39300</v>
      </c>
      <c r="H1068" s="35">
        <v>0</v>
      </c>
      <c r="I1068" s="8">
        <f t="shared" si="2154"/>
        <v>4000</v>
      </c>
      <c r="J1068" s="8">
        <f>C1068*80</f>
        <v>8000</v>
      </c>
      <c r="K1068" s="2">
        <v>0</v>
      </c>
      <c r="L1068" s="8">
        <f t="shared" si="2155"/>
        <v>120</v>
      </c>
      <c r="M1068" s="8">
        <f t="shared" si="2156"/>
        <v>12000</v>
      </c>
    </row>
    <row r="1069" spans="1:13" ht="15" customHeight="1" x14ac:dyDescent="0.25">
      <c r="A1069" s="24">
        <v>43830</v>
      </c>
      <c r="B1069" s="29" t="s">
        <v>52</v>
      </c>
      <c r="C1069" s="11">
        <v>1250</v>
      </c>
      <c r="D1069" s="11" t="s">
        <v>11</v>
      </c>
      <c r="E1069" s="11">
        <v>156.5</v>
      </c>
      <c r="F1069" s="11">
        <v>154.5</v>
      </c>
      <c r="G1069" s="34">
        <v>0</v>
      </c>
      <c r="H1069" s="35">
        <v>0</v>
      </c>
      <c r="I1069" s="8">
        <f t="shared" si="2154"/>
        <v>2500</v>
      </c>
      <c r="J1069" s="8">
        <v>0</v>
      </c>
      <c r="K1069" s="2">
        <v>0</v>
      </c>
      <c r="L1069" s="8">
        <f t="shared" si="2155"/>
        <v>2</v>
      </c>
      <c r="M1069" s="8">
        <f t="shared" si="2156"/>
        <v>2500</v>
      </c>
    </row>
    <row r="1070" spans="1:13" ht="15" customHeight="1" x14ac:dyDescent="0.25">
      <c r="A1070" s="24">
        <v>43830</v>
      </c>
      <c r="B1070" s="29" t="s">
        <v>16</v>
      </c>
      <c r="C1070" s="11">
        <v>100</v>
      </c>
      <c r="D1070" s="11" t="s">
        <v>10</v>
      </c>
      <c r="E1070" s="11">
        <v>4412</v>
      </c>
      <c r="F1070" s="11">
        <v>4380</v>
      </c>
      <c r="G1070" s="34">
        <v>0</v>
      </c>
      <c r="H1070" s="35">
        <v>0</v>
      </c>
      <c r="I1070" s="8">
        <f t="shared" si="2154"/>
        <v>-3200</v>
      </c>
      <c r="J1070" s="8">
        <v>0</v>
      </c>
      <c r="K1070" s="2">
        <v>0</v>
      </c>
      <c r="L1070" s="8">
        <f t="shared" si="2155"/>
        <v>-32</v>
      </c>
      <c r="M1070" s="8">
        <f t="shared" si="2156"/>
        <v>-3200</v>
      </c>
    </row>
    <row r="1071" spans="1:13" ht="15" customHeight="1" x14ac:dyDescent="0.25">
      <c r="A1071" s="24">
        <v>43829</v>
      </c>
      <c r="B1071" s="29" t="s">
        <v>14</v>
      </c>
      <c r="C1071" s="11">
        <v>30</v>
      </c>
      <c r="D1071" s="11" t="s">
        <v>11</v>
      </c>
      <c r="E1071" s="11">
        <v>46630</v>
      </c>
      <c r="F1071" s="11">
        <v>46884</v>
      </c>
      <c r="G1071" s="34">
        <v>0</v>
      </c>
      <c r="H1071" s="35">
        <v>0</v>
      </c>
      <c r="I1071" s="8">
        <f t="shared" si="2154"/>
        <v>-7620</v>
      </c>
      <c r="J1071" s="8">
        <v>0</v>
      </c>
      <c r="K1071" s="2">
        <v>0</v>
      </c>
      <c r="L1071" s="8">
        <f t="shared" si="2155"/>
        <v>-254</v>
      </c>
      <c r="M1071" s="8">
        <f t="shared" si="2156"/>
        <v>-7620</v>
      </c>
    </row>
    <row r="1072" spans="1:13" ht="15" customHeight="1" x14ac:dyDescent="0.25">
      <c r="A1072" s="24">
        <v>43829</v>
      </c>
      <c r="B1072" s="29" t="s">
        <v>14</v>
      </c>
      <c r="C1072" s="11">
        <v>30</v>
      </c>
      <c r="D1072" s="11" t="s">
        <v>10</v>
      </c>
      <c r="E1072" s="11">
        <v>46900</v>
      </c>
      <c r="F1072" s="11">
        <v>46680</v>
      </c>
      <c r="G1072" s="34">
        <v>0</v>
      </c>
      <c r="H1072" s="35">
        <v>0</v>
      </c>
      <c r="I1072" s="8">
        <f t="shared" si="2154"/>
        <v>-6600</v>
      </c>
      <c r="J1072" s="8">
        <v>0</v>
      </c>
      <c r="K1072" s="2">
        <v>0</v>
      </c>
      <c r="L1072" s="8">
        <f t="shared" si="2155"/>
        <v>-220</v>
      </c>
      <c r="M1072" s="8">
        <f t="shared" si="2156"/>
        <v>-6600</v>
      </c>
    </row>
    <row r="1073" spans="1:13" ht="15" customHeight="1" x14ac:dyDescent="0.25">
      <c r="A1073" s="24">
        <v>43825</v>
      </c>
      <c r="B1073" s="29" t="s">
        <v>16</v>
      </c>
      <c r="C1073" s="11">
        <v>100</v>
      </c>
      <c r="D1073" s="11" t="s">
        <v>10</v>
      </c>
      <c r="E1073" s="11">
        <v>4380</v>
      </c>
      <c r="F1073" s="11">
        <v>4400</v>
      </c>
      <c r="G1073" s="34">
        <v>0</v>
      </c>
      <c r="H1073" s="35">
        <v>0</v>
      </c>
      <c r="I1073" s="8">
        <f t="shared" si="2154"/>
        <v>2000</v>
      </c>
      <c r="J1073" s="8">
        <v>0</v>
      </c>
      <c r="K1073" s="2">
        <v>0</v>
      </c>
      <c r="L1073" s="8">
        <f t="shared" si="2155"/>
        <v>20</v>
      </c>
      <c r="M1073" s="8">
        <f t="shared" si="2156"/>
        <v>2000</v>
      </c>
    </row>
    <row r="1074" spans="1:13" ht="15" customHeight="1" x14ac:dyDescent="0.25">
      <c r="A1074" s="24">
        <v>43825</v>
      </c>
      <c r="B1074" s="29" t="s">
        <v>52</v>
      </c>
      <c r="C1074" s="11">
        <v>1250</v>
      </c>
      <c r="D1074" s="11" t="s">
        <v>10</v>
      </c>
      <c r="E1074" s="11">
        <v>160.5</v>
      </c>
      <c r="F1074" s="11">
        <v>161.5</v>
      </c>
      <c r="G1074" s="34">
        <v>0</v>
      </c>
      <c r="H1074" s="35">
        <v>0</v>
      </c>
      <c r="I1074" s="8">
        <f t="shared" si="2154"/>
        <v>1250</v>
      </c>
      <c r="J1074" s="8">
        <v>0</v>
      </c>
      <c r="K1074" s="2">
        <v>0</v>
      </c>
      <c r="L1074" s="8">
        <f t="shared" si="2155"/>
        <v>1</v>
      </c>
      <c r="M1074" s="8">
        <f t="shared" si="2156"/>
        <v>1250</v>
      </c>
    </row>
    <row r="1075" spans="1:13" ht="15" customHeight="1" x14ac:dyDescent="0.25">
      <c r="A1075" s="24">
        <v>43823</v>
      </c>
      <c r="B1075" s="29" t="s">
        <v>16</v>
      </c>
      <c r="C1075" s="11">
        <v>100</v>
      </c>
      <c r="D1075" s="11" t="s">
        <v>10</v>
      </c>
      <c r="E1075" s="11">
        <v>4336</v>
      </c>
      <c r="F1075" s="11">
        <v>4356</v>
      </c>
      <c r="G1075" s="34">
        <v>0</v>
      </c>
      <c r="H1075" s="35">
        <v>0</v>
      </c>
      <c r="I1075" s="8">
        <f t="shared" si="2154"/>
        <v>2000</v>
      </c>
      <c r="J1075" s="8">
        <v>0</v>
      </c>
      <c r="K1075" s="2">
        <v>0</v>
      </c>
      <c r="L1075" s="8">
        <f t="shared" si="2155"/>
        <v>20</v>
      </c>
      <c r="M1075" s="8">
        <f t="shared" si="2156"/>
        <v>2000</v>
      </c>
    </row>
    <row r="1076" spans="1:13" ht="15" customHeight="1" x14ac:dyDescent="0.25">
      <c r="A1076" s="24">
        <v>43822</v>
      </c>
      <c r="B1076" s="29" t="s">
        <v>16</v>
      </c>
      <c r="C1076" s="11">
        <v>100</v>
      </c>
      <c r="D1076" s="11" t="s">
        <v>10</v>
      </c>
      <c r="E1076" s="11">
        <v>4312</v>
      </c>
      <c r="F1076" s="11">
        <v>4332</v>
      </c>
      <c r="G1076" s="34">
        <v>0</v>
      </c>
      <c r="H1076" s="35">
        <v>0</v>
      </c>
      <c r="I1076" s="8">
        <f t="shared" si="2154"/>
        <v>2000</v>
      </c>
      <c r="J1076" s="8">
        <v>0</v>
      </c>
      <c r="K1076" s="2">
        <v>0</v>
      </c>
      <c r="L1076" s="8">
        <f t="shared" si="2155"/>
        <v>20</v>
      </c>
      <c r="M1076" s="8">
        <f t="shared" si="2156"/>
        <v>2000</v>
      </c>
    </row>
    <row r="1077" spans="1:13" ht="15" customHeight="1" x14ac:dyDescent="0.25">
      <c r="A1077" s="24">
        <v>43822</v>
      </c>
      <c r="B1077" s="29" t="s">
        <v>19</v>
      </c>
      <c r="C1077" s="11">
        <v>30</v>
      </c>
      <c r="D1077" s="11" t="s">
        <v>10</v>
      </c>
      <c r="E1077" s="11">
        <v>38180</v>
      </c>
      <c r="F1077" s="11">
        <v>38220</v>
      </c>
      <c r="G1077" s="34">
        <v>0</v>
      </c>
      <c r="H1077" s="35">
        <v>0</v>
      </c>
      <c r="I1077" s="8">
        <f t="shared" si="2154"/>
        <v>1200</v>
      </c>
      <c r="J1077" s="8">
        <v>0</v>
      </c>
      <c r="K1077" s="2">
        <v>0</v>
      </c>
      <c r="L1077" s="8">
        <f t="shared" si="2155"/>
        <v>40</v>
      </c>
      <c r="M1077" s="8">
        <f t="shared" si="2156"/>
        <v>1200</v>
      </c>
    </row>
    <row r="1078" spans="1:13" ht="15" customHeight="1" x14ac:dyDescent="0.25">
      <c r="A1078" s="24">
        <v>43822</v>
      </c>
      <c r="B1078" s="29" t="s">
        <v>14</v>
      </c>
      <c r="C1078" s="11">
        <v>30</v>
      </c>
      <c r="D1078" s="11" t="s">
        <v>10</v>
      </c>
      <c r="E1078" s="11">
        <v>45200</v>
      </c>
      <c r="F1078" s="11">
        <v>45320</v>
      </c>
      <c r="G1078" s="34">
        <v>45420</v>
      </c>
      <c r="H1078" s="35">
        <v>45600</v>
      </c>
      <c r="I1078" s="8">
        <f t="shared" si="2154"/>
        <v>3600</v>
      </c>
      <c r="J1078" s="8">
        <f>C1078*100</f>
        <v>3000</v>
      </c>
      <c r="K1078" s="2">
        <f>C1078*180</f>
        <v>5400</v>
      </c>
      <c r="L1078" s="8">
        <f t="shared" si="2155"/>
        <v>400</v>
      </c>
      <c r="M1078" s="8">
        <f t="shared" si="2156"/>
        <v>12000</v>
      </c>
    </row>
    <row r="1079" spans="1:13" ht="15" customHeight="1" x14ac:dyDescent="0.25">
      <c r="A1079" s="24">
        <v>43822</v>
      </c>
      <c r="B1079" s="29" t="s">
        <v>52</v>
      </c>
      <c r="C1079" s="11">
        <v>1250</v>
      </c>
      <c r="D1079" s="11" t="s">
        <v>11</v>
      </c>
      <c r="E1079" s="11">
        <v>159.69999999999999</v>
      </c>
      <c r="F1079" s="11">
        <v>158.69999999999999</v>
      </c>
      <c r="G1079" s="34">
        <v>4291</v>
      </c>
      <c r="H1079" s="35">
        <v>0</v>
      </c>
      <c r="I1079" s="8">
        <f t="shared" si="2154"/>
        <v>1250</v>
      </c>
      <c r="J1079" s="8">
        <f>C1079*26</f>
        <v>32500</v>
      </c>
      <c r="K1079" s="2">
        <v>0</v>
      </c>
      <c r="L1079" s="8">
        <f t="shared" si="2155"/>
        <v>27</v>
      </c>
      <c r="M1079" s="8">
        <f t="shared" si="2156"/>
        <v>33750</v>
      </c>
    </row>
    <row r="1080" spans="1:13" ht="15" customHeight="1" x14ac:dyDescent="0.25">
      <c r="A1080" s="24">
        <v>43819</v>
      </c>
      <c r="B1080" s="29" t="s">
        <v>16</v>
      </c>
      <c r="C1080" s="11">
        <v>100</v>
      </c>
      <c r="D1080" s="11" t="s">
        <v>11</v>
      </c>
      <c r="E1080" s="11">
        <v>4338</v>
      </c>
      <c r="F1080" s="11">
        <v>4318</v>
      </c>
      <c r="G1080" s="34">
        <v>4291</v>
      </c>
      <c r="H1080" s="35">
        <v>0</v>
      </c>
      <c r="I1080" s="8">
        <f t="shared" si="2154"/>
        <v>2000</v>
      </c>
      <c r="J1080" s="8">
        <f>C1080*26</f>
        <v>2600</v>
      </c>
      <c r="K1080" s="2">
        <v>0</v>
      </c>
      <c r="L1080" s="8">
        <f t="shared" si="2155"/>
        <v>46</v>
      </c>
      <c r="M1080" s="8">
        <f t="shared" si="2156"/>
        <v>4600</v>
      </c>
    </row>
    <row r="1081" spans="1:13" ht="15" customHeight="1" x14ac:dyDescent="0.25">
      <c r="A1081" s="24">
        <v>43819</v>
      </c>
      <c r="B1081" s="29" t="s">
        <v>21</v>
      </c>
      <c r="C1081" s="11">
        <v>1500</v>
      </c>
      <c r="D1081" s="11" t="s">
        <v>10</v>
      </c>
      <c r="E1081" s="11">
        <v>1041.5</v>
      </c>
      <c r="F1081" s="11">
        <v>1045</v>
      </c>
      <c r="G1081" s="34">
        <v>0</v>
      </c>
      <c r="H1081" s="35">
        <v>0</v>
      </c>
      <c r="I1081" s="8">
        <f t="shared" si="2154"/>
        <v>5250</v>
      </c>
      <c r="J1081" s="8">
        <v>0</v>
      </c>
      <c r="K1081" s="2">
        <v>0</v>
      </c>
      <c r="L1081" s="8">
        <f t="shared" si="2155"/>
        <v>3.5</v>
      </c>
      <c r="M1081" s="8">
        <f t="shared" si="2156"/>
        <v>5250</v>
      </c>
    </row>
    <row r="1082" spans="1:13" ht="15" customHeight="1" x14ac:dyDescent="0.25">
      <c r="A1082" s="24">
        <v>43819</v>
      </c>
      <c r="B1082" s="29" t="s">
        <v>52</v>
      </c>
      <c r="C1082" s="11">
        <v>1250</v>
      </c>
      <c r="D1082" s="11" t="s">
        <v>10</v>
      </c>
      <c r="E1082" s="11">
        <v>163.5</v>
      </c>
      <c r="F1082" s="11">
        <v>164.5</v>
      </c>
      <c r="G1082" s="34">
        <v>167</v>
      </c>
      <c r="H1082" s="35">
        <v>0</v>
      </c>
      <c r="I1082" s="8">
        <f t="shared" si="2154"/>
        <v>1250</v>
      </c>
      <c r="J1082" s="8">
        <f>C1082*2.5</f>
        <v>3125</v>
      </c>
      <c r="K1082" s="2">
        <v>0</v>
      </c>
      <c r="L1082" s="8">
        <f t="shared" si="2155"/>
        <v>3.5</v>
      </c>
      <c r="M1082" s="8">
        <f t="shared" si="2156"/>
        <v>4375</v>
      </c>
    </row>
    <row r="1083" spans="1:13" ht="15" customHeight="1" x14ac:dyDescent="0.25">
      <c r="A1083" s="24">
        <v>43819</v>
      </c>
      <c r="B1083" s="29" t="s">
        <v>17</v>
      </c>
      <c r="C1083" s="11">
        <v>5000</v>
      </c>
      <c r="D1083" s="11" t="s">
        <v>11</v>
      </c>
      <c r="E1083" s="11">
        <v>183</v>
      </c>
      <c r="F1083" s="11">
        <v>182.8</v>
      </c>
      <c r="G1083" s="34">
        <v>0</v>
      </c>
      <c r="H1083" s="35">
        <v>0</v>
      </c>
      <c r="I1083" s="8">
        <f t="shared" si="2154"/>
        <v>999.99999999994316</v>
      </c>
      <c r="J1083" s="8">
        <v>0</v>
      </c>
      <c r="K1083" s="2">
        <v>0</v>
      </c>
      <c r="L1083" s="8">
        <f t="shared" si="2155"/>
        <v>0.19999999999998863</v>
      </c>
      <c r="M1083" s="8">
        <f t="shared" si="2156"/>
        <v>999.99999999994316</v>
      </c>
    </row>
    <row r="1084" spans="1:13" ht="15" customHeight="1" x14ac:dyDescent="0.25">
      <c r="A1084" s="24">
        <v>43819</v>
      </c>
      <c r="B1084" s="29" t="s">
        <v>14</v>
      </c>
      <c r="C1084" s="11">
        <v>30</v>
      </c>
      <c r="D1084" s="11" t="s">
        <v>11</v>
      </c>
      <c r="E1084" s="11">
        <v>44600</v>
      </c>
      <c r="F1084" s="11">
        <v>44800</v>
      </c>
      <c r="G1084" s="34">
        <v>0</v>
      </c>
      <c r="H1084" s="35">
        <v>0</v>
      </c>
      <c r="I1084" s="8">
        <f t="shared" si="2154"/>
        <v>-6000</v>
      </c>
      <c r="J1084" s="8">
        <v>0</v>
      </c>
      <c r="K1084" s="2">
        <v>0</v>
      </c>
      <c r="L1084" s="8">
        <f t="shared" si="2155"/>
        <v>-200</v>
      </c>
      <c r="M1084" s="8">
        <f t="shared" si="2156"/>
        <v>-6000</v>
      </c>
    </row>
    <row r="1085" spans="1:13" ht="15" customHeight="1" x14ac:dyDescent="0.25">
      <c r="A1085" s="24">
        <v>43819</v>
      </c>
      <c r="B1085" s="29" t="s">
        <v>19</v>
      </c>
      <c r="C1085" s="11">
        <v>100</v>
      </c>
      <c r="D1085" s="11" t="s">
        <v>11</v>
      </c>
      <c r="E1085" s="11">
        <v>38000</v>
      </c>
      <c r="F1085" s="11">
        <v>38100</v>
      </c>
      <c r="G1085" s="34">
        <v>0</v>
      </c>
      <c r="H1085" s="35">
        <v>0</v>
      </c>
      <c r="I1085" s="8">
        <f t="shared" si="2154"/>
        <v>-10000</v>
      </c>
      <c r="J1085" s="8">
        <v>0</v>
      </c>
      <c r="K1085" s="2">
        <v>0</v>
      </c>
      <c r="L1085" s="8">
        <f t="shared" si="2155"/>
        <v>-100</v>
      </c>
      <c r="M1085" s="8">
        <f t="shared" si="2156"/>
        <v>-10000</v>
      </c>
    </row>
    <row r="1086" spans="1:13" ht="15" customHeight="1" x14ac:dyDescent="0.25">
      <c r="A1086" s="24">
        <v>43818</v>
      </c>
      <c r="B1086" s="29" t="s">
        <v>16</v>
      </c>
      <c r="C1086" s="11">
        <v>100</v>
      </c>
      <c r="D1086" s="11" t="s">
        <v>10</v>
      </c>
      <c r="E1086" s="11">
        <v>4340</v>
      </c>
      <c r="F1086" s="11">
        <v>4360</v>
      </c>
      <c r="G1086" s="34">
        <v>0</v>
      </c>
      <c r="H1086" s="35">
        <v>0</v>
      </c>
      <c r="I1086" s="8">
        <f t="shared" si="2154"/>
        <v>2000</v>
      </c>
      <c r="J1086" s="8">
        <v>0</v>
      </c>
      <c r="K1086" s="2">
        <v>0</v>
      </c>
      <c r="L1086" s="8">
        <f t="shared" si="2155"/>
        <v>20</v>
      </c>
      <c r="M1086" s="8">
        <f t="shared" si="2156"/>
        <v>2000</v>
      </c>
    </row>
    <row r="1087" spans="1:13" ht="15" customHeight="1" x14ac:dyDescent="0.25">
      <c r="A1087" s="24">
        <v>43818</v>
      </c>
      <c r="B1087" s="29" t="s">
        <v>14</v>
      </c>
      <c r="C1087" s="11">
        <v>30</v>
      </c>
      <c r="D1087" s="11" t="s">
        <v>11</v>
      </c>
      <c r="E1087" s="11">
        <v>44350</v>
      </c>
      <c r="F1087" s="11">
        <v>44570</v>
      </c>
      <c r="G1087" s="34">
        <v>0</v>
      </c>
      <c r="H1087" s="35">
        <v>0</v>
      </c>
      <c r="I1087" s="8">
        <f t="shared" ref="I1087:I1150" si="2157">(IF(D1087="SELL",E1087-F1087,IF(D1087="BUY",F1087-E1087)))*C1087</f>
        <v>-6600</v>
      </c>
      <c r="J1087" s="8">
        <v>0</v>
      </c>
      <c r="K1087" s="2">
        <v>0</v>
      </c>
      <c r="L1087" s="8">
        <f t="shared" ref="L1087:L1150" si="2158">(J1087+I1087+K1087)/C1087</f>
        <v>-220</v>
      </c>
      <c r="M1087" s="8">
        <f t="shared" ref="M1087:M1150" si="2159">L1087*C1087</f>
        <v>-6600</v>
      </c>
    </row>
    <row r="1088" spans="1:13" ht="15" customHeight="1" x14ac:dyDescent="0.25">
      <c r="A1088" s="24">
        <v>43818</v>
      </c>
      <c r="B1088" s="29" t="s">
        <v>19</v>
      </c>
      <c r="C1088" s="11">
        <v>100</v>
      </c>
      <c r="D1088" s="11" t="s">
        <v>11</v>
      </c>
      <c r="E1088" s="11">
        <v>37900</v>
      </c>
      <c r="F1088" s="11">
        <v>38000</v>
      </c>
      <c r="G1088" s="34">
        <v>0</v>
      </c>
      <c r="H1088" s="35">
        <v>0</v>
      </c>
      <c r="I1088" s="8">
        <f t="shared" si="2157"/>
        <v>-10000</v>
      </c>
      <c r="J1088" s="8">
        <v>0</v>
      </c>
      <c r="K1088" s="2">
        <v>0</v>
      </c>
      <c r="L1088" s="8">
        <f t="shared" si="2158"/>
        <v>-100</v>
      </c>
      <c r="M1088" s="8">
        <f t="shared" si="2159"/>
        <v>-10000</v>
      </c>
    </row>
    <row r="1089" spans="1:13" ht="15" customHeight="1" x14ac:dyDescent="0.25">
      <c r="A1089" s="24">
        <v>43817</v>
      </c>
      <c r="B1089" s="29" t="s">
        <v>15</v>
      </c>
      <c r="C1089" s="11">
        <v>5000</v>
      </c>
      <c r="D1089" s="11" t="s">
        <v>10</v>
      </c>
      <c r="E1089" s="11">
        <v>153</v>
      </c>
      <c r="F1089" s="11">
        <v>153.5</v>
      </c>
      <c r="G1089" s="34">
        <v>0</v>
      </c>
      <c r="H1089" s="35">
        <v>0</v>
      </c>
      <c r="I1089" s="8">
        <f t="shared" si="2157"/>
        <v>2500</v>
      </c>
      <c r="J1089" s="8">
        <v>0</v>
      </c>
      <c r="K1089" s="2">
        <v>0</v>
      </c>
      <c r="L1089" s="8">
        <f t="shared" si="2158"/>
        <v>0.5</v>
      </c>
      <c r="M1089" s="8">
        <f t="shared" si="2159"/>
        <v>2500</v>
      </c>
    </row>
    <row r="1090" spans="1:13" ht="15" customHeight="1" x14ac:dyDescent="0.25">
      <c r="A1090" s="24">
        <v>43817</v>
      </c>
      <c r="B1090" s="29" t="s">
        <v>17</v>
      </c>
      <c r="C1090" s="11">
        <v>5000</v>
      </c>
      <c r="D1090" s="11" t="s">
        <v>10</v>
      </c>
      <c r="E1090" s="11">
        <v>183</v>
      </c>
      <c r="F1090" s="11">
        <v>183.5</v>
      </c>
      <c r="G1090" s="34">
        <v>0</v>
      </c>
      <c r="H1090" s="35">
        <v>0</v>
      </c>
      <c r="I1090" s="8">
        <f t="shared" si="2157"/>
        <v>2500</v>
      </c>
      <c r="J1090" s="8">
        <v>0</v>
      </c>
      <c r="K1090" s="2">
        <v>0</v>
      </c>
      <c r="L1090" s="8">
        <f t="shared" si="2158"/>
        <v>0.5</v>
      </c>
      <c r="M1090" s="8">
        <f t="shared" si="2159"/>
        <v>2500</v>
      </c>
    </row>
    <row r="1091" spans="1:13" ht="15" customHeight="1" x14ac:dyDescent="0.25">
      <c r="A1091" s="24">
        <v>43817</v>
      </c>
      <c r="B1091" s="29" t="s">
        <v>19</v>
      </c>
      <c r="C1091" s="11">
        <v>100</v>
      </c>
      <c r="D1091" s="11" t="s">
        <v>11</v>
      </c>
      <c r="E1091" s="11">
        <v>37900</v>
      </c>
      <c r="F1091" s="11">
        <v>37860</v>
      </c>
      <c r="G1091" s="34">
        <v>0</v>
      </c>
      <c r="H1091" s="35">
        <v>0</v>
      </c>
      <c r="I1091" s="8">
        <f t="shared" si="2157"/>
        <v>4000</v>
      </c>
      <c r="J1091" s="8">
        <v>0</v>
      </c>
      <c r="K1091" s="2">
        <v>0</v>
      </c>
      <c r="L1091" s="8">
        <f t="shared" si="2158"/>
        <v>40</v>
      </c>
      <c r="M1091" s="8">
        <f t="shared" si="2159"/>
        <v>4000</v>
      </c>
    </row>
    <row r="1092" spans="1:13" ht="15" customHeight="1" x14ac:dyDescent="0.25">
      <c r="A1092" s="24">
        <v>43817</v>
      </c>
      <c r="B1092" s="29" t="s">
        <v>52</v>
      </c>
      <c r="C1092" s="11">
        <v>1250</v>
      </c>
      <c r="D1092" s="11" t="s">
        <v>11</v>
      </c>
      <c r="E1092" s="11">
        <v>164</v>
      </c>
      <c r="F1092" s="11">
        <v>163</v>
      </c>
      <c r="G1092" s="34">
        <v>161</v>
      </c>
      <c r="H1092" s="35">
        <v>0</v>
      </c>
      <c r="I1092" s="8">
        <f t="shared" si="2157"/>
        <v>1250</v>
      </c>
      <c r="J1092" s="8">
        <f>C1092*2</f>
        <v>2500</v>
      </c>
      <c r="K1092" s="2">
        <v>0</v>
      </c>
      <c r="L1092" s="8">
        <f t="shared" si="2158"/>
        <v>3</v>
      </c>
      <c r="M1092" s="8">
        <f t="shared" si="2159"/>
        <v>3750</v>
      </c>
    </row>
    <row r="1093" spans="1:13" ht="15" customHeight="1" x14ac:dyDescent="0.25">
      <c r="A1093" s="24">
        <v>43817</v>
      </c>
      <c r="B1093" s="29" t="s">
        <v>16</v>
      </c>
      <c r="C1093" s="11">
        <v>100</v>
      </c>
      <c r="D1093" s="11" t="s">
        <v>11</v>
      </c>
      <c r="E1093" s="11">
        <v>4288</v>
      </c>
      <c r="F1093" s="11">
        <v>4320</v>
      </c>
      <c r="G1093" s="34">
        <v>0</v>
      </c>
      <c r="H1093" s="35">
        <v>0</v>
      </c>
      <c r="I1093" s="8">
        <f t="shared" si="2157"/>
        <v>-3200</v>
      </c>
      <c r="J1093" s="8">
        <v>0</v>
      </c>
      <c r="K1093" s="2">
        <v>0</v>
      </c>
      <c r="L1093" s="8">
        <f t="shared" si="2158"/>
        <v>-32</v>
      </c>
      <c r="M1093" s="8">
        <f t="shared" si="2159"/>
        <v>-3200</v>
      </c>
    </row>
    <row r="1094" spans="1:13" ht="15" customHeight="1" x14ac:dyDescent="0.25">
      <c r="A1094" s="24">
        <v>43816</v>
      </c>
      <c r="B1094" s="29" t="s">
        <v>16</v>
      </c>
      <c r="C1094" s="11">
        <v>100</v>
      </c>
      <c r="D1094" s="11" t="s">
        <v>10</v>
      </c>
      <c r="E1094" s="11">
        <v>4291</v>
      </c>
      <c r="F1094" s="11">
        <v>4310</v>
      </c>
      <c r="G1094" s="34">
        <v>0</v>
      </c>
      <c r="H1094" s="35">
        <v>0</v>
      </c>
      <c r="I1094" s="8">
        <f t="shared" si="2157"/>
        <v>1900</v>
      </c>
      <c r="J1094" s="8">
        <v>0</v>
      </c>
      <c r="K1094" s="2">
        <v>0</v>
      </c>
      <c r="L1094" s="8">
        <f t="shared" si="2158"/>
        <v>19</v>
      </c>
      <c r="M1094" s="8">
        <f t="shared" si="2159"/>
        <v>1900</v>
      </c>
    </row>
    <row r="1095" spans="1:13" ht="15" customHeight="1" x14ac:dyDescent="0.25">
      <c r="A1095" s="24">
        <v>43816</v>
      </c>
      <c r="B1095" s="29" t="s">
        <v>18</v>
      </c>
      <c r="C1095" s="11">
        <v>2500</v>
      </c>
      <c r="D1095" s="11" t="s">
        <v>10</v>
      </c>
      <c r="E1095" s="11">
        <v>443.5</v>
      </c>
      <c r="F1095" s="11">
        <v>444.4</v>
      </c>
      <c r="G1095" s="34">
        <v>0</v>
      </c>
      <c r="H1095" s="35">
        <v>0</v>
      </c>
      <c r="I1095" s="8">
        <f t="shared" si="2157"/>
        <v>2249.9999999999432</v>
      </c>
      <c r="J1095" s="8">
        <v>0</v>
      </c>
      <c r="K1095" s="2">
        <v>0</v>
      </c>
      <c r="L1095" s="8">
        <f t="shared" si="2158"/>
        <v>0.89999999999997726</v>
      </c>
      <c r="M1095" s="8">
        <f t="shared" si="2159"/>
        <v>2249.9999999999432</v>
      </c>
    </row>
    <row r="1096" spans="1:13" ht="15" customHeight="1" x14ac:dyDescent="0.25">
      <c r="A1096" s="24">
        <v>43816</v>
      </c>
      <c r="B1096" s="29" t="s">
        <v>19</v>
      </c>
      <c r="C1096" s="11">
        <v>1250</v>
      </c>
      <c r="D1096" s="11" t="s">
        <v>11</v>
      </c>
      <c r="E1096" s="11">
        <v>37860</v>
      </c>
      <c r="F1096" s="11">
        <v>37925</v>
      </c>
      <c r="G1096" s="34">
        <v>0</v>
      </c>
      <c r="H1096" s="35">
        <v>0</v>
      </c>
      <c r="I1096" s="8">
        <f t="shared" si="2157"/>
        <v>-81250</v>
      </c>
      <c r="J1096" s="8">
        <v>0</v>
      </c>
      <c r="K1096" s="2">
        <v>0</v>
      </c>
      <c r="L1096" s="8">
        <f t="shared" si="2158"/>
        <v>-65</v>
      </c>
      <c r="M1096" s="8">
        <f t="shared" si="2159"/>
        <v>-81250</v>
      </c>
    </row>
    <row r="1097" spans="1:13" ht="15" customHeight="1" x14ac:dyDescent="0.25">
      <c r="A1097" s="24">
        <v>43815</v>
      </c>
      <c r="B1097" s="29" t="s">
        <v>52</v>
      </c>
      <c r="C1097" s="11">
        <v>1250</v>
      </c>
      <c r="D1097" s="11" t="s">
        <v>10</v>
      </c>
      <c r="E1097" s="11">
        <v>165</v>
      </c>
      <c r="F1097" s="11">
        <v>166</v>
      </c>
      <c r="G1097" s="34">
        <v>0</v>
      </c>
      <c r="H1097" s="35">
        <v>0</v>
      </c>
      <c r="I1097" s="8">
        <f t="shared" si="2157"/>
        <v>1250</v>
      </c>
      <c r="J1097" s="8">
        <v>0</v>
      </c>
      <c r="K1097" s="2">
        <v>0</v>
      </c>
      <c r="L1097" s="8">
        <f t="shared" si="2158"/>
        <v>1</v>
      </c>
      <c r="M1097" s="8">
        <f t="shared" si="2159"/>
        <v>1250</v>
      </c>
    </row>
    <row r="1098" spans="1:13" ht="15" customHeight="1" x14ac:dyDescent="0.25">
      <c r="A1098" s="24">
        <v>43815</v>
      </c>
      <c r="B1098" s="29" t="s">
        <v>15</v>
      </c>
      <c r="C1098" s="11">
        <v>5000</v>
      </c>
      <c r="D1098" s="11" t="s">
        <v>10</v>
      </c>
      <c r="E1098" s="11">
        <v>152.5</v>
      </c>
      <c r="F1098" s="11">
        <v>153</v>
      </c>
      <c r="G1098" s="34">
        <v>0</v>
      </c>
      <c r="H1098" s="35">
        <v>0</v>
      </c>
      <c r="I1098" s="8">
        <f t="shared" si="2157"/>
        <v>2500</v>
      </c>
      <c r="J1098" s="8">
        <v>0</v>
      </c>
      <c r="K1098" s="2">
        <v>0</v>
      </c>
      <c r="L1098" s="8">
        <f t="shared" si="2158"/>
        <v>0.5</v>
      </c>
      <c r="M1098" s="8">
        <f t="shared" si="2159"/>
        <v>2500</v>
      </c>
    </row>
    <row r="1099" spans="1:13" ht="15" customHeight="1" x14ac:dyDescent="0.25">
      <c r="A1099" s="24">
        <v>43815</v>
      </c>
      <c r="B1099" s="29" t="s">
        <v>16</v>
      </c>
      <c r="C1099" s="11">
        <v>100</v>
      </c>
      <c r="D1099" s="11" t="s">
        <v>10</v>
      </c>
      <c r="E1099" s="11">
        <v>4268</v>
      </c>
      <c r="F1099" s="11">
        <v>4268</v>
      </c>
      <c r="G1099" s="34">
        <v>0</v>
      </c>
      <c r="H1099" s="35">
        <v>0</v>
      </c>
      <c r="I1099" s="8">
        <f t="shared" si="2157"/>
        <v>0</v>
      </c>
      <c r="J1099" s="8">
        <v>0</v>
      </c>
      <c r="K1099" s="2">
        <v>0</v>
      </c>
      <c r="L1099" s="8">
        <f t="shared" si="2158"/>
        <v>0</v>
      </c>
      <c r="M1099" s="8">
        <f t="shared" si="2159"/>
        <v>0</v>
      </c>
    </row>
    <row r="1100" spans="1:13" ht="15" customHeight="1" x14ac:dyDescent="0.25">
      <c r="A1100" s="24">
        <v>43812</v>
      </c>
      <c r="B1100" s="29" t="s">
        <v>14</v>
      </c>
      <c r="C1100" s="11">
        <v>30</v>
      </c>
      <c r="D1100" s="11" t="s">
        <v>10</v>
      </c>
      <c r="E1100" s="11">
        <v>44160</v>
      </c>
      <c r="F1100" s="11">
        <v>44250</v>
      </c>
      <c r="G1100" s="34">
        <v>44360</v>
      </c>
      <c r="H1100" s="35">
        <v>0</v>
      </c>
      <c r="I1100" s="8">
        <f t="shared" si="2157"/>
        <v>2700</v>
      </c>
      <c r="J1100" s="8">
        <f>C1100*110</f>
        <v>3300</v>
      </c>
      <c r="K1100" s="2">
        <v>0</v>
      </c>
      <c r="L1100" s="8">
        <f t="shared" si="2158"/>
        <v>200</v>
      </c>
      <c r="M1100" s="8">
        <f t="shared" si="2159"/>
        <v>6000</v>
      </c>
    </row>
    <row r="1101" spans="1:13" ht="15" customHeight="1" x14ac:dyDescent="0.25">
      <c r="A1101" s="24">
        <v>43812</v>
      </c>
      <c r="B1101" s="29" t="s">
        <v>19</v>
      </c>
      <c r="C1101" s="11">
        <v>100</v>
      </c>
      <c r="D1101" s="11" t="s">
        <v>10</v>
      </c>
      <c r="E1101" s="11">
        <v>37600</v>
      </c>
      <c r="F1101" s="11">
        <v>37640</v>
      </c>
      <c r="G1101" s="34">
        <v>37720</v>
      </c>
      <c r="H1101" s="35">
        <v>0</v>
      </c>
      <c r="I1101" s="8">
        <f t="shared" si="2157"/>
        <v>4000</v>
      </c>
      <c r="J1101" s="8">
        <f>C1101*80</f>
        <v>8000</v>
      </c>
      <c r="K1101" s="2">
        <v>0</v>
      </c>
      <c r="L1101" s="8">
        <f t="shared" si="2158"/>
        <v>120</v>
      </c>
      <c r="M1101" s="8">
        <f t="shared" si="2159"/>
        <v>12000</v>
      </c>
    </row>
    <row r="1102" spans="1:13" ht="15" customHeight="1" x14ac:dyDescent="0.25">
      <c r="A1102" s="24">
        <v>43811</v>
      </c>
      <c r="B1102" s="29" t="s">
        <v>22</v>
      </c>
      <c r="C1102" s="11">
        <v>5000</v>
      </c>
      <c r="D1102" s="11" t="s">
        <v>10</v>
      </c>
      <c r="E1102" s="11">
        <v>133</v>
      </c>
      <c r="F1102" s="11">
        <v>133.5</v>
      </c>
      <c r="G1102" s="34">
        <v>0</v>
      </c>
      <c r="H1102" s="35">
        <v>0</v>
      </c>
      <c r="I1102" s="8">
        <f t="shared" si="2157"/>
        <v>2500</v>
      </c>
      <c r="J1102" s="8">
        <v>0</v>
      </c>
      <c r="K1102" s="2">
        <v>0</v>
      </c>
      <c r="L1102" s="8">
        <f t="shared" si="2158"/>
        <v>0.5</v>
      </c>
      <c r="M1102" s="8">
        <f t="shared" si="2159"/>
        <v>2500</v>
      </c>
    </row>
    <row r="1103" spans="1:13" ht="15" customHeight="1" x14ac:dyDescent="0.25">
      <c r="A1103" s="24">
        <v>43811</v>
      </c>
      <c r="B1103" s="29" t="s">
        <v>19</v>
      </c>
      <c r="C1103" s="11">
        <v>100</v>
      </c>
      <c r="D1103" s="11" t="s">
        <v>11</v>
      </c>
      <c r="E1103" s="11">
        <v>37720</v>
      </c>
      <c r="F1103" s="11">
        <v>37680</v>
      </c>
      <c r="G1103" s="34">
        <v>0</v>
      </c>
      <c r="H1103" s="35">
        <v>0</v>
      </c>
      <c r="I1103" s="8">
        <f t="shared" si="2157"/>
        <v>4000</v>
      </c>
      <c r="J1103" s="8">
        <v>0</v>
      </c>
      <c r="K1103" s="2">
        <v>0</v>
      </c>
      <c r="L1103" s="8">
        <f t="shared" si="2158"/>
        <v>40</v>
      </c>
      <c r="M1103" s="8">
        <f t="shared" si="2159"/>
        <v>4000</v>
      </c>
    </row>
    <row r="1104" spans="1:13" ht="15" customHeight="1" x14ac:dyDescent="0.25">
      <c r="A1104" s="24">
        <v>43809</v>
      </c>
      <c r="B1104" s="29" t="s">
        <v>19</v>
      </c>
      <c r="C1104" s="11">
        <v>100</v>
      </c>
      <c r="D1104" s="11" t="s">
        <v>10</v>
      </c>
      <c r="E1104" s="11">
        <v>37580</v>
      </c>
      <c r="F1104" s="11">
        <v>37630</v>
      </c>
      <c r="G1104" s="34">
        <v>0</v>
      </c>
      <c r="H1104" s="35">
        <v>0</v>
      </c>
      <c r="I1104" s="8">
        <f t="shared" si="2157"/>
        <v>5000</v>
      </c>
      <c r="J1104" s="8">
        <v>0</v>
      </c>
      <c r="K1104" s="2">
        <v>0</v>
      </c>
      <c r="L1104" s="8">
        <f t="shared" si="2158"/>
        <v>50</v>
      </c>
      <c r="M1104" s="8">
        <f t="shared" si="2159"/>
        <v>5000</v>
      </c>
    </row>
    <row r="1105" spans="1:13" ht="15" customHeight="1" x14ac:dyDescent="0.25">
      <c r="A1105" s="24">
        <v>43809</v>
      </c>
      <c r="B1105" s="29" t="s">
        <v>16</v>
      </c>
      <c r="C1105" s="11">
        <v>100</v>
      </c>
      <c r="D1105" s="11" t="s">
        <v>11</v>
      </c>
      <c r="E1105" s="11">
        <v>4186</v>
      </c>
      <c r="F1105" s="11">
        <v>4166</v>
      </c>
      <c r="G1105" s="34">
        <v>0</v>
      </c>
      <c r="H1105" s="35">
        <v>0</v>
      </c>
      <c r="I1105" s="8">
        <f t="shared" si="2157"/>
        <v>2000</v>
      </c>
      <c r="J1105" s="8">
        <v>0</v>
      </c>
      <c r="K1105" s="2">
        <v>0</v>
      </c>
      <c r="L1105" s="8">
        <f t="shared" si="2158"/>
        <v>20</v>
      </c>
      <c r="M1105" s="8">
        <f t="shared" si="2159"/>
        <v>2000</v>
      </c>
    </row>
    <row r="1106" spans="1:13" ht="15" customHeight="1" x14ac:dyDescent="0.25">
      <c r="A1106" s="24">
        <v>43809</v>
      </c>
      <c r="B1106" s="29" t="s">
        <v>15</v>
      </c>
      <c r="C1106" s="11">
        <v>5000</v>
      </c>
      <c r="D1106" s="11" t="s">
        <v>10</v>
      </c>
      <c r="E1106" s="11">
        <v>153</v>
      </c>
      <c r="F1106" s="11">
        <v>153.35</v>
      </c>
      <c r="G1106" s="34">
        <v>0</v>
      </c>
      <c r="H1106" s="35">
        <v>0</v>
      </c>
      <c r="I1106" s="8">
        <f t="shared" si="2157"/>
        <v>1749.9999999999716</v>
      </c>
      <c r="J1106" s="8">
        <v>0</v>
      </c>
      <c r="K1106" s="2">
        <v>0</v>
      </c>
      <c r="L1106" s="8">
        <f t="shared" si="2158"/>
        <v>0.34999999999999432</v>
      </c>
      <c r="M1106" s="8">
        <f t="shared" si="2159"/>
        <v>1749.9999999999716</v>
      </c>
    </row>
    <row r="1107" spans="1:13" ht="15" customHeight="1" x14ac:dyDescent="0.25">
      <c r="A1107" s="24">
        <v>43808</v>
      </c>
      <c r="B1107" s="29" t="s">
        <v>19</v>
      </c>
      <c r="C1107" s="11">
        <v>100</v>
      </c>
      <c r="D1107" s="11" t="s">
        <v>10</v>
      </c>
      <c r="E1107" s="11">
        <v>37580</v>
      </c>
      <c r="F1107" s="11">
        <v>37630</v>
      </c>
      <c r="G1107" s="34">
        <v>0</v>
      </c>
      <c r="H1107" s="35">
        <v>0</v>
      </c>
      <c r="I1107" s="8">
        <f t="shared" si="2157"/>
        <v>5000</v>
      </c>
      <c r="J1107" s="8">
        <v>0</v>
      </c>
      <c r="K1107" s="2">
        <v>0</v>
      </c>
      <c r="L1107" s="8">
        <f t="shared" si="2158"/>
        <v>50</v>
      </c>
      <c r="M1107" s="8">
        <f t="shared" si="2159"/>
        <v>5000</v>
      </c>
    </row>
    <row r="1108" spans="1:13" ht="15" customHeight="1" x14ac:dyDescent="0.25">
      <c r="A1108" s="24">
        <v>43808</v>
      </c>
      <c r="B1108" s="29" t="s">
        <v>14</v>
      </c>
      <c r="C1108" s="11">
        <v>30</v>
      </c>
      <c r="D1108" s="11" t="s">
        <v>10</v>
      </c>
      <c r="E1108" s="11">
        <v>43560</v>
      </c>
      <c r="F1108" s="11">
        <v>43660</v>
      </c>
      <c r="G1108" s="34">
        <v>0</v>
      </c>
      <c r="H1108" s="35">
        <v>0</v>
      </c>
      <c r="I1108" s="8">
        <f t="shared" si="2157"/>
        <v>3000</v>
      </c>
      <c r="J1108" s="8">
        <v>0</v>
      </c>
      <c r="K1108" s="2">
        <v>0</v>
      </c>
      <c r="L1108" s="8">
        <f t="shared" si="2158"/>
        <v>100</v>
      </c>
      <c r="M1108" s="8">
        <f t="shared" si="2159"/>
        <v>3000</v>
      </c>
    </row>
    <row r="1109" spans="1:13" ht="15" customHeight="1" x14ac:dyDescent="0.25">
      <c r="A1109" s="24">
        <v>43805</v>
      </c>
      <c r="B1109" s="29" t="s">
        <v>22</v>
      </c>
      <c r="C1109" s="11">
        <v>5000</v>
      </c>
      <c r="D1109" s="11" t="s">
        <v>11</v>
      </c>
      <c r="E1109" s="11">
        <v>132.80000000000001</v>
      </c>
      <c r="F1109" s="11">
        <v>132.4</v>
      </c>
      <c r="G1109" s="34">
        <v>0</v>
      </c>
      <c r="H1109" s="35">
        <v>0</v>
      </c>
      <c r="I1109" s="8">
        <f t="shared" si="2157"/>
        <v>2000.0000000000284</v>
      </c>
      <c r="J1109" s="8">
        <v>0</v>
      </c>
      <c r="K1109" s="2">
        <v>0</v>
      </c>
      <c r="L1109" s="8">
        <f t="shared" si="2158"/>
        <v>0.40000000000000568</v>
      </c>
      <c r="M1109" s="8">
        <f t="shared" si="2159"/>
        <v>2000.0000000000284</v>
      </c>
    </row>
    <row r="1110" spans="1:13" ht="15" customHeight="1" x14ac:dyDescent="0.25">
      <c r="A1110" s="24">
        <v>43805</v>
      </c>
      <c r="B1110" s="29" t="s">
        <v>17</v>
      </c>
      <c r="C1110" s="11">
        <v>5000</v>
      </c>
      <c r="D1110" s="11" t="s">
        <v>10</v>
      </c>
      <c r="E1110" s="11">
        <v>184</v>
      </c>
      <c r="F1110" s="11">
        <v>184.5</v>
      </c>
      <c r="G1110" s="34">
        <v>0</v>
      </c>
      <c r="H1110" s="35">
        <v>0</v>
      </c>
      <c r="I1110" s="8">
        <f t="shared" si="2157"/>
        <v>2500</v>
      </c>
      <c r="J1110" s="8">
        <v>0</v>
      </c>
      <c r="K1110" s="2">
        <v>0</v>
      </c>
      <c r="L1110" s="8">
        <f t="shared" si="2158"/>
        <v>0.5</v>
      </c>
      <c r="M1110" s="8">
        <f t="shared" si="2159"/>
        <v>2500</v>
      </c>
    </row>
    <row r="1111" spans="1:13" ht="15" customHeight="1" x14ac:dyDescent="0.25">
      <c r="A1111" s="24">
        <v>43805</v>
      </c>
      <c r="B1111" s="29" t="s">
        <v>19</v>
      </c>
      <c r="C1111" s="11">
        <v>100</v>
      </c>
      <c r="D1111" s="11" t="s">
        <v>10</v>
      </c>
      <c r="E1111" s="11">
        <v>38060</v>
      </c>
      <c r="F1111" s="11">
        <v>37980</v>
      </c>
      <c r="G1111" s="34">
        <v>0</v>
      </c>
      <c r="H1111" s="35">
        <v>0</v>
      </c>
      <c r="I1111" s="8">
        <f t="shared" si="2157"/>
        <v>-8000</v>
      </c>
      <c r="J1111" s="8">
        <v>0</v>
      </c>
      <c r="K1111" s="2">
        <v>0</v>
      </c>
      <c r="L1111" s="8">
        <f t="shared" si="2158"/>
        <v>-80</v>
      </c>
      <c r="M1111" s="8">
        <f t="shared" si="2159"/>
        <v>-8000</v>
      </c>
    </row>
    <row r="1112" spans="1:13" ht="15" customHeight="1" x14ac:dyDescent="0.25">
      <c r="A1112" s="24">
        <v>43805</v>
      </c>
      <c r="B1112" s="29" t="s">
        <v>16</v>
      </c>
      <c r="C1112" s="11">
        <v>100</v>
      </c>
      <c r="D1112" s="11" t="s">
        <v>10</v>
      </c>
      <c r="E1112" s="11">
        <v>4173</v>
      </c>
      <c r="F1112" s="11">
        <v>4140</v>
      </c>
      <c r="G1112" s="34">
        <v>0</v>
      </c>
      <c r="H1112" s="35">
        <v>0</v>
      </c>
      <c r="I1112" s="8">
        <f t="shared" si="2157"/>
        <v>-3300</v>
      </c>
      <c r="J1112" s="8">
        <v>0</v>
      </c>
      <c r="K1112" s="2">
        <v>0</v>
      </c>
      <c r="L1112" s="8">
        <f t="shared" si="2158"/>
        <v>-33</v>
      </c>
      <c r="M1112" s="8">
        <f t="shared" si="2159"/>
        <v>-3300</v>
      </c>
    </row>
    <row r="1113" spans="1:13" ht="15" customHeight="1" x14ac:dyDescent="0.25">
      <c r="A1113" s="24">
        <v>43804</v>
      </c>
      <c r="B1113" s="29" t="s">
        <v>19</v>
      </c>
      <c r="C1113" s="11">
        <v>100</v>
      </c>
      <c r="D1113" s="11" t="s">
        <v>11</v>
      </c>
      <c r="E1113" s="11">
        <v>38030</v>
      </c>
      <c r="F1113" s="11">
        <v>37990</v>
      </c>
      <c r="G1113" s="34">
        <v>0</v>
      </c>
      <c r="H1113" s="35">
        <v>0</v>
      </c>
      <c r="I1113" s="8">
        <f t="shared" si="2157"/>
        <v>4000</v>
      </c>
      <c r="J1113" s="8">
        <v>0</v>
      </c>
      <c r="K1113" s="2">
        <v>0</v>
      </c>
      <c r="L1113" s="8">
        <f t="shared" si="2158"/>
        <v>40</v>
      </c>
      <c r="M1113" s="8">
        <f t="shared" si="2159"/>
        <v>4000</v>
      </c>
    </row>
    <row r="1114" spans="1:13" ht="15" customHeight="1" x14ac:dyDescent="0.25">
      <c r="A1114" s="24">
        <v>43804</v>
      </c>
      <c r="B1114" s="29" t="s">
        <v>16</v>
      </c>
      <c r="C1114" s="11">
        <v>100</v>
      </c>
      <c r="D1114" s="11" t="s">
        <v>10</v>
      </c>
      <c r="E1114" s="11">
        <v>4178</v>
      </c>
      <c r="F1114" s="11">
        <v>4198</v>
      </c>
      <c r="G1114" s="34">
        <v>0</v>
      </c>
      <c r="H1114" s="35">
        <v>0</v>
      </c>
      <c r="I1114" s="8">
        <f t="shared" si="2157"/>
        <v>2000</v>
      </c>
      <c r="J1114" s="8">
        <v>0</v>
      </c>
      <c r="K1114" s="2">
        <v>0</v>
      </c>
      <c r="L1114" s="8">
        <f t="shared" si="2158"/>
        <v>20</v>
      </c>
      <c r="M1114" s="8">
        <f t="shared" si="2159"/>
        <v>2000</v>
      </c>
    </row>
    <row r="1115" spans="1:13" ht="15" customHeight="1" x14ac:dyDescent="0.25">
      <c r="A1115" s="24">
        <v>43803</v>
      </c>
      <c r="B1115" s="29" t="s">
        <v>16</v>
      </c>
      <c r="C1115" s="11">
        <v>100</v>
      </c>
      <c r="D1115" s="11" t="s">
        <v>10</v>
      </c>
      <c r="E1115" s="11">
        <v>4085</v>
      </c>
      <c r="F1115" s="11">
        <v>4105</v>
      </c>
      <c r="G1115" s="34">
        <v>4140</v>
      </c>
      <c r="H1115" s="35">
        <v>4180</v>
      </c>
      <c r="I1115" s="8">
        <f t="shared" si="2157"/>
        <v>2000</v>
      </c>
      <c r="J1115" s="8">
        <f>C1115*35</f>
        <v>3500</v>
      </c>
      <c r="K1115" s="2">
        <f>C1115*40</f>
        <v>4000</v>
      </c>
      <c r="L1115" s="8">
        <f t="shared" si="2158"/>
        <v>95</v>
      </c>
      <c r="M1115" s="8">
        <f t="shared" si="2159"/>
        <v>9500</v>
      </c>
    </row>
    <row r="1116" spans="1:13" ht="15" customHeight="1" x14ac:dyDescent="0.25">
      <c r="A1116" s="24">
        <v>43803</v>
      </c>
      <c r="B1116" s="29" t="s">
        <v>17</v>
      </c>
      <c r="C1116" s="11">
        <v>5000</v>
      </c>
      <c r="D1116" s="11" t="s">
        <v>10</v>
      </c>
      <c r="E1116" s="11">
        <v>183</v>
      </c>
      <c r="F1116" s="11">
        <v>183.5</v>
      </c>
      <c r="G1116" s="34">
        <v>184.5</v>
      </c>
      <c r="H1116" s="35">
        <v>0</v>
      </c>
      <c r="I1116" s="8">
        <f t="shared" si="2157"/>
        <v>2500</v>
      </c>
      <c r="J1116" s="8">
        <f>C1116*1</f>
        <v>5000</v>
      </c>
      <c r="K1116" s="2">
        <v>0</v>
      </c>
      <c r="L1116" s="8">
        <f t="shared" si="2158"/>
        <v>1.5</v>
      </c>
      <c r="M1116" s="8">
        <f t="shared" si="2159"/>
        <v>7500</v>
      </c>
    </row>
    <row r="1117" spans="1:13" ht="15" customHeight="1" x14ac:dyDescent="0.25">
      <c r="A1117" s="24">
        <v>43803</v>
      </c>
      <c r="B1117" s="29" t="s">
        <v>19</v>
      </c>
      <c r="C1117" s="11">
        <v>100</v>
      </c>
      <c r="D1117" s="11" t="s">
        <v>11</v>
      </c>
      <c r="E1117" s="11">
        <v>38190</v>
      </c>
      <c r="F1117" s="11">
        <v>38140</v>
      </c>
      <c r="G1117" s="34">
        <v>0</v>
      </c>
      <c r="H1117" s="35">
        <v>0</v>
      </c>
      <c r="I1117" s="8">
        <f t="shared" si="2157"/>
        <v>5000</v>
      </c>
      <c r="J1117" s="8">
        <v>0</v>
      </c>
      <c r="K1117" s="2">
        <v>0</v>
      </c>
      <c r="L1117" s="8">
        <f t="shared" si="2158"/>
        <v>50</v>
      </c>
      <c r="M1117" s="8">
        <f t="shared" si="2159"/>
        <v>5000</v>
      </c>
    </row>
    <row r="1118" spans="1:13" ht="15" customHeight="1" x14ac:dyDescent="0.25">
      <c r="A1118" s="24">
        <v>43803</v>
      </c>
      <c r="B1118" s="29" t="s">
        <v>14</v>
      </c>
      <c r="C1118" s="11">
        <v>30</v>
      </c>
      <c r="D1118" s="11" t="s">
        <v>10</v>
      </c>
      <c r="E1118" s="11">
        <v>45580</v>
      </c>
      <c r="F1118" s="11">
        <v>45340</v>
      </c>
      <c r="G1118" s="34">
        <v>0</v>
      </c>
      <c r="H1118" s="35">
        <v>0</v>
      </c>
      <c r="I1118" s="8">
        <f t="shared" si="2157"/>
        <v>-7200</v>
      </c>
      <c r="J1118" s="8">
        <v>0</v>
      </c>
      <c r="K1118" s="2">
        <v>0</v>
      </c>
      <c r="L1118" s="8">
        <f t="shared" si="2158"/>
        <v>-240</v>
      </c>
      <c r="M1118" s="8">
        <f t="shared" si="2159"/>
        <v>-7200</v>
      </c>
    </row>
    <row r="1119" spans="1:13" ht="15" customHeight="1" x14ac:dyDescent="0.25">
      <c r="A1119" s="24">
        <v>43802</v>
      </c>
      <c r="B1119" s="29" t="s">
        <v>19</v>
      </c>
      <c r="C1119" s="11">
        <v>100</v>
      </c>
      <c r="D1119" s="11" t="s">
        <v>10</v>
      </c>
      <c r="E1119" s="11">
        <v>37900</v>
      </c>
      <c r="F1119" s="11">
        <v>37940</v>
      </c>
      <c r="G1119" s="34">
        <v>38100</v>
      </c>
      <c r="H1119" s="35">
        <v>38200</v>
      </c>
      <c r="I1119" s="8">
        <f t="shared" si="2157"/>
        <v>4000</v>
      </c>
      <c r="J1119" s="8">
        <f>C1119*60</f>
        <v>6000</v>
      </c>
      <c r="K1119" s="2">
        <f>C1119*100</f>
        <v>10000</v>
      </c>
      <c r="L1119" s="8">
        <f t="shared" si="2158"/>
        <v>200</v>
      </c>
      <c r="M1119" s="8">
        <f t="shared" si="2159"/>
        <v>20000</v>
      </c>
    </row>
    <row r="1120" spans="1:13" ht="15" customHeight="1" x14ac:dyDescent="0.25">
      <c r="A1120" s="24">
        <v>43802</v>
      </c>
      <c r="B1120" s="29" t="s">
        <v>14</v>
      </c>
      <c r="C1120" s="11">
        <v>30</v>
      </c>
      <c r="D1120" s="11" t="s">
        <v>10</v>
      </c>
      <c r="E1120" s="11">
        <v>44720</v>
      </c>
      <c r="F1120" s="11">
        <v>44820</v>
      </c>
      <c r="G1120" s="34">
        <v>45000</v>
      </c>
      <c r="H1120" s="35">
        <v>45200</v>
      </c>
      <c r="I1120" s="8">
        <f t="shared" si="2157"/>
        <v>3000</v>
      </c>
      <c r="J1120" s="8">
        <f>C1120*180</f>
        <v>5400</v>
      </c>
      <c r="K1120" s="2">
        <f>C1120*200</f>
        <v>6000</v>
      </c>
      <c r="L1120" s="8">
        <f t="shared" si="2158"/>
        <v>480</v>
      </c>
      <c r="M1120" s="8">
        <f t="shared" si="2159"/>
        <v>14400</v>
      </c>
    </row>
    <row r="1121" spans="1:13" ht="15" customHeight="1" x14ac:dyDescent="0.25">
      <c r="A1121" s="24">
        <v>43802</v>
      </c>
      <c r="B1121" s="29" t="s">
        <v>16</v>
      </c>
      <c r="C1121" s="11">
        <v>100</v>
      </c>
      <c r="D1121" s="11" t="s">
        <v>11</v>
      </c>
      <c r="E1121" s="11">
        <v>4030</v>
      </c>
      <c r="F1121" s="11">
        <v>4005</v>
      </c>
      <c r="G1121" s="34">
        <v>3980</v>
      </c>
      <c r="H1121" s="35">
        <v>0</v>
      </c>
      <c r="I1121" s="8">
        <f t="shared" si="2157"/>
        <v>2500</v>
      </c>
      <c r="J1121" s="8">
        <f>C1121*25</f>
        <v>2500</v>
      </c>
      <c r="K1121" s="2">
        <v>0</v>
      </c>
      <c r="L1121" s="8">
        <f t="shared" si="2158"/>
        <v>50</v>
      </c>
      <c r="M1121" s="8">
        <f t="shared" si="2159"/>
        <v>5000</v>
      </c>
    </row>
    <row r="1122" spans="1:13" ht="15" customHeight="1" x14ac:dyDescent="0.25">
      <c r="A1122" s="24">
        <v>43802</v>
      </c>
      <c r="B1122" s="29" t="s">
        <v>17</v>
      </c>
      <c r="C1122" s="11">
        <v>5000</v>
      </c>
      <c r="D1122" s="11" t="s">
        <v>11</v>
      </c>
      <c r="E1122" s="11">
        <v>181.5</v>
      </c>
      <c r="F1122" s="11">
        <v>181</v>
      </c>
      <c r="G1122" s="34">
        <v>0</v>
      </c>
      <c r="H1122" s="35">
        <v>0</v>
      </c>
      <c r="I1122" s="8">
        <f t="shared" si="2157"/>
        <v>2500</v>
      </c>
      <c r="J1122" s="8">
        <v>0</v>
      </c>
      <c r="K1122" s="2">
        <v>0</v>
      </c>
      <c r="L1122" s="8">
        <f t="shared" si="2158"/>
        <v>0.5</v>
      </c>
      <c r="M1122" s="8">
        <f t="shared" si="2159"/>
        <v>2500</v>
      </c>
    </row>
    <row r="1123" spans="1:13" ht="15" customHeight="1" x14ac:dyDescent="0.25">
      <c r="A1123" s="24">
        <v>43802</v>
      </c>
      <c r="B1123" s="29" t="s">
        <v>22</v>
      </c>
      <c r="C1123" s="11">
        <v>5000</v>
      </c>
      <c r="D1123" s="11" t="s">
        <v>10</v>
      </c>
      <c r="E1123" s="11">
        <v>134.5</v>
      </c>
      <c r="F1123" s="11">
        <v>134.9</v>
      </c>
      <c r="G1123" s="34">
        <v>0</v>
      </c>
      <c r="H1123" s="35">
        <v>0</v>
      </c>
      <c r="I1123" s="8">
        <f t="shared" si="2157"/>
        <v>2000.0000000000284</v>
      </c>
      <c r="J1123" s="8">
        <v>0</v>
      </c>
      <c r="K1123" s="2">
        <v>0</v>
      </c>
      <c r="L1123" s="8">
        <f t="shared" si="2158"/>
        <v>0.40000000000000568</v>
      </c>
      <c r="M1123" s="8">
        <f t="shared" si="2159"/>
        <v>2000.0000000000284</v>
      </c>
    </row>
    <row r="1124" spans="1:13" ht="15" customHeight="1" x14ac:dyDescent="0.25">
      <c r="A1124" s="24">
        <v>43801</v>
      </c>
      <c r="B1124" s="29" t="s">
        <v>16</v>
      </c>
      <c r="C1124" s="11">
        <v>100</v>
      </c>
      <c r="D1124" s="11" t="s">
        <v>10</v>
      </c>
      <c r="E1124" s="11">
        <v>4045</v>
      </c>
      <c r="F1124" s="11">
        <v>4066</v>
      </c>
      <c r="G1124" s="34">
        <v>0</v>
      </c>
      <c r="H1124" s="35">
        <v>0</v>
      </c>
      <c r="I1124" s="8">
        <f t="shared" si="2157"/>
        <v>2100</v>
      </c>
      <c r="J1124" s="8">
        <v>0</v>
      </c>
      <c r="K1124" s="2">
        <v>0</v>
      </c>
      <c r="L1124" s="8">
        <f t="shared" si="2158"/>
        <v>21</v>
      </c>
      <c r="M1124" s="8">
        <f t="shared" si="2159"/>
        <v>2100</v>
      </c>
    </row>
    <row r="1125" spans="1:13" ht="15" customHeight="1" x14ac:dyDescent="0.25">
      <c r="A1125" s="24">
        <v>43801</v>
      </c>
      <c r="B1125" s="29" t="s">
        <v>14</v>
      </c>
      <c r="C1125" s="11">
        <v>30</v>
      </c>
      <c r="D1125" s="11" t="s">
        <v>11</v>
      </c>
      <c r="E1125" s="11">
        <v>44710</v>
      </c>
      <c r="F1125" s="11">
        <v>44610</v>
      </c>
      <c r="G1125" s="34">
        <v>0</v>
      </c>
      <c r="H1125" s="35">
        <v>0</v>
      </c>
      <c r="I1125" s="8">
        <f t="shared" si="2157"/>
        <v>3000</v>
      </c>
      <c r="J1125" s="8">
        <v>0</v>
      </c>
      <c r="K1125" s="2">
        <v>0</v>
      </c>
      <c r="L1125" s="8">
        <f t="shared" si="2158"/>
        <v>100</v>
      </c>
      <c r="M1125" s="8">
        <f t="shared" si="2159"/>
        <v>3000</v>
      </c>
    </row>
    <row r="1126" spans="1:13" ht="15" customHeight="1" x14ac:dyDescent="0.25">
      <c r="A1126" s="24">
        <v>43801</v>
      </c>
      <c r="B1126" s="29" t="s">
        <v>19</v>
      </c>
      <c r="C1126" s="11">
        <v>100</v>
      </c>
      <c r="D1126" s="11" t="s">
        <v>11</v>
      </c>
      <c r="E1126" s="11">
        <v>37820</v>
      </c>
      <c r="F1126" s="11">
        <v>37780</v>
      </c>
      <c r="G1126" s="34">
        <v>0</v>
      </c>
      <c r="H1126" s="35">
        <v>0</v>
      </c>
      <c r="I1126" s="8">
        <f t="shared" si="2157"/>
        <v>4000</v>
      </c>
      <c r="J1126" s="8">
        <v>0</v>
      </c>
      <c r="K1126" s="2">
        <v>0</v>
      </c>
      <c r="L1126" s="8">
        <f t="shared" si="2158"/>
        <v>40</v>
      </c>
      <c r="M1126" s="8">
        <f t="shared" si="2159"/>
        <v>4000</v>
      </c>
    </row>
    <row r="1127" spans="1:13" ht="15" customHeight="1" x14ac:dyDescent="0.25">
      <c r="A1127" s="24">
        <v>43796</v>
      </c>
      <c r="B1127" s="29" t="s">
        <v>19</v>
      </c>
      <c r="C1127" s="11">
        <v>100</v>
      </c>
      <c r="D1127" s="11" t="s">
        <v>11</v>
      </c>
      <c r="E1127" s="11">
        <v>37615</v>
      </c>
      <c r="F1127" s="11">
        <v>37570</v>
      </c>
      <c r="G1127" s="34">
        <v>0</v>
      </c>
      <c r="H1127" s="35">
        <v>0</v>
      </c>
      <c r="I1127" s="8">
        <f t="shared" si="2157"/>
        <v>4500</v>
      </c>
      <c r="J1127" s="8">
        <v>0</v>
      </c>
      <c r="K1127" s="2">
        <v>0</v>
      </c>
      <c r="L1127" s="8">
        <f t="shared" si="2158"/>
        <v>45</v>
      </c>
      <c r="M1127" s="8">
        <f t="shared" si="2159"/>
        <v>4500</v>
      </c>
    </row>
    <row r="1128" spans="1:13" ht="15" customHeight="1" x14ac:dyDescent="0.25">
      <c r="A1128" s="24">
        <v>43795</v>
      </c>
      <c r="B1128" s="29" t="s">
        <v>16</v>
      </c>
      <c r="C1128" s="11">
        <v>100</v>
      </c>
      <c r="D1128" s="11" t="s">
        <v>10</v>
      </c>
      <c r="E1128" s="11">
        <v>4176</v>
      </c>
      <c r="F1128" s="11">
        <v>4139</v>
      </c>
      <c r="G1128" s="34">
        <v>0</v>
      </c>
      <c r="H1128" s="35">
        <v>0</v>
      </c>
      <c r="I1128" s="8">
        <f t="shared" si="2157"/>
        <v>-3700</v>
      </c>
      <c r="J1128" s="8">
        <v>0</v>
      </c>
      <c r="K1128" s="2">
        <v>0</v>
      </c>
      <c r="L1128" s="8">
        <f t="shared" si="2158"/>
        <v>-37</v>
      </c>
      <c r="M1128" s="8">
        <f t="shared" si="2159"/>
        <v>-3700</v>
      </c>
    </row>
    <row r="1129" spans="1:13" ht="15" customHeight="1" x14ac:dyDescent="0.25">
      <c r="A1129" s="24">
        <v>43791</v>
      </c>
      <c r="B1129" s="29" t="s">
        <v>14</v>
      </c>
      <c r="C1129" s="11">
        <v>30</v>
      </c>
      <c r="D1129" s="11" t="s">
        <v>10</v>
      </c>
      <c r="E1129" s="11">
        <v>44870</v>
      </c>
      <c r="F1129" s="11">
        <v>44970</v>
      </c>
      <c r="G1129" s="34">
        <v>0</v>
      </c>
      <c r="H1129" s="35">
        <v>0</v>
      </c>
      <c r="I1129" s="8">
        <f t="shared" si="2157"/>
        <v>3000</v>
      </c>
      <c r="J1129" s="8">
        <v>0</v>
      </c>
      <c r="K1129" s="2">
        <v>0</v>
      </c>
      <c r="L1129" s="8">
        <f t="shared" si="2158"/>
        <v>100</v>
      </c>
      <c r="M1129" s="8">
        <f t="shared" si="2159"/>
        <v>3000</v>
      </c>
    </row>
    <row r="1130" spans="1:13" ht="15" customHeight="1" x14ac:dyDescent="0.25">
      <c r="A1130" s="24">
        <v>43791</v>
      </c>
      <c r="B1130" s="29" t="s">
        <v>19</v>
      </c>
      <c r="C1130" s="11">
        <v>100</v>
      </c>
      <c r="D1130" s="11" t="s">
        <v>10</v>
      </c>
      <c r="E1130" s="11">
        <v>38060</v>
      </c>
      <c r="F1130" s="11">
        <v>38100</v>
      </c>
      <c r="G1130" s="34">
        <v>0</v>
      </c>
      <c r="H1130" s="35">
        <v>0</v>
      </c>
      <c r="I1130" s="8">
        <f t="shared" si="2157"/>
        <v>4000</v>
      </c>
      <c r="J1130" s="8">
        <v>0</v>
      </c>
      <c r="K1130" s="2">
        <v>0</v>
      </c>
      <c r="L1130" s="8">
        <f t="shared" si="2158"/>
        <v>40</v>
      </c>
      <c r="M1130" s="8">
        <f t="shared" si="2159"/>
        <v>4000</v>
      </c>
    </row>
    <row r="1131" spans="1:13" ht="15" customHeight="1" x14ac:dyDescent="0.25">
      <c r="A1131" s="24">
        <v>43789</v>
      </c>
      <c r="B1131" s="29" t="s">
        <v>16</v>
      </c>
      <c r="C1131" s="11">
        <v>100</v>
      </c>
      <c r="D1131" s="11" t="s">
        <v>10</v>
      </c>
      <c r="E1131" s="11">
        <v>3995</v>
      </c>
      <c r="F1131" s="11">
        <v>4015</v>
      </c>
      <c r="G1131" s="34">
        <v>0</v>
      </c>
      <c r="H1131" s="35">
        <v>0</v>
      </c>
      <c r="I1131" s="8">
        <f t="shared" si="2157"/>
        <v>2000</v>
      </c>
      <c r="J1131" s="8">
        <v>0</v>
      </c>
      <c r="K1131" s="2">
        <v>0</v>
      </c>
      <c r="L1131" s="8">
        <f t="shared" si="2158"/>
        <v>20</v>
      </c>
      <c r="M1131" s="8">
        <f t="shared" si="2159"/>
        <v>2000</v>
      </c>
    </row>
    <row r="1132" spans="1:13" ht="15" customHeight="1" x14ac:dyDescent="0.25">
      <c r="A1132" s="24">
        <v>43789</v>
      </c>
      <c r="B1132" s="29" t="s">
        <v>19</v>
      </c>
      <c r="C1132" s="11">
        <v>100</v>
      </c>
      <c r="D1132" s="11" t="s">
        <v>10</v>
      </c>
      <c r="E1132" s="11">
        <v>38316</v>
      </c>
      <c r="F1132" s="11">
        <v>38250</v>
      </c>
      <c r="G1132" s="34">
        <v>0</v>
      </c>
      <c r="H1132" s="35">
        <v>0</v>
      </c>
      <c r="I1132" s="8">
        <f t="shared" si="2157"/>
        <v>-6600</v>
      </c>
      <c r="J1132" s="8">
        <v>0</v>
      </c>
      <c r="K1132" s="2">
        <v>0</v>
      </c>
      <c r="L1132" s="8">
        <f t="shared" si="2158"/>
        <v>-66</v>
      </c>
      <c r="M1132" s="8">
        <f t="shared" si="2159"/>
        <v>-6600</v>
      </c>
    </row>
    <row r="1133" spans="1:13" ht="15" customHeight="1" x14ac:dyDescent="0.25">
      <c r="A1133" s="24">
        <v>43789</v>
      </c>
      <c r="B1133" s="29" t="s">
        <v>21</v>
      </c>
      <c r="C1133" s="11">
        <v>250</v>
      </c>
      <c r="D1133" s="11" t="s">
        <v>11</v>
      </c>
      <c r="E1133" s="11">
        <v>1081</v>
      </c>
      <c r="F1133" s="11">
        <v>1077</v>
      </c>
      <c r="G1133" s="34">
        <v>0</v>
      </c>
      <c r="H1133" s="35">
        <v>0</v>
      </c>
      <c r="I1133" s="8">
        <f t="shared" si="2157"/>
        <v>1000</v>
      </c>
      <c r="J1133" s="8">
        <v>0</v>
      </c>
      <c r="K1133" s="2">
        <v>0</v>
      </c>
      <c r="L1133" s="8">
        <f t="shared" si="2158"/>
        <v>4</v>
      </c>
      <c r="M1133" s="8">
        <f t="shared" si="2159"/>
        <v>1000</v>
      </c>
    </row>
    <row r="1134" spans="1:13" ht="15" customHeight="1" x14ac:dyDescent="0.25">
      <c r="A1134" s="24">
        <v>43788</v>
      </c>
      <c r="B1134" s="29" t="s">
        <v>16</v>
      </c>
      <c r="C1134" s="11">
        <v>100</v>
      </c>
      <c r="D1134" s="11" t="s">
        <v>10</v>
      </c>
      <c r="E1134" s="11">
        <v>4093</v>
      </c>
      <c r="F1134" s="11">
        <v>4070</v>
      </c>
      <c r="G1134" s="34">
        <v>0</v>
      </c>
      <c r="H1134" s="35">
        <v>0</v>
      </c>
      <c r="I1134" s="8">
        <f t="shared" si="2157"/>
        <v>-2300</v>
      </c>
      <c r="J1134" s="8">
        <v>0</v>
      </c>
      <c r="K1134" s="2">
        <v>0</v>
      </c>
      <c r="L1134" s="8">
        <f t="shared" si="2158"/>
        <v>-23</v>
      </c>
      <c r="M1134" s="8">
        <f t="shared" si="2159"/>
        <v>-2300</v>
      </c>
    </row>
    <row r="1135" spans="1:13" ht="15" customHeight="1" x14ac:dyDescent="0.25">
      <c r="A1135" s="24">
        <v>43787</v>
      </c>
      <c r="B1135" s="29" t="s">
        <v>14</v>
      </c>
      <c r="C1135" s="11">
        <v>30</v>
      </c>
      <c r="D1135" s="11" t="s">
        <v>10</v>
      </c>
      <c r="E1135" s="11">
        <v>44230</v>
      </c>
      <c r="F1135" s="11">
        <v>44320</v>
      </c>
      <c r="G1135" s="34">
        <v>44450</v>
      </c>
      <c r="H1135" s="35">
        <v>0</v>
      </c>
      <c r="I1135" s="8">
        <f t="shared" si="2157"/>
        <v>2700</v>
      </c>
      <c r="J1135" s="8">
        <f>C1135*130</f>
        <v>3900</v>
      </c>
      <c r="K1135" s="2">
        <v>0</v>
      </c>
      <c r="L1135" s="8">
        <f t="shared" si="2158"/>
        <v>220</v>
      </c>
      <c r="M1135" s="8">
        <f t="shared" si="2159"/>
        <v>6600</v>
      </c>
    </row>
    <row r="1136" spans="1:13" ht="15" customHeight="1" x14ac:dyDescent="0.25">
      <c r="A1136" s="24">
        <v>43787</v>
      </c>
      <c r="B1136" s="29" t="s">
        <v>19</v>
      </c>
      <c r="C1136" s="11">
        <v>100</v>
      </c>
      <c r="D1136" s="11" t="s">
        <v>10</v>
      </c>
      <c r="E1136" s="11">
        <v>37980</v>
      </c>
      <c r="F1136" s="11">
        <v>38020</v>
      </c>
      <c r="G1136" s="34">
        <v>38110</v>
      </c>
      <c r="H1136" s="35">
        <v>38320</v>
      </c>
      <c r="I1136" s="8">
        <f t="shared" si="2157"/>
        <v>4000</v>
      </c>
      <c r="J1136" s="8">
        <f>C1136*90</f>
        <v>9000</v>
      </c>
      <c r="K1136" s="2">
        <f>C1136*210</f>
        <v>21000</v>
      </c>
      <c r="L1136" s="8">
        <f t="shared" si="2158"/>
        <v>340</v>
      </c>
      <c r="M1136" s="8">
        <f t="shared" si="2159"/>
        <v>34000</v>
      </c>
    </row>
    <row r="1137" spans="1:13" ht="15" customHeight="1" x14ac:dyDescent="0.25">
      <c r="A1137" s="24">
        <v>43784</v>
      </c>
      <c r="B1137" s="29" t="s">
        <v>16</v>
      </c>
      <c r="C1137" s="11">
        <v>100</v>
      </c>
      <c r="D1137" s="11" t="s">
        <v>11</v>
      </c>
      <c r="E1137" s="11">
        <v>4075</v>
      </c>
      <c r="F1137" s="11">
        <v>4055</v>
      </c>
      <c r="G1137" s="34">
        <v>0</v>
      </c>
      <c r="H1137" s="35">
        <v>0</v>
      </c>
      <c r="I1137" s="8">
        <f t="shared" si="2157"/>
        <v>2000</v>
      </c>
      <c r="J1137" s="8">
        <v>0</v>
      </c>
      <c r="K1137" s="2">
        <v>0</v>
      </c>
      <c r="L1137" s="8">
        <f t="shared" si="2158"/>
        <v>20</v>
      </c>
      <c r="M1137" s="8">
        <f t="shared" si="2159"/>
        <v>2000</v>
      </c>
    </row>
    <row r="1138" spans="1:13" ht="15" customHeight="1" x14ac:dyDescent="0.25">
      <c r="A1138" s="24">
        <v>43783</v>
      </c>
      <c r="B1138" s="29" t="s">
        <v>19</v>
      </c>
      <c r="C1138" s="11">
        <v>100</v>
      </c>
      <c r="D1138" s="11" t="s">
        <v>10</v>
      </c>
      <c r="E1138" s="11">
        <v>38170</v>
      </c>
      <c r="F1138" s="11">
        <v>38220</v>
      </c>
      <c r="G1138" s="34">
        <v>0</v>
      </c>
      <c r="H1138" s="35">
        <v>0</v>
      </c>
      <c r="I1138" s="8">
        <f t="shared" si="2157"/>
        <v>5000</v>
      </c>
      <c r="J1138" s="8">
        <v>0</v>
      </c>
      <c r="K1138" s="2">
        <v>0</v>
      </c>
      <c r="L1138" s="8">
        <f t="shared" si="2158"/>
        <v>50</v>
      </c>
      <c r="M1138" s="8">
        <f t="shared" si="2159"/>
        <v>5000</v>
      </c>
    </row>
    <row r="1139" spans="1:13" ht="15" customHeight="1" x14ac:dyDescent="0.25">
      <c r="A1139" s="24">
        <v>43783</v>
      </c>
      <c r="B1139" s="29" t="s">
        <v>14</v>
      </c>
      <c r="C1139" s="11">
        <v>30</v>
      </c>
      <c r="D1139" s="11" t="s">
        <v>10</v>
      </c>
      <c r="E1139" s="11">
        <v>44730</v>
      </c>
      <c r="F1139" s="11">
        <v>44820</v>
      </c>
      <c r="G1139" s="34">
        <v>0</v>
      </c>
      <c r="H1139" s="35">
        <v>0</v>
      </c>
      <c r="I1139" s="8">
        <f t="shared" si="2157"/>
        <v>2700</v>
      </c>
      <c r="J1139" s="8">
        <v>0</v>
      </c>
      <c r="K1139" s="2">
        <v>0</v>
      </c>
      <c r="L1139" s="8">
        <f t="shared" si="2158"/>
        <v>90</v>
      </c>
      <c r="M1139" s="8">
        <f t="shared" si="2159"/>
        <v>2700</v>
      </c>
    </row>
    <row r="1140" spans="1:13" ht="15" customHeight="1" x14ac:dyDescent="0.25">
      <c r="A1140" s="24">
        <v>43782</v>
      </c>
      <c r="B1140" s="29" t="s">
        <v>19</v>
      </c>
      <c r="C1140" s="11">
        <v>100</v>
      </c>
      <c r="D1140" s="11" t="s">
        <v>10</v>
      </c>
      <c r="E1140" s="11">
        <v>38000</v>
      </c>
      <c r="F1140" s="11">
        <v>38040</v>
      </c>
      <c r="G1140" s="34">
        <v>0</v>
      </c>
      <c r="H1140" s="35">
        <v>0</v>
      </c>
      <c r="I1140" s="8">
        <f t="shared" si="2157"/>
        <v>4000</v>
      </c>
      <c r="J1140" s="8">
        <v>0</v>
      </c>
      <c r="K1140" s="2">
        <v>0</v>
      </c>
      <c r="L1140" s="8">
        <f t="shared" si="2158"/>
        <v>40</v>
      </c>
      <c r="M1140" s="8">
        <f t="shared" si="2159"/>
        <v>4000</v>
      </c>
    </row>
    <row r="1141" spans="1:13" ht="15" customHeight="1" x14ac:dyDescent="0.25">
      <c r="A1141" s="24">
        <v>43782</v>
      </c>
      <c r="B1141" s="29" t="s">
        <v>14</v>
      </c>
      <c r="C1141" s="11">
        <v>30</v>
      </c>
      <c r="D1141" s="11" t="s">
        <v>10</v>
      </c>
      <c r="E1141" s="11">
        <v>44430</v>
      </c>
      <c r="F1141" s="11">
        <v>44520</v>
      </c>
      <c r="G1141" s="34">
        <v>44630</v>
      </c>
      <c r="H1141" s="35">
        <v>0</v>
      </c>
      <c r="I1141" s="8">
        <f t="shared" si="2157"/>
        <v>2700</v>
      </c>
      <c r="J1141" s="8">
        <f>C1141*110</f>
        <v>3300</v>
      </c>
      <c r="K1141" s="2">
        <v>0</v>
      </c>
      <c r="L1141" s="8">
        <f t="shared" si="2158"/>
        <v>200</v>
      </c>
      <c r="M1141" s="8">
        <f t="shared" si="2159"/>
        <v>6000</v>
      </c>
    </row>
    <row r="1142" spans="1:13" ht="15" customHeight="1" x14ac:dyDescent="0.25">
      <c r="A1142" s="24">
        <v>43780</v>
      </c>
      <c r="B1142" s="29" t="s">
        <v>21</v>
      </c>
      <c r="C1142" s="11">
        <v>250</v>
      </c>
      <c r="D1142" s="11" t="s">
        <v>11</v>
      </c>
      <c r="E1142" s="11">
        <v>1155</v>
      </c>
      <c r="F1142" s="11">
        <v>1151</v>
      </c>
      <c r="G1142" s="34">
        <v>0</v>
      </c>
      <c r="H1142" s="35">
        <v>0</v>
      </c>
      <c r="I1142" s="8">
        <f t="shared" si="2157"/>
        <v>1000</v>
      </c>
      <c r="J1142" s="8">
        <v>0</v>
      </c>
      <c r="K1142" s="2">
        <v>0</v>
      </c>
      <c r="L1142" s="8">
        <f t="shared" si="2158"/>
        <v>4</v>
      </c>
      <c r="M1142" s="8">
        <f t="shared" si="2159"/>
        <v>1000</v>
      </c>
    </row>
    <row r="1143" spans="1:13" ht="15" customHeight="1" x14ac:dyDescent="0.25">
      <c r="A1143" s="24">
        <v>43780</v>
      </c>
      <c r="B1143" s="29" t="s">
        <v>19</v>
      </c>
      <c r="C1143" s="11">
        <v>100</v>
      </c>
      <c r="D1143" s="11" t="s">
        <v>10</v>
      </c>
      <c r="E1143" s="11">
        <v>37800</v>
      </c>
      <c r="F1143" s="11">
        <v>37840</v>
      </c>
      <c r="G1143" s="34">
        <v>0</v>
      </c>
      <c r="H1143" s="35">
        <v>0</v>
      </c>
      <c r="I1143" s="8">
        <f t="shared" si="2157"/>
        <v>4000</v>
      </c>
      <c r="J1143" s="8">
        <v>0</v>
      </c>
      <c r="K1143" s="2">
        <v>0</v>
      </c>
      <c r="L1143" s="8">
        <f t="shared" si="2158"/>
        <v>40</v>
      </c>
      <c r="M1143" s="8">
        <f t="shared" si="2159"/>
        <v>4000</v>
      </c>
    </row>
    <row r="1144" spans="1:13" ht="15" customHeight="1" x14ac:dyDescent="0.25">
      <c r="A1144" s="24">
        <v>43780</v>
      </c>
      <c r="B1144" s="29" t="s">
        <v>14</v>
      </c>
      <c r="C1144" s="11">
        <v>30</v>
      </c>
      <c r="D1144" s="11" t="s">
        <v>10</v>
      </c>
      <c r="E1144" s="11">
        <v>44100</v>
      </c>
      <c r="F1144" s="11">
        <v>44190</v>
      </c>
      <c r="G1144" s="34">
        <v>0</v>
      </c>
      <c r="H1144" s="35">
        <v>0</v>
      </c>
      <c r="I1144" s="8">
        <f t="shared" si="2157"/>
        <v>2700</v>
      </c>
      <c r="J1144" s="8">
        <v>0</v>
      </c>
      <c r="K1144" s="2">
        <v>0</v>
      </c>
      <c r="L1144" s="8">
        <f t="shared" si="2158"/>
        <v>90</v>
      </c>
      <c r="M1144" s="8">
        <f t="shared" si="2159"/>
        <v>2700</v>
      </c>
    </row>
    <row r="1145" spans="1:13" ht="15" customHeight="1" x14ac:dyDescent="0.25">
      <c r="A1145" s="24">
        <v>43780</v>
      </c>
      <c r="B1145" s="29" t="s">
        <v>16</v>
      </c>
      <c r="C1145" s="11">
        <v>100</v>
      </c>
      <c r="D1145" s="11" t="s">
        <v>10</v>
      </c>
      <c r="E1145" s="11">
        <v>4062</v>
      </c>
      <c r="F1145" s="11">
        <v>4030</v>
      </c>
      <c r="G1145" s="34">
        <v>0</v>
      </c>
      <c r="H1145" s="35">
        <v>0</v>
      </c>
      <c r="I1145" s="8">
        <f t="shared" si="2157"/>
        <v>-3200</v>
      </c>
      <c r="J1145" s="8">
        <v>0</v>
      </c>
      <c r="K1145" s="2">
        <v>0</v>
      </c>
      <c r="L1145" s="8">
        <f t="shared" si="2158"/>
        <v>-32</v>
      </c>
      <c r="M1145" s="8">
        <f t="shared" si="2159"/>
        <v>-3200</v>
      </c>
    </row>
    <row r="1146" spans="1:13" ht="15" customHeight="1" x14ac:dyDescent="0.25">
      <c r="A1146" s="24">
        <v>43777</v>
      </c>
      <c r="B1146" s="29" t="s">
        <v>14</v>
      </c>
      <c r="C1146" s="11">
        <v>30</v>
      </c>
      <c r="D1146" s="11" t="s">
        <v>11</v>
      </c>
      <c r="E1146" s="11">
        <v>43710</v>
      </c>
      <c r="F1146" s="11">
        <v>43610</v>
      </c>
      <c r="G1146" s="34">
        <v>0</v>
      </c>
      <c r="H1146" s="35">
        <v>0</v>
      </c>
      <c r="I1146" s="8">
        <f t="shared" si="2157"/>
        <v>3000</v>
      </c>
      <c r="J1146" s="8">
        <v>0</v>
      </c>
      <c r="K1146" s="2">
        <v>0</v>
      </c>
      <c r="L1146" s="8">
        <f t="shared" si="2158"/>
        <v>100</v>
      </c>
      <c r="M1146" s="8">
        <f t="shared" si="2159"/>
        <v>3000</v>
      </c>
    </row>
    <row r="1147" spans="1:13" ht="15" customHeight="1" x14ac:dyDescent="0.25">
      <c r="A1147" s="24">
        <v>43777</v>
      </c>
      <c r="B1147" s="29" t="s">
        <v>19</v>
      </c>
      <c r="C1147" s="11">
        <v>100</v>
      </c>
      <c r="D1147" s="11" t="s">
        <v>11</v>
      </c>
      <c r="E1147" s="11">
        <v>37750</v>
      </c>
      <c r="F1147" s="11">
        <v>37710</v>
      </c>
      <c r="G1147" s="34">
        <v>37630</v>
      </c>
      <c r="H1147" s="35">
        <v>37530</v>
      </c>
      <c r="I1147" s="8">
        <f t="shared" si="2157"/>
        <v>4000</v>
      </c>
      <c r="J1147" s="8">
        <f>C1147*80</f>
        <v>8000</v>
      </c>
      <c r="K1147" s="2">
        <f>C1147*100</f>
        <v>10000</v>
      </c>
      <c r="L1147" s="8">
        <f t="shared" si="2158"/>
        <v>220</v>
      </c>
      <c r="M1147" s="8">
        <f t="shared" si="2159"/>
        <v>22000</v>
      </c>
    </row>
    <row r="1148" spans="1:13" ht="15" customHeight="1" x14ac:dyDescent="0.25">
      <c r="A1148" s="24">
        <v>43777</v>
      </c>
      <c r="B1148" s="29" t="s">
        <v>16</v>
      </c>
      <c r="C1148" s="11">
        <v>100</v>
      </c>
      <c r="D1148" s="11" t="s">
        <v>11</v>
      </c>
      <c r="E1148" s="11">
        <v>4021</v>
      </c>
      <c r="F1148" s="11">
        <v>4001</v>
      </c>
      <c r="G1148" s="34">
        <v>0</v>
      </c>
      <c r="H1148" s="35">
        <v>0</v>
      </c>
      <c r="I1148" s="8">
        <f t="shared" si="2157"/>
        <v>2000</v>
      </c>
      <c r="J1148" s="8">
        <v>0</v>
      </c>
      <c r="K1148" s="2">
        <v>0</v>
      </c>
      <c r="L1148" s="8">
        <f t="shared" si="2158"/>
        <v>20</v>
      </c>
      <c r="M1148" s="8">
        <f t="shared" si="2159"/>
        <v>2000</v>
      </c>
    </row>
    <row r="1149" spans="1:13" ht="15" customHeight="1" x14ac:dyDescent="0.25">
      <c r="A1149" s="24">
        <v>43776</v>
      </c>
      <c r="B1149" s="29" t="s">
        <v>14</v>
      </c>
      <c r="C1149" s="11">
        <v>30</v>
      </c>
      <c r="D1149" s="11" t="s">
        <v>11</v>
      </c>
      <c r="E1149" s="11">
        <v>45460</v>
      </c>
      <c r="F1149" s="11">
        <v>45350</v>
      </c>
      <c r="G1149" s="34">
        <v>45250</v>
      </c>
      <c r="H1149" s="35">
        <v>45050</v>
      </c>
      <c r="I1149" s="8">
        <f t="shared" si="2157"/>
        <v>3300</v>
      </c>
      <c r="J1149" s="8">
        <f>C1149*100</f>
        <v>3000</v>
      </c>
      <c r="K1149" s="2">
        <f>C1149*200</f>
        <v>6000</v>
      </c>
      <c r="L1149" s="8">
        <f t="shared" si="2158"/>
        <v>410</v>
      </c>
      <c r="M1149" s="8">
        <f t="shared" si="2159"/>
        <v>12300</v>
      </c>
    </row>
    <row r="1150" spans="1:13" ht="15" customHeight="1" x14ac:dyDescent="0.25">
      <c r="A1150" s="24">
        <v>43776</v>
      </c>
      <c r="B1150" s="29" t="s">
        <v>16</v>
      </c>
      <c r="C1150" s="11">
        <v>100</v>
      </c>
      <c r="D1150" s="11" t="s">
        <v>10</v>
      </c>
      <c r="E1150" s="11">
        <v>4020</v>
      </c>
      <c r="F1150" s="11">
        <v>4043</v>
      </c>
      <c r="G1150" s="34">
        <v>4073</v>
      </c>
      <c r="H1150" s="35">
        <v>0</v>
      </c>
      <c r="I1150" s="8">
        <f t="shared" si="2157"/>
        <v>2300</v>
      </c>
      <c r="J1150" s="8">
        <f>C1150*30</f>
        <v>3000</v>
      </c>
      <c r="K1150" s="2">
        <v>0</v>
      </c>
      <c r="L1150" s="8">
        <f t="shared" si="2158"/>
        <v>53</v>
      </c>
      <c r="M1150" s="8">
        <f t="shared" si="2159"/>
        <v>5300</v>
      </c>
    </row>
    <row r="1151" spans="1:13" ht="15" customHeight="1" x14ac:dyDescent="0.25">
      <c r="A1151" s="24">
        <v>43776</v>
      </c>
      <c r="B1151" s="29" t="s">
        <v>19</v>
      </c>
      <c r="C1151" s="11">
        <v>100</v>
      </c>
      <c r="D1151" s="11" t="s">
        <v>11</v>
      </c>
      <c r="E1151" s="11">
        <v>38070</v>
      </c>
      <c r="F1151" s="11">
        <v>38030</v>
      </c>
      <c r="G1151" s="34">
        <v>37950</v>
      </c>
      <c r="H1151" s="35">
        <v>37850</v>
      </c>
      <c r="I1151" s="8">
        <f t="shared" ref="I1151:I1214" si="2160">(IF(D1151="SELL",E1151-F1151,IF(D1151="BUY",F1151-E1151)))*C1151</f>
        <v>4000</v>
      </c>
      <c r="J1151" s="8">
        <f>C1151*80</f>
        <v>8000</v>
      </c>
      <c r="K1151" s="2">
        <f>C1151*100</f>
        <v>10000</v>
      </c>
      <c r="L1151" s="8">
        <f t="shared" ref="L1151:L1214" si="2161">(J1151+I1151+K1151)/C1151</f>
        <v>220</v>
      </c>
      <c r="M1151" s="8">
        <f t="shared" ref="M1151:M1214" si="2162">L1151*C1151</f>
        <v>22000</v>
      </c>
    </row>
    <row r="1152" spans="1:13" ht="15" customHeight="1" x14ac:dyDescent="0.25">
      <c r="A1152" s="24">
        <v>43775</v>
      </c>
      <c r="B1152" s="29" t="s">
        <v>19</v>
      </c>
      <c r="C1152" s="11">
        <v>100</v>
      </c>
      <c r="D1152" s="11" t="s">
        <v>10</v>
      </c>
      <c r="E1152" s="11">
        <v>38142</v>
      </c>
      <c r="F1152" s="11">
        <v>38182</v>
      </c>
      <c r="G1152" s="34">
        <v>38260</v>
      </c>
      <c r="H1152" s="35">
        <v>0</v>
      </c>
      <c r="I1152" s="8">
        <f t="shared" si="2160"/>
        <v>4000</v>
      </c>
      <c r="J1152" s="8">
        <f>C1152*78</f>
        <v>7800</v>
      </c>
      <c r="K1152" s="2">
        <v>0</v>
      </c>
      <c r="L1152" s="8">
        <f t="shared" si="2161"/>
        <v>118</v>
      </c>
      <c r="M1152" s="8">
        <f t="shared" si="2162"/>
        <v>11800</v>
      </c>
    </row>
    <row r="1153" spans="1:13" ht="15" customHeight="1" x14ac:dyDescent="0.25">
      <c r="A1153" s="24">
        <v>43775</v>
      </c>
      <c r="B1153" s="29" t="s">
        <v>16</v>
      </c>
      <c r="C1153" s="11">
        <v>100</v>
      </c>
      <c r="D1153" s="11" t="s">
        <v>10</v>
      </c>
      <c r="E1153" s="11">
        <v>4052</v>
      </c>
      <c r="F1153" s="11">
        <v>4072</v>
      </c>
      <c r="G1153" s="34">
        <v>0</v>
      </c>
      <c r="H1153" s="35">
        <v>0</v>
      </c>
      <c r="I1153" s="8">
        <f t="shared" si="2160"/>
        <v>2000</v>
      </c>
      <c r="J1153" s="8">
        <v>0</v>
      </c>
      <c r="K1153" s="2">
        <v>0</v>
      </c>
      <c r="L1153" s="8">
        <f t="shared" si="2161"/>
        <v>20</v>
      </c>
      <c r="M1153" s="8">
        <f t="shared" si="2162"/>
        <v>2000</v>
      </c>
    </row>
    <row r="1154" spans="1:13" ht="15" customHeight="1" x14ac:dyDescent="0.25">
      <c r="A1154" s="24">
        <v>43775</v>
      </c>
      <c r="B1154" s="29" t="s">
        <v>14</v>
      </c>
      <c r="C1154" s="11">
        <v>30</v>
      </c>
      <c r="D1154" s="11" t="s">
        <v>10</v>
      </c>
      <c r="E1154" s="11">
        <v>45560</v>
      </c>
      <c r="F1154" s="11">
        <v>45400</v>
      </c>
      <c r="G1154" s="34">
        <v>0</v>
      </c>
      <c r="H1154" s="35">
        <v>0</v>
      </c>
      <c r="I1154" s="8">
        <f t="shared" si="2160"/>
        <v>-4800</v>
      </c>
      <c r="J1154" s="8">
        <v>0</v>
      </c>
      <c r="K1154" s="2">
        <v>0</v>
      </c>
      <c r="L1154" s="8">
        <f t="shared" si="2161"/>
        <v>-160</v>
      </c>
      <c r="M1154" s="8">
        <f t="shared" si="2162"/>
        <v>-4800</v>
      </c>
    </row>
    <row r="1155" spans="1:13" ht="15" customHeight="1" x14ac:dyDescent="0.25">
      <c r="A1155" s="24">
        <v>43775</v>
      </c>
      <c r="B1155" s="29" t="s">
        <v>17</v>
      </c>
      <c r="C1155" s="11">
        <v>5000</v>
      </c>
      <c r="D1155" s="11" t="s">
        <v>11</v>
      </c>
      <c r="E1155" s="11">
        <v>189.9</v>
      </c>
      <c r="F1155" s="11">
        <v>190.6</v>
      </c>
      <c r="G1155" s="34">
        <v>0</v>
      </c>
      <c r="H1155" s="35">
        <v>0</v>
      </c>
      <c r="I1155" s="8">
        <f t="shared" si="2160"/>
        <v>-3499.9999999999432</v>
      </c>
      <c r="J1155" s="8">
        <v>0</v>
      </c>
      <c r="K1155" s="2">
        <v>0</v>
      </c>
      <c r="L1155" s="8">
        <f t="shared" si="2161"/>
        <v>-0.69999999999998863</v>
      </c>
      <c r="M1155" s="8">
        <f t="shared" si="2162"/>
        <v>-3499.9999999999432</v>
      </c>
    </row>
    <row r="1156" spans="1:13" ht="15" customHeight="1" x14ac:dyDescent="0.25">
      <c r="A1156" s="24">
        <v>43774</v>
      </c>
      <c r="B1156" s="29" t="s">
        <v>14</v>
      </c>
      <c r="C1156" s="11">
        <v>30</v>
      </c>
      <c r="D1156" s="11" t="s">
        <v>11</v>
      </c>
      <c r="E1156" s="11">
        <v>46200</v>
      </c>
      <c r="F1156" s="11">
        <v>46110</v>
      </c>
      <c r="G1156" s="34">
        <v>46010</v>
      </c>
      <c r="H1156" s="35">
        <v>45850</v>
      </c>
      <c r="I1156" s="8">
        <f t="shared" si="2160"/>
        <v>2700</v>
      </c>
      <c r="J1156" s="8">
        <f>C1156*100</f>
        <v>3000</v>
      </c>
      <c r="K1156" s="2">
        <f>C1156*160</f>
        <v>4800</v>
      </c>
      <c r="L1156" s="8">
        <f t="shared" si="2161"/>
        <v>350</v>
      </c>
      <c r="M1156" s="8">
        <f t="shared" si="2162"/>
        <v>10500</v>
      </c>
    </row>
    <row r="1157" spans="1:13" ht="15" customHeight="1" x14ac:dyDescent="0.25">
      <c r="A1157" s="24">
        <v>43774</v>
      </c>
      <c r="B1157" s="29" t="s">
        <v>19</v>
      </c>
      <c r="C1157" s="11">
        <v>100</v>
      </c>
      <c r="D1157" s="11" t="s">
        <v>11</v>
      </c>
      <c r="E1157" s="11">
        <v>38272</v>
      </c>
      <c r="F1157" s="11">
        <v>38232</v>
      </c>
      <c r="G1157" s="34">
        <v>38150</v>
      </c>
      <c r="H1157" s="35">
        <v>38050</v>
      </c>
      <c r="I1157" s="8">
        <f t="shared" si="2160"/>
        <v>4000</v>
      </c>
      <c r="J1157" s="8">
        <f>C1157*82</f>
        <v>8200</v>
      </c>
      <c r="K1157" s="2">
        <f>C1157*100</f>
        <v>10000</v>
      </c>
      <c r="L1157" s="8">
        <f t="shared" si="2161"/>
        <v>222</v>
      </c>
      <c r="M1157" s="8">
        <f t="shared" si="2162"/>
        <v>22200</v>
      </c>
    </row>
    <row r="1158" spans="1:13" ht="15" customHeight="1" x14ac:dyDescent="0.25">
      <c r="A1158" s="24">
        <v>43774</v>
      </c>
      <c r="B1158" s="29" t="s">
        <v>18</v>
      </c>
      <c r="C1158" s="11">
        <v>2500</v>
      </c>
      <c r="D1158" s="11" t="s">
        <v>10</v>
      </c>
      <c r="E1158" s="11">
        <v>442.9</v>
      </c>
      <c r="F1158" s="11">
        <v>444</v>
      </c>
      <c r="G1158" s="34">
        <v>0</v>
      </c>
      <c r="H1158" s="35">
        <v>0</v>
      </c>
      <c r="I1158" s="8">
        <f t="shared" si="2160"/>
        <v>2750.0000000000568</v>
      </c>
      <c r="J1158" s="8">
        <f>C1158*30</f>
        <v>75000</v>
      </c>
      <c r="K1158" s="2">
        <v>0</v>
      </c>
      <c r="L1158" s="8">
        <f t="shared" si="2161"/>
        <v>31.100000000000023</v>
      </c>
      <c r="M1158" s="8">
        <f t="shared" si="2162"/>
        <v>77750.000000000058</v>
      </c>
    </row>
    <row r="1159" spans="1:13" ht="15" customHeight="1" x14ac:dyDescent="0.25">
      <c r="A1159" s="24">
        <v>43773</v>
      </c>
      <c r="B1159" s="29" t="s">
        <v>14</v>
      </c>
      <c r="C1159" s="11">
        <v>30</v>
      </c>
      <c r="D1159" s="11" t="s">
        <v>10</v>
      </c>
      <c r="E1159" s="11">
        <v>46708</v>
      </c>
      <c r="F1159" s="11">
        <v>46799</v>
      </c>
      <c r="G1159" s="34">
        <v>0</v>
      </c>
      <c r="H1159" s="35">
        <v>0</v>
      </c>
      <c r="I1159" s="8">
        <f t="shared" si="2160"/>
        <v>2730</v>
      </c>
      <c r="J1159" s="8">
        <v>0</v>
      </c>
      <c r="K1159" s="2">
        <v>0</v>
      </c>
      <c r="L1159" s="8">
        <f t="shared" si="2161"/>
        <v>91</v>
      </c>
      <c r="M1159" s="8">
        <f t="shared" si="2162"/>
        <v>2730</v>
      </c>
    </row>
    <row r="1160" spans="1:13" ht="15" customHeight="1" x14ac:dyDescent="0.25">
      <c r="A1160" s="24">
        <v>43773</v>
      </c>
      <c r="B1160" s="29" t="s">
        <v>16</v>
      </c>
      <c r="C1160" s="11">
        <v>100</v>
      </c>
      <c r="D1160" s="11" t="s">
        <v>10</v>
      </c>
      <c r="E1160" s="11">
        <v>3976</v>
      </c>
      <c r="F1160" s="11">
        <v>3996</v>
      </c>
      <c r="G1160" s="34">
        <v>4026</v>
      </c>
      <c r="H1160" s="35">
        <v>0</v>
      </c>
      <c r="I1160" s="8">
        <f t="shared" si="2160"/>
        <v>2000</v>
      </c>
      <c r="J1160" s="8">
        <f>C1160*30</f>
        <v>3000</v>
      </c>
      <c r="K1160" s="2">
        <v>0</v>
      </c>
      <c r="L1160" s="8">
        <f t="shared" si="2161"/>
        <v>50</v>
      </c>
      <c r="M1160" s="8">
        <f t="shared" si="2162"/>
        <v>5000</v>
      </c>
    </row>
    <row r="1161" spans="1:13" ht="15" customHeight="1" x14ac:dyDescent="0.25">
      <c r="A1161" s="24">
        <v>43773</v>
      </c>
      <c r="B1161" s="29" t="s">
        <v>52</v>
      </c>
      <c r="C1161" s="11">
        <v>1250</v>
      </c>
      <c r="D1161" s="11" t="s">
        <v>10</v>
      </c>
      <c r="E1161" s="11">
        <v>199</v>
      </c>
      <c r="F1161" s="11">
        <v>201</v>
      </c>
      <c r="G1161" s="34">
        <v>0</v>
      </c>
      <c r="H1161" s="35">
        <v>0</v>
      </c>
      <c r="I1161" s="8">
        <f t="shared" si="2160"/>
        <v>2500</v>
      </c>
      <c r="J1161" s="8">
        <v>0</v>
      </c>
      <c r="K1161" s="2">
        <v>0</v>
      </c>
      <c r="L1161" s="8">
        <f t="shared" si="2161"/>
        <v>2</v>
      </c>
      <c r="M1161" s="8">
        <f t="shared" si="2162"/>
        <v>2500</v>
      </c>
    </row>
    <row r="1162" spans="1:13" ht="15" customHeight="1" x14ac:dyDescent="0.25">
      <c r="A1162" s="24">
        <v>43770</v>
      </c>
      <c r="B1162" s="29" t="s">
        <v>16</v>
      </c>
      <c r="C1162" s="11">
        <v>100</v>
      </c>
      <c r="D1162" s="11" t="s">
        <v>10</v>
      </c>
      <c r="E1162" s="11">
        <v>3873</v>
      </c>
      <c r="F1162" s="11">
        <v>3893</v>
      </c>
      <c r="G1162" s="34">
        <v>3927</v>
      </c>
      <c r="H1162" s="35">
        <v>0</v>
      </c>
      <c r="I1162" s="8">
        <f t="shared" si="2160"/>
        <v>2000</v>
      </c>
      <c r="J1162" s="8">
        <f>C1162*27</f>
        <v>2700</v>
      </c>
      <c r="K1162" s="2">
        <v>0</v>
      </c>
      <c r="L1162" s="8">
        <f t="shared" si="2161"/>
        <v>47</v>
      </c>
      <c r="M1162" s="8">
        <f t="shared" si="2162"/>
        <v>4700</v>
      </c>
    </row>
    <row r="1163" spans="1:13" ht="15" customHeight="1" x14ac:dyDescent="0.25">
      <c r="A1163" s="24">
        <v>43770</v>
      </c>
      <c r="B1163" s="29" t="s">
        <v>52</v>
      </c>
      <c r="C1163" s="11">
        <v>1250</v>
      </c>
      <c r="D1163" s="11" t="s">
        <v>11</v>
      </c>
      <c r="E1163" s="11">
        <v>184</v>
      </c>
      <c r="F1163" s="11">
        <v>186</v>
      </c>
      <c r="G1163" s="34">
        <v>0</v>
      </c>
      <c r="H1163" s="35">
        <v>0</v>
      </c>
      <c r="I1163" s="8">
        <f t="shared" si="2160"/>
        <v>-2500</v>
      </c>
      <c r="J1163" s="8">
        <v>0</v>
      </c>
      <c r="K1163" s="2">
        <v>0</v>
      </c>
      <c r="L1163" s="8">
        <f t="shared" si="2161"/>
        <v>-2</v>
      </c>
      <c r="M1163" s="8">
        <f t="shared" si="2162"/>
        <v>-2500</v>
      </c>
    </row>
    <row r="1164" spans="1:13" ht="15" customHeight="1" x14ac:dyDescent="0.25">
      <c r="A1164" s="24">
        <v>43770</v>
      </c>
      <c r="B1164" s="29" t="s">
        <v>14</v>
      </c>
      <c r="C1164" s="11">
        <v>30</v>
      </c>
      <c r="D1164" s="11" t="s">
        <v>10</v>
      </c>
      <c r="E1164" s="11">
        <v>46730</v>
      </c>
      <c r="F1164" s="11">
        <v>46570</v>
      </c>
      <c r="G1164" s="34">
        <v>0</v>
      </c>
      <c r="H1164" s="35">
        <v>0</v>
      </c>
      <c r="I1164" s="8">
        <f t="shared" si="2160"/>
        <v>-4800</v>
      </c>
      <c r="J1164" s="8">
        <v>0</v>
      </c>
      <c r="K1164" s="2">
        <v>0</v>
      </c>
      <c r="L1164" s="8">
        <f t="shared" si="2161"/>
        <v>-160</v>
      </c>
      <c r="M1164" s="8">
        <f t="shared" si="2162"/>
        <v>-4800</v>
      </c>
    </row>
    <row r="1165" spans="1:13" ht="15" customHeight="1" x14ac:dyDescent="0.25">
      <c r="A1165" s="24">
        <v>43770</v>
      </c>
      <c r="B1165" s="29" t="s">
        <v>19</v>
      </c>
      <c r="C1165" s="11">
        <v>100</v>
      </c>
      <c r="D1165" s="11" t="s">
        <v>10</v>
      </c>
      <c r="E1165" s="11">
        <v>38470</v>
      </c>
      <c r="F1165" s="11">
        <v>38519</v>
      </c>
      <c r="G1165" s="34">
        <v>0</v>
      </c>
      <c r="H1165" s="35">
        <v>0</v>
      </c>
      <c r="I1165" s="8">
        <f t="shared" si="2160"/>
        <v>4900</v>
      </c>
      <c r="J1165" s="8">
        <v>0</v>
      </c>
      <c r="K1165" s="2">
        <v>0</v>
      </c>
      <c r="L1165" s="8">
        <f t="shared" si="2161"/>
        <v>49</v>
      </c>
      <c r="M1165" s="8">
        <f t="shared" si="2162"/>
        <v>4900</v>
      </c>
    </row>
    <row r="1166" spans="1:13" ht="15" customHeight="1" x14ac:dyDescent="0.25">
      <c r="A1166" s="24">
        <v>43769</v>
      </c>
      <c r="B1166" s="29" t="s">
        <v>19</v>
      </c>
      <c r="C1166" s="11">
        <v>100</v>
      </c>
      <c r="D1166" s="11" t="s">
        <v>10</v>
      </c>
      <c r="E1166" s="11">
        <v>38135</v>
      </c>
      <c r="F1166" s="11">
        <v>38179</v>
      </c>
      <c r="G1166" s="34">
        <v>38260</v>
      </c>
      <c r="H1166" s="35">
        <v>38350</v>
      </c>
      <c r="I1166" s="8">
        <f t="shared" si="2160"/>
        <v>4400</v>
      </c>
      <c r="J1166" s="8">
        <f>C1166*81</f>
        <v>8100</v>
      </c>
      <c r="K1166" s="2">
        <f>C1166*90</f>
        <v>9000</v>
      </c>
      <c r="L1166" s="8">
        <f t="shared" si="2161"/>
        <v>215</v>
      </c>
      <c r="M1166" s="8">
        <f t="shared" si="2162"/>
        <v>21500</v>
      </c>
    </row>
    <row r="1167" spans="1:13" ht="15" customHeight="1" x14ac:dyDescent="0.25">
      <c r="A1167" s="24">
        <v>43769</v>
      </c>
      <c r="B1167" s="29" t="s">
        <v>14</v>
      </c>
      <c r="C1167" s="11">
        <v>30</v>
      </c>
      <c r="D1167" s="11" t="s">
        <v>10</v>
      </c>
      <c r="E1167" s="11">
        <v>46510</v>
      </c>
      <c r="F1167" s="11">
        <v>46600</v>
      </c>
      <c r="G1167" s="34">
        <v>46710</v>
      </c>
      <c r="H1167" s="35">
        <v>46820</v>
      </c>
      <c r="I1167" s="8">
        <f t="shared" si="2160"/>
        <v>2700</v>
      </c>
      <c r="J1167" s="8">
        <f>C1167*110</f>
        <v>3300</v>
      </c>
      <c r="K1167" s="2">
        <f>C1167*110</f>
        <v>3300</v>
      </c>
      <c r="L1167" s="8">
        <f t="shared" si="2161"/>
        <v>310</v>
      </c>
      <c r="M1167" s="8">
        <f t="shared" si="2162"/>
        <v>9300</v>
      </c>
    </row>
    <row r="1168" spans="1:13" ht="15" customHeight="1" x14ac:dyDescent="0.25">
      <c r="A1168" s="24">
        <v>43769</v>
      </c>
      <c r="B1168" s="29" t="s">
        <v>16</v>
      </c>
      <c r="C1168" s="11">
        <v>100</v>
      </c>
      <c r="D1168" s="11" t="s">
        <v>10</v>
      </c>
      <c r="E1168" s="11">
        <v>3935</v>
      </c>
      <c r="F1168" s="11">
        <v>3903</v>
      </c>
      <c r="G1168" s="34">
        <v>0</v>
      </c>
      <c r="H1168" s="35">
        <v>0</v>
      </c>
      <c r="I1168" s="8">
        <f t="shared" si="2160"/>
        <v>-3200</v>
      </c>
      <c r="J1168" s="8">
        <v>0</v>
      </c>
      <c r="K1168" s="2">
        <v>0</v>
      </c>
      <c r="L1168" s="8">
        <f t="shared" si="2161"/>
        <v>-32</v>
      </c>
      <c r="M1168" s="8">
        <f t="shared" si="2162"/>
        <v>-3200</v>
      </c>
    </row>
    <row r="1169" spans="1:13" ht="15" customHeight="1" x14ac:dyDescent="0.25">
      <c r="A1169" s="24">
        <v>43768</v>
      </c>
      <c r="B1169" s="29" t="s">
        <v>21</v>
      </c>
      <c r="C1169" s="11">
        <v>250</v>
      </c>
      <c r="D1169" s="11" t="s">
        <v>10</v>
      </c>
      <c r="E1169" s="11">
        <v>1208</v>
      </c>
      <c r="F1169" s="11">
        <v>1212</v>
      </c>
      <c r="G1169" s="34">
        <v>0</v>
      </c>
      <c r="H1169" s="35">
        <v>0</v>
      </c>
      <c r="I1169" s="8">
        <f t="shared" si="2160"/>
        <v>1000</v>
      </c>
      <c r="J1169" s="8">
        <v>0</v>
      </c>
      <c r="K1169" s="2">
        <v>0</v>
      </c>
      <c r="L1169" s="8">
        <f t="shared" si="2161"/>
        <v>4</v>
      </c>
      <c r="M1169" s="8">
        <f t="shared" si="2162"/>
        <v>1000</v>
      </c>
    </row>
    <row r="1170" spans="1:13" ht="15" customHeight="1" x14ac:dyDescent="0.25">
      <c r="A1170" s="24">
        <v>43768</v>
      </c>
      <c r="B1170" s="29" t="s">
        <v>19</v>
      </c>
      <c r="C1170" s="11">
        <v>100</v>
      </c>
      <c r="D1170" s="11" t="s">
        <v>10</v>
      </c>
      <c r="E1170" s="11">
        <v>38010</v>
      </c>
      <c r="F1170" s="11">
        <v>38050</v>
      </c>
      <c r="G1170" s="34">
        <v>0</v>
      </c>
      <c r="H1170" s="35">
        <v>0</v>
      </c>
      <c r="I1170" s="8">
        <f t="shared" si="2160"/>
        <v>4000</v>
      </c>
      <c r="J1170" s="8">
        <v>0</v>
      </c>
      <c r="K1170" s="2">
        <v>0</v>
      </c>
      <c r="L1170" s="8">
        <f t="shared" si="2161"/>
        <v>40</v>
      </c>
      <c r="M1170" s="8">
        <f t="shared" si="2162"/>
        <v>4000</v>
      </c>
    </row>
    <row r="1171" spans="1:13" ht="15" customHeight="1" x14ac:dyDescent="0.25">
      <c r="A1171" s="24">
        <v>43768</v>
      </c>
      <c r="B1171" s="29" t="s">
        <v>16</v>
      </c>
      <c r="C1171" s="11">
        <v>100</v>
      </c>
      <c r="D1171" s="11" t="s">
        <v>10</v>
      </c>
      <c r="E1171" s="11">
        <v>3937</v>
      </c>
      <c r="F1171" s="11">
        <v>3957</v>
      </c>
      <c r="G1171" s="34">
        <v>0</v>
      </c>
      <c r="H1171" s="35">
        <v>0</v>
      </c>
      <c r="I1171" s="8">
        <f t="shared" si="2160"/>
        <v>2000</v>
      </c>
      <c r="J1171" s="8">
        <v>0</v>
      </c>
      <c r="K1171" s="2">
        <v>0</v>
      </c>
      <c r="L1171" s="8">
        <f t="shared" si="2161"/>
        <v>20</v>
      </c>
      <c r="M1171" s="8">
        <f t="shared" si="2162"/>
        <v>2000</v>
      </c>
    </row>
    <row r="1172" spans="1:13" ht="15" customHeight="1" x14ac:dyDescent="0.25">
      <c r="A1172" s="24">
        <v>43767</v>
      </c>
      <c r="B1172" s="29" t="s">
        <v>16</v>
      </c>
      <c r="C1172" s="11">
        <v>100</v>
      </c>
      <c r="D1172" s="11" t="s">
        <v>11</v>
      </c>
      <c r="E1172" s="11">
        <v>3925</v>
      </c>
      <c r="F1172" s="11">
        <v>3905</v>
      </c>
      <c r="G1172" s="34">
        <v>0</v>
      </c>
      <c r="H1172" s="35">
        <v>0</v>
      </c>
      <c r="I1172" s="8">
        <f t="shared" si="2160"/>
        <v>2000</v>
      </c>
      <c r="J1172" s="8">
        <v>0</v>
      </c>
      <c r="K1172" s="2">
        <v>0</v>
      </c>
      <c r="L1172" s="8">
        <f t="shared" si="2161"/>
        <v>20</v>
      </c>
      <c r="M1172" s="8">
        <f t="shared" si="2162"/>
        <v>2000</v>
      </c>
    </row>
    <row r="1173" spans="1:13" ht="15" customHeight="1" x14ac:dyDescent="0.25">
      <c r="A1173" s="24">
        <v>43767</v>
      </c>
      <c r="B1173" s="29" t="s">
        <v>52</v>
      </c>
      <c r="C1173" s="11">
        <v>1250</v>
      </c>
      <c r="D1173" s="11" t="s">
        <v>10</v>
      </c>
      <c r="E1173" s="11">
        <v>184.3</v>
      </c>
      <c r="F1173" s="11">
        <v>185.9</v>
      </c>
      <c r="G1173" s="34">
        <v>189</v>
      </c>
      <c r="H1173" s="35">
        <v>0</v>
      </c>
      <c r="I1173" s="8">
        <f t="shared" si="2160"/>
        <v>1999.999999999993</v>
      </c>
      <c r="J1173" s="8">
        <f>C1173*3.1</f>
        <v>3875</v>
      </c>
      <c r="K1173" s="2">
        <v>0</v>
      </c>
      <c r="L1173" s="8">
        <f t="shared" si="2161"/>
        <v>4.699999999999994</v>
      </c>
      <c r="M1173" s="8">
        <f t="shared" si="2162"/>
        <v>5874.9999999999927</v>
      </c>
    </row>
    <row r="1174" spans="1:13" ht="15" customHeight="1" x14ac:dyDescent="0.25">
      <c r="A1174" s="24">
        <v>43767</v>
      </c>
      <c r="B1174" s="29" t="s">
        <v>19</v>
      </c>
      <c r="C1174" s="11">
        <v>100</v>
      </c>
      <c r="D1174" s="11" t="s">
        <v>11</v>
      </c>
      <c r="E1174" s="11">
        <v>37850</v>
      </c>
      <c r="F1174" s="11">
        <v>37920</v>
      </c>
      <c r="G1174" s="34">
        <v>0</v>
      </c>
      <c r="H1174" s="35">
        <v>0</v>
      </c>
      <c r="I1174" s="8">
        <f t="shared" si="2160"/>
        <v>-7000</v>
      </c>
      <c r="J1174" s="8">
        <v>0</v>
      </c>
      <c r="K1174" s="2">
        <v>0</v>
      </c>
      <c r="L1174" s="8">
        <f t="shared" si="2161"/>
        <v>-70</v>
      </c>
      <c r="M1174" s="8">
        <f t="shared" si="2162"/>
        <v>-7000</v>
      </c>
    </row>
    <row r="1175" spans="1:13" ht="15" customHeight="1" x14ac:dyDescent="0.25">
      <c r="A1175" s="24">
        <v>43763</v>
      </c>
      <c r="B1175" s="29" t="s">
        <v>14</v>
      </c>
      <c r="C1175" s="11">
        <v>30</v>
      </c>
      <c r="D1175" s="11" t="s">
        <v>10</v>
      </c>
      <c r="E1175" s="11">
        <v>46570</v>
      </c>
      <c r="F1175" s="11">
        <v>46685</v>
      </c>
      <c r="G1175" s="34">
        <v>46820</v>
      </c>
      <c r="H1175" s="35">
        <v>0</v>
      </c>
      <c r="I1175" s="8">
        <f t="shared" si="2160"/>
        <v>3450</v>
      </c>
      <c r="J1175" s="8">
        <f>C1175*135</f>
        <v>4050</v>
      </c>
      <c r="K1175" s="2">
        <v>0</v>
      </c>
      <c r="L1175" s="8">
        <f t="shared" si="2161"/>
        <v>250</v>
      </c>
      <c r="M1175" s="8">
        <f t="shared" si="2162"/>
        <v>7500</v>
      </c>
    </row>
    <row r="1176" spans="1:13" ht="15" customHeight="1" x14ac:dyDescent="0.25">
      <c r="A1176" s="24">
        <v>43762</v>
      </c>
      <c r="B1176" s="29" t="s">
        <v>34</v>
      </c>
      <c r="C1176" s="11">
        <v>100</v>
      </c>
      <c r="D1176" s="11" t="s">
        <v>10</v>
      </c>
      <c r="E1176" s="11">
        <v>3994</v>
      </c>
      <c r="F1176" s="11">
        <v>4015</v>
      </c>
      <c r="G1176" s="34">
        <v>0</v>
      </c>
      <c r="H1176" s="35">
        <v>0</v>
      </c>
      <c r="I1176" s="8">
        <f t="shared" si="2160"/>
        <v>2100</v>
      </c>
      <c r="J1176" s="8">
        <v>0</v>
      </c>
      <c r="K1176" s="2">
        <v>0</v>
      </c>
      <c r="L1176" s="8">
        <f t="shared" si="2161"/>
        <v>21</v>
      </c>
      <c r="M1176" s="8">
        <f t="shared" si="2162"/>
        <v>2100</v>
      </c>
    </row>
    <row r="1177" spans="1:13" ht="15" customHeight="1" x14ac:dyDescent="0.25">
      <c r="A1177" s="24">
        <v>43762</v>
      </c>
      <c r="B1177" s="29" t="s">
        <v>19</v>
      </c>
      <c r="C1177" s="11">
        <v>100</v>
      </c>
      <c r="D1177" s="11" t="s">
        <v>10</v>
      </c>
      <c r="E1177" s="11">
        <v>38087</v>
      </c>
      <c r="F1177" s="11">
        <v>38130</v>
      </c>
      <c r="G1177" s="34">
        <v>38210</v>
      </c>
      <c r="H1177" s="35">
        <v>38310</v>
      </c>
      <c r="I1177" s="8">
        <f t="shared" si="2160"/>
        <v>4300</v>
      </c>
      <c r="J1177" s="8">
        <f>C1177*80</f>
        <v>8000</v>
      </c>
      <c r="K1177" s="2">
        <f>C1177*100</f>
        <v>10000</v>
      </c>
      <c r="L1177" s="8">
        <f t="shared" si="2161"/>
        <v>223</v>
      </c>
      <c r="M1177" s="8">
        <f t="shared" si="2162"/>
        <v>22300</v>
      </c>
    </row>
    <row r="1178" spans="1:13" ht="15" customHeight="1" x14ac:dyDescent="0.25">
      <c r="A1178" s="24">
        <v>43761</v>
      </c>
      <c r="B1178" s="29" t="s">
        <v>17</v>
      </c>
      <c r="C1178" s="11">
        <v>5000</v>
      </c>
      <c r="D1178" s="11" t="s">
        <v>10</v>
      </c>
      <c r="E1178" s="11">
        <v>185</v>
      </c>
      <c r="F1178" s="11">
        <v>185.5</v>
      </c>
      <c r="G1178" s="34">
        <v>0</v>
      </c>
      <c r="H1178" s="35">
        <v>0</v>
      </c>
      <c r="I1178" s="8">
        <f t="shared" si="2160"/>
        <v>2500</v>
      </c>
      <c r="J1178" s="8">
        <v>0</v>
      </c>
      <c r="K1178" s="2">
        <v>0</v>
      </c>
      <c r="L1178" s="8">
        <f t="shared" si="2161"/>
        <v>0.5</v>
      </c>
      <c r="M1178" s="8">
        <f t="shared" si="2162"/>
        <v>2500</v>
      </c>
    </row>
    <row r="1179" spans="1:13" ht="15" customHeight="1" x14ac:dyDescent="0.25">
      <c r="A1179" s="24">
        <v>43760</v>
      </c>
      <c r="B1179" s="29" t="s">
        <v>34</v>
      </c>
      <c r="C1179" s="11">
        <v>100</v>
      </c>
      <c r="D1179" s="11" t="s">
        <v>10</v>
      </c>
      <c r="E1179" s="11">
        <v>3820</v>
      </c>
      <c r="F1179" s="11">
        <v>3845</v>
      </c>
      <c r="G1179" s="34">
        <v>3890</v>
      </c>
      <c r="H1179" s="35">
        <v>0</v>
      </c>
      <c r="I1179" s="8">
        <f t="shared" si="2160"/>
        <v>2500</v>
      </c>
      <c r="J1179" s="8">
        <f>C1179*45</f>
        <v>4500</v>
      </c>
      <c r="K1179" s="2">
        <v>0</v>
      </c>
      <c r="L1179" s="8">
        <f t="shared" si="2161"/>
        <v>70</v>
      </c>
      <c r="M1179" s="8">
        <f t="shared" si="2162"/>
        <v>7000</v>
      </c>
    </row>
    <row r="1180" spans="1:13" ht="15" customHeight="1" x14ac:dyDescent="0.25">
      <c r="A1180" s="24">
        <v>43760</v>
      </c>
      <c r="B1180" s="29" t="s">
        <v>14</v>
      </c>
      <c r="C1180" s="11">
        <v>30</v>
      </c>
      <c r="D1180" s="11" t="s">
        <v>10</v>
      </c>
      <c r="E1180" s="11">
        <v>45590</v>
      </c>
      <c r="F1180" s="11">
        <v>45380</v>
      </c>
      <c r="G1180" s="34">
        <v>0</v>
      </c>
      <c r="H1180" s="35">
        <v>0</v>
      </c>
      <c r="I1180" s="8">
        <f t="shared" si="2160"/>
        <v>-6300</v>
      </c>
      <c r="J1180" s="8">
        <v>0</v>
      </c>
      <c r="K1180" s="2">
        <v>0</v>
      </c>
      <c r="L1180" s="8">
        <f t="shared" si="2161"/>
        <v>-210</v>
      </c>
      <c r="M1180" s="8">
        <f t="shared" si="2162"/>
        <v>-6300</v>
      </c>
    </row>
    <row r="1181" spans="1:13" ht="15" customHeight="1" x14ac:dyDescent="0.25">
      <c r="A1181" s="24">
        <v>43756</v>
      </c>
      <c r="B1181" s="29" t="s">
        <v>19</v>
      </c>
      <c r="C1181" s="11">
        <v>100</v>
      </c>
      <c r="D1181" s="11" t="s">
        <v>11</v>
      </c>
      <c r="E1181" s="11">
        <v>38060</v>
      </c>
      <c r="F1181" s="11">
        <v>37990</v>
      </c>
      <c r="G1181" s="34">
        <v>0</v>
      </c>
      <c r="H1181" s="35">
        <v>0</v>
      </c>
      <c r="I1181" s="8">
        <f t="shared" si="2160"/>
        <v>7000</v>
      </c>
      <c r="J1181" s="8">
        <v>0</v>
      </c>
      <c r="K1181" s="2">
        <v>0</v>
      </c>
      <c r="L1181" s="8">
        <f t="shared" si="2161"/>
        <v>70</v>
      </c>
      <c r="M1181" s="8">
        <f t="shared" si="2162"/>
        <v>7000</v>
      </c>
    </row>
    <row r="1182" spans="1:13" ht="15" customHeight="1" x14ac:dyDescent="0.25">
      <c r="A1182" s="24">
        <v>43756</v>
      </c>
      <c r="B1182" s="29" t="s">
        <v>34</v>
      </c>
      <c r="C1182" s="11">
        <v>100</v>
      </c>
      <c r="D1182" s="11" t="s">
        <v>10</v>
      </c>
      <c r="E1182" s="11">
        <v>3850</v>
      </c>
      <c r="F1182" s="11">
        <v>3880</v>
      </c>
      <c r="G1182" s="34">
        <v>0</v>
      </c>
      <c r="H1182" s="35">
        <v>0</v>
      </c>
      <c r="I1182" s="8">
        <f t="shared" si="2160"/>
        <v>3000</v>
      </c>
      <c r="J1182" s="8">
        <v>0</v>
      </c>
      <c r="K1182" s="2">
        <v>0</v>
      </c>
      <c r="L1182" s="8">
        <f t="shared" si="2161"/>
        <v>30</v>
      </c>
      <c r="M1182" s="8">
        <f t="shared" si="2162"/>
        <v>3000</v>
      </c>
    </row>
    <row r="1183" spans="1:13" ht="15" customHeight="1" x14ac:dyDescent="0.25">
      <c r="A1183" s="24">
        <v>43756</v>
      </c>
      <c r="B1183" s="29" t="s">
        <v>14</v>
      </c>
      <c r="C1183" s="11">
        <v>30</v>
      </c>
      <c r="D1183" s="11" t="s">
        <v>11</v>
      </c>
      <c r="E1183" s="11">
        <v>45150</v>
      </c>
      <c r="F1183" s="11">
        <v>45350</v>
      </c>
      <c r="G1183" s="34">
        <v>0</v>
      </c>
      <c r="H1183" s="35">
        <v>0</v>
      </c>
      <c r="I1183" s="8">
        <f t="shared" si="2160"/>
        <v>-6000</v>
      </c>
      <c r="J1183" s="8">
        <v>0</v>
      </c>
      <c r="K1183" s="2">
        <v>0</v>
      </c>
      <c r="L1183" s="8">
        <f t="shared" si="2161"/>
        <v>-200</v>
      </c>
      <c r="M1183" s="8">
        <f t="shared" si="2162"/>
        <v>-6000</v>
      </c>
    </row>
    <row r="1184" spans="1:13" ht="15" customHeight="1" x14ac:dyDescent="0.25">
      <c r="A1184" s="24">
        <v>43755</v>
      </c>
      <c r="B1184" s="29" t="s">
        <v>19</v>
      </c>
      <c r="C1184" s="11">
        <v>100</v>
      </c>
      <c r="D1184" s="11" t="s">
        <v>11</v>
      </c>
      <c r="E1184" s="11">
        <v>38100</v>
      </c>
      <c r="F1184" s="11">
        <v>38020</v>
      </c>
      <c r="G1184" s="34">
        <v>0</v>
      </c>
      <c r="H1184" s="35">
        <v>0</v>
      </c>
      <c r="I1184" s="8">
        <f t="shared" si="2160"/>
        <v>8000</v>
      </c>
      <c r="J1184" s="8">
        <v>0</v>
      </c>
      <c r="K1184" s="2">
        <v>0</v>
      </c>
      <c r="L1184" s="8">
        <f t="shared" si="2161"/>
        <v>80</v>
      </c>
      <c r="M1184" s="8">
        <f t="shared" si="2162"/>
        <v>8000</v>
      </c>
    </row>
    <row r="1185" spans="1:13" ht="15" customHeight="1" x14ac:dyDescent="0.25">
      <c r="A1185" s="24">
        <v>43755</v>
      </c>
      <c r="B1185" s="29" t="s">
        <v>34</v>
      </c>
      <c r="C1185" s="11">
        <v>100</v>
      </c>
      <c r="D1185" s="11" t="s">
        <v>10</v>
      </c>
      <c r="E1185" s="11">
        <v>3820</v>
      </c>
      <c r="F1185" s="11">
        <v>3787</v>
      </c>
      <c r="G1185" s="34">
        <v>0</v>
      </c>
      <c r="H1185" s="35">
        <v>0</v>
      </c>
      <c r="I1185" s="8">
        <f t="shared" si="2160"/>
        <v>-3300</v>
      </c>
      <c r="J1185" s="8">
        <v>0</v>
      </c>
      <c r="K1185" s="2">
        <v>0</v>
      </c>
      <c r="L1185" s="8">
        <f t="shared" si="2161"/>
        <v>-33</v>
      </c>
      <c r="M1185" s="8">
        <f t="shared" si="2162"/>
        <v>-3300</v>
      </c>
    </row>
    <row r="1186" spans="1:13" ht="15" customHeight="1" x14ac:dyDescent="0.25">
      <c r="A1186" s="24">
        <v>43754</v>
      </c>
      <c r="B1186" s="29" t="s">
        <v>17</v>
      </c>
      <c r="C1186" s="11">
        <v>5000</v>
      </c>
      <c r="D1186" s="11" t="s">
        <v>11</v>
      </c>
      <c r="E1186" s="11">
        <v>185.5</v>
      </c>
      <c r="F1186" s="11">
        <v>185</v>
      </c>
      <c r="G1186" s="34">
        <v>0</v>
      </c>
      <c r="H1186" s="35">
        <v>0</v>
      </c>
      <c r="I1186" s="8">
        <f t="shared" si="2160"/>
        <v>2500</v>
      </c>
      <c r="J1186" s="8">
        <v>0</v>
      </c>
      <c r="K1186" s="2">
        <v>0</v>
      </c>
      <c r="L1186" s="8">
        <f t="shared" si="2161"/>
        <v>0.5</v>
      </c>
      <c r="M1186" s="8">
        <f t="shared" si="2162"/>
        <v>2500</v>
      </c>
    </row>
    <row r="1187" spans="1:13" ht="15" customHeight="1" x14ac:dyDescent="0.25">
      <c r="A1187" s="24">
        <v>43754</v>
      </c>
      <c r="B1187" s="29" t="s">
        <v>34</v>
      </c>
      <c r="C1187" s="11">
        <v>100</v>
      </c>
      <c r="D1187" s="11" t="s">
        <v>10</v>
      </c>
      <c r="E1187" s="11">
        <v>3825</v>
      </c>
      <c r="F1187" s="11">
        <v>3838</v>
      </c>
      <c r="G1187" s="34">
        <v>0</v>
      </c>
      <c r="H1187" s="35">
        <v>0</v>
      </c>
      <c r="I1187" s="8">
        <f t="shared" si="2160"/>
        <v>1300</v>
      </c>
      <c r="J1187" s="8">
        <v>0</v>
      </c>
      <c r="K1187" s="2">
        <v>0</v>
      </c>
      <c r="L1187" s="8">
        <f t="shared" si="2161"/>
        <v>13</v>
      </c>
      <c r="M1187" s="8">
        <f t="shared" si="2162"/>
        <v>1300</v>
      </c>
    </row>
    <row r="1188" spans="1:13" ht="15" customHeight="1" x14ac:dyDescent="0.25">
      <c r="A1188" s="24">
        <v>43754</v>
      </c>
      <c r="B1188" s="29" t="s">
        <v>19</v>
      </c>
      <c r="C1188" s="11">
        <v>100</v>
      </c>
      <c r="D1188" s="11" t="s">
        <v>11</v>
      </c>
      <c r="E1188" s="11">
        <v>38080</v>
      </c>
      <c r="F1188" s="11">
        <v>38020</v>
      </c>
      <c r="G1188" s="34">
        <v>37950</v>
      </c>
      <c r="H1188" s="35">
        <v>0</v>
      </c>
      <c r="I1188" s="8">
        <f t="shared" si="2160"/>
        <v>6000</v>
      </c>
      <c r="J1188" s="8">
        <f>C1188*70</f>
        <v>7000</v>
      </c>
      <c r="K1188" s="2">
        <v>0</v>
      </c>
      <c r="L1188" s="8">
        <f t="shared" si="2161"/>
        <v>130</v>
      </c>
      <c r="M1188" s="8">
        <f t="shared" si="2162"/>
        <v>13000</v>
      </c>
    </row>
    <row r="1189" spans="1:13" ht="15" customHeight="1" x14ac:dyDescent="0.25">
      <c r="A1189" s="24">
        <v>43753</v>
      </c>
      <c r="B1189" s="29" t="s">
        <v>14</v>
      </c>
      <c r="C1189" s="11">
        <v>30</v>
      </c>
      <c r="D1189" s="11" t="s">
        <v>10</v>
      </c>
      <c r="E1189" s="11">
        <v>45820</v>
      </c>
      <c r="F1189" s="11">
        <v>45930</v>
      </c>
      <c r="G1189" s="34">
        <v>0</v>
      </c>
      <c r="H1189" s="35">
        <v>0</v>
      </c>
      <c r="I1189" s="8">
        <f t="shared" si="2160"/>
        <v>3300</v>
      </c>
      <c r="J1189" s="8">
        <v>0</v>
      </c>
      <c r="K1189" s="2">
        <v>0</v>
      </c>
      <c r="L1189" s="8">
        <f t="shared" si="2161"/>
        <v>110</v>
      </c>
      <c r="M1189" s="8">
        <f t="shared" si="2162"/>
        <v>3300</v>
      </c>
    </row>
    <row r="1190" spans="1:13" ht="15" customHeight="1" x14ac:dyDescent="0.25">
      <c r="A1190" s="24">
        <v>43753</v>
      </c>
      <c r="B1190" s="29" t="s">
        <v>19</v>
      </c>
      <c r="C1190" s="11">
        <v>100</v>
      </c>
      <c r="D1190" s="11" t="s">
        <v>10</v>
      </c>
      <c r="E1190" s="11">
        <v>38300</v>
      </c>
      <c r="F1190" s="11">
        <v>38390</v>
      </c>
      <c r="G1190" s="34">
        <v>0</v>
      </c>
      <c r="H1190" s="35">
        <v>0</v>
      </c>
      <c r="I1190" s="8">
        <f t="shared" si="2160"/>
        <v>9000</v>
      </c>
      <c r="J1190" s="8">
        <v>0</v>
      </c>
      <c r="K1190" s="2">
        <v>0</v>
      </c>
      <c r="L1190" s="8">
        <f t="shared" si="2161"/>
        <v>90</v>
      </c>
      <c r="M1190" s="8">
        <f t="shared" si="2162"/>
        <v>9000</v>
      </c>
    </row>
    <row r="1191" spans="1:13" ht="15" customHeight="1" x14ac:dyDescent="0.25">
      <c r="A1191" s="24">
        <v>43753</v>
      </c>
      <c r="B1191" s="29" t="s">
        <v>34</v>
      </c>
      <c r="C1191" s="11">
        <v>100</v>
      </c>
      <c r="D1191" s="11" t="s">
        <v>10</v>
      </c>
      <c r="E1191" s="11">
        <v>3817</v>
      </c>
      <c r="F1191" s="11">
        <v>3785</v>
      </c>
      <c r="G1191" s="34">
        <v>0</v>
      </c>
      <c r="H1191" s="35">
        <v>0</v>
      </c>
      <c r="I1191" s="8">
        <f t="shared" si="2160"/>
        <v>-3200</v>
      </c>
      <c r="J1191" s="8">
        <v>0</v>
      </c>
      <c r="K1191" s="2">
        <v>0</v>
      </c>
      <c r="L1191" s="8">
        <f t="shared" si="2161"/>
        <v>-32</v>
      </c>
      <c r="M1191" s="8">
        <f t="shared" si="2162"/>
        <v>-3200</v>
      </c>
    </row>
    <row r="1192" spans="1:13" ht="15" customHeight="1" x14ac:dyDescent="0.25">
      <c r="A1192" s="24">
        <v>43752</v>
      </c>
      <c r="B1192" s="29" t="s">
        <v>19</v>
      </c>
      <c r="C1192" s="11">
        <v>100</v>
      </c>
      <c r="D1192" s="11" t="s">
        <v>10</v>
      </c>
      <c r="E1192" s="11">
        <v>37910</v>
      </c>
      <c r="F1192" s="11">
        <v>37960</v>
      </c>
      <c r="G1192" s="34">
        <v>38050</v>
      </c>
      <c r="H1192" s="35">
        <v>38150</v>
      </c>
      <c r="I1192" s="8">
        <f t="shared" si="2160"/>
        <v>5000</v>
      </c>
      <c r="J1192" s="8">
        <f>C1192*90</f>
        <v>9000</v>
      </c>
      <c r="K1192" s="2">
        <f>C1192*100</f>
        <v>10000</v>
      </c>
      <c r="L1192" s="8">
        <f t="shared" si="2161"/>
        <v>240</v>
      </c>
      <c r="M1192" s="8">
        <f t="shared" si="2162"/>
        <v>24000</v>
      </c>
    </row>
    <row r="1193" spans="1:13" ht="15" customHeight="1" x14ac:dyDescent="0.25">
      <c r="A1193" s="24">
        <v>43752</v>
      </c>
      <c r="B1193" s="29" t="s">
        <v>21</v>
      </c>
      <c r="C1193" s="11">
        <v>250</v>
      </c>
      <c r="D1193" s="11" t="s">
        <v>11</v>
      </c>
      <c r="E1193" s="11">
        <v>1240</v>
      </c>
      <c r="F1193" s="11">
        <v>1236</v>
      </c>
      <c r="G1193" s="34">
        <v>0</v>
      </c>
      <c r="H1193" s="35">
        <v>0</v>
      </c>
      <c r="I1193" s="8">
        <f t="shared" si="2160"/>
        <v>1000</v>
      </c>
      <c r="J1193" s="8">
        <v>0</v>
      </c>
      <c r="K1193" s="2">
        <v>0</v>
      </c>
      <c r="L1193" s="8">
        <f t="shared" si="2161"/>
        <v>4</v>
      </c>
      <c r="M1193" s="8">
        <f t="shared" si="2162"/>
        <v>1000</v>
      </c>
    </row>
    <row r="1194" spans="1:13" ht="15" customHeight="1" x14ac:dyDescent="0.25">
      <c r="A1194" s="24">
        <v>43752</v>
      </c>
      <c r="B1194" s="29" t="s">
        <v>18</v>
      </c>
      <c r="C1194" s="11">
        <v>2500</v>
      </c>
      <c r="D1194" s="11" t="s">
        <v>11</v>
      </c>
      <c r="E1194" s="11">
        <v>442</v>
      </c>
      <c r="F1194" s="11">
        <v>440.5</v>
      </c>
      <c r="G1194" s="34">
        <v>0</v>
      </c>
      <c r="H1194" s="35">
        <v>0</v>
      </c>
      <c r="I1194" s="8">
        <f t="shared" si="2160"/>
        <v>3750</v>
      </c>
      <c r="J1194" s="8">
        <v>0</v>
      </c>
      <c r="K1194" s="2">
        <v>0</v>
      </c>
      <c r="L1194" s="8">
        <f t="shared" si="2161"/>
        <v>1.5</v>
      </c>
      <c r="M1194" s="8">
        <f t="shared" si="2162"/>
        <v>3750</v>
      </c>
    </row>
    <row r="1195" spans="1:13" ht="15" customHeight="1" x14ac:dyDescent="0.25">
      <c r="A1195" s="24">
        <v>43752</v>
      </c>
      <c r="B1195" s="29" t="s">
        <v>34</v>
      </c>
      <c r="C1195" s="11">
        <v>100</v>
      </c>
      <c r="D1195" s="11" t="s">
        <v>10</v>
      </c>
      <c r="E1195" s="11">
        <v>3860</v>
      </c>
      <c r="F1195" s="11">
        <v>3830</v>
      </c>
      <c r="G1195" s="34">
        <v>0</v>
      </c>
      <c r="H1195" s="35">
        <v>0</v>
      </c>
      <c r="I1195" s="8">
        <f t="shared" si="2160"/>
        <v>-3000</v>
      </c>
      <c r="J1195" s="8">
        <v>0</v>
      </c>
      <c r="K1195" s="2">
        <v>0</v>
      </c>
      <c r="L1195" s="8">
        <f t="shared" si="2161"/>
        <v>-30</v>
      </c>
      <c r="M1195" s="8">
        <f t="shared" si="2162"/>
        <v>-3000</v>
      </c>
    </row>
    <row r="1196" spans="1:13" ht="15" customHeight="1" x14ac:dyDescent="0.25">
      <c r="A1196" s="24">
        <v>43749</v>
      </c>
      <c r="B1196" s="29" t="s">
        <v>21</v>
      </c>
      <c r="C1196" s="11">
        <v>250</v>
      </c>
      <c r="D1196" s="11" t="s">
        <v>10</v>
      </c>
      <c r="E1196" s="11">
        <v>1259.5</v>
      </c>
      <c r="F1196" s="11">
        <v>1264</v>
      </c>
      <c r="G1196" s="34">
        <v>0</v>
      </c>
      <c r="H1196" s="35">
        <v>0</v>
      </c>
      <c r="I1196" s="8">
        <f t="shared" si="2160"/>
        <v>1125</v>
      </c>
      <c r="J1196" s="8">
        <v>0</v>
      </c>
      <c r="K1196" s="2">
        <v>0</v>
      </c>
      <c r="L1196" s="8">
        <f t="shared" si="2161"/>
        <v>4.5</v>
      </c>
      <c r="M1196" s="8">
        <f t="shared" si="2162"/>
        <v>1125</v>
      </c>
    </row>
    <row r="1197" spans="1:13" ht="15" customHeight="1" x14ac:dyDescent="0.25">
      <c r="A1197" s="24">
        <v>43749</v>
      </c>
      <c r="B1197" s="29" t="s">
        <v>14</v>
      </c>
      <c r="C1197" s="11">
        <v>30</v>
      </c>
      <c r="D1197" s="11" t="s">
        <v>10</v>
      </c>
      <c r="E1197" s="11">
        <v>45610</v>
      </c>
      <c r="F1197" s="11">
        <v>45710</v>
      </c>
      <c r="G1197" s="34">
        <v>0</v>
      </c>
      <c r="H1197" s="35">
        <v>0</v>
      </c>
      <c r="I1197" s="8">
        <f t="shared" si="2160"/>
        <v>3000</v>
      </c>
      <c r="J1197" s="8">
        <v>0</v>
      </c>
      <c r="K1197" s="2">
        <v>0</v>
      </c>
      <c r="L1197" s="8">
        <f t="shared" si="2161"/>
        <v>100</v>
      </c>
      <c r="M1197" s="8">
        <f t="shared" si="2162"/>
        <v>3000</v>
      </c>
    </row>
    <row r="1198" spans="1:13" ht="15" customHeight="1" x14ac:dyDescent="0.25">
      <c r="A1198" s="24">
        <v>43749</v>
      </c>
      <c r="B1198" s="29" t="s">
        <v>17</v>
      </c>
      <c r="C1198" s="11">
        <v>5000</v>
      </c>
      <c r="D1198" s="11" t="s">
        <v>11</v>
      </c>
      <c r="E1198" s="11">
        <v>185.1</v>
      </c>
      <c r="F1198" s="11">
        <v>185.9</v>
      </c>
      <c r="G1198" s="34">
        <v>0</v>
      </c>
      <c r="H1198" s="35">
        <v>0</v>
      </c>
      <c r="I1198" s="8">
        <f t="shared" si="2160"/>
        <v>-4000.0000000000568</v>
      </c>
      <c r="J1198" s="8">
        <v>0</v>
      </c>
      <c r="K1198" s="2">
        <v>0</v>
      </c>
      <c r="L1198" s="8">
        <f t="shared" si="2161"/>
        <v>-0.80000000000001137</v>
      </c>
      <c r="M1198" s="8">
        <f t="shared" si="2162"/>
        <v>-4000.0000000000568</v>
      </c>
    </row>
    <row r="1199" spans="1:13" ht="15" customHeight="1" x14ac:dyDescent="0.25">
      <c r="A1199" s="24">
        <v>43749</v>
      </c>
      <c r="B1199" s="29" t="s">
        <v>34</v>
      </c>
      <c r="C1199" s="11">
        <v>100</v>
      </c>
      <c r="D1199" s="11" t="s">
        <v>10</v>
      </c>
      <c r="E1199" s="11">
        <v>3823</v>
      </c>
      <c r="F1199" s="11">
        <v>3843</v>
      </c>
      <c r="G1199" s="34">
        <v>3874</v>
      </c>
      <c r="H1199" s="35">
        <v>0</v>
      </c>
      <c r="I1199" s="8">
        <f t="shared" si="2160"/>
        <v>2000</v>
      </c>
      <c r="J1199" s="8">
        <f>C1199*31</f>
        <v>3100</v>
      </c>
      <c r="K1199" s="2">
        <v>0</v>
      </c>
      <c r="L1199" s="8">
        <f t="shared" si="2161"/>
        <v>51</v>
      </c>
      <c r="M1199" s="8">
        <f t="shared" si="2162"/>
        <v>5100</v>
      </c>
    </row>
    <row r="1200" spans="1:13" ht="15" customHeight="1" x14ac:dyDescent="0.25">
      <c r="A1200" s="24">
        <v>43748</v>
      </c>
      <c r="B1200" s="29" t="s">
        <v>34</v>
      </c>
      <c r="C1200" s="11">
        <v>100</v>
      </c>
      <c r="D1200" s="11" t="s">
        <v>11</v>
      </c>
      <c r="E1200" s="11">
        <v>3719</v>
      </c>
      <c r="F1200" s="11">
        <v>3698</v>
      </c>
      <c r="G1200" s="34">
        <v>0</v>
      </c>
      <c r="H1200" s="35">
        <v>0</v>
      </c>
      <c r="I1200" s="8">
        <f t="shared" si="2160"/>
        <v>2100</v>
      </c>
      <c r="J1200" s="8">
        <v>0</v>
      </c>
      <c r="K1200" s="2">
        <v>0</v>
      </c>
      <c r="L1200" s="8">
        <f t="shared" si="2161"/>
        <v>21</v>
      </c>
      <c r="M1200" s="8">
        <f t="shared" si="2162"/>
        <v>2100</v>
      </c>
    </row>
    <row r="1201" spans="1:13" ht="15" customHeight="1" x14ac:dyDescent="0.25">
      <c r="A1201" s="24">
        <v>43748</v>
      </c>
      <c r="B1201" s="29" t="s">
        <v>14</v>
      </c>
      <c r="C1201" s="11">
        <v>30</v>
      </c>
      <c r="D1201" s="11" t="s">
        <v>11</v>
      </c>
      <c r="E1201" s="11">
        <v>45780</v>
      </c>
      <c r="F1201" s="11">
        <v>45930</v>
      </c>
      <c r="G1201" s="34">
        <v>0</v>
      </c>
      <c r="H1201" s="35">
        <v>0</v>
      </c>
      <c r="I1201" s="8">
        <f t="shared" si="2160"/>
        <v>-4500</v>
      </c>
      <c r="J1201" s="8">
        <v>0</v>
      </c>
      <c r="K1201" s="2">
        <v>0</v>
      </c>
      <c r="L1201" s="8">
        <f t="shared" si="2161"/>
        <v>-150</v>
      </c>
      <c r="M1201" s="8">
        <f t="shared" si="2162"/>
        <v>-4500</v>
      </c>
    </row>
    <row r="1202" spans="1:13" ht="15" customHeight="1" x14ac:dyDescent="0.25">
      <c r="A1202" s="24">
        <v>43747</v>
      </c>
      <c r="B1202" s="29" t="s">
        <v>19</v>
      </c>
      <c r="C1202" s="11">
        <v>100</v>
      </c>
      <c r="D1202" s="11" t="s">
        <v>11</v>
      </c>
      <c r="E1202" s="11">
        <v>38398</v>
      </c>
      <c r="F1202" s="11">
        <v>38352</v>
      </c>
      <c r="G1202" s="34">
        <v>0</v>
      </c>
      <c r="H1202" s="35">
        <v>0</v>
      </c>
      <c r="I1202" s="8">
        <f t="shared" si="2160"/>
        <v>4600</v>
      </c>
      <c r="J1202" s="8">
        <v>0</v>
      </c>
      <c r="K1202" s="2">
        <v>0</v>
      </c>
      <c r="L1202" s="8">
        <f t="shared" si="2161"/>
        <v>46</v>
      </c>
      <c r="M1202" s="8">
        <f t="shared" si="2162"/>
        <v>4600</v>
      </c>
    </row>
    <row r="1203" spans="1:13" ht="15" customHeight="1" x14ac:dyDescent="0.25">
      <c r="A1203" s="24">
        <v>43747</v>
      </c>
      <c r="B1203" s="29" t="s">
        <v>34</v>
      </c>
      <c r="C1203" s="11">
        <v>100</v>
      </c>
      <c r="D1203" s="11" t="s">
        <v>10</v>
      </c>
      <c r="E1203" s="11">
        <v>3764</v>
      </c>
      <c r="F1203" s="11">
        <v>3786</v>
      </c>
      <c r="G1203" s="34">
        <v>0</v>
      </c>
      <c r="H1203" s="35">
        <v>0</v>
      </c>
      <c r="I1203" s="8">
        <f t="shared" si="2160"/>
        <v>2200</v>
      </c>
      <c r="J1203" s="8">
        <v>0</v>
      </c>
      <c r="K1203" s="2">
        <v>0</v>
      </c>
      <c r="L1203" s="8">
        <f t="shared" si="2161"/>
        <v>22</v>
      </c>
      <c r="M1203" s="8">
        <f t="shared" si="2162"/>
        <v>2200</v>
      </c>
    </row>
    <row r="1204" spans="1:13" ht="15" customHeight="1" x14ac:dyDescent="0.25">
      <c r="A1204" s="24">
        <v>43747</v>
      </c>
      <c r="B1204" s="29" t="s">
        <v>17</v>
      </c>
      <c r="C1204" s="11">
        <v>5000</v>
      </c>
      <c r="D1204" s="11" t="s">
        <v>11</v>
      </c>
      <c r="E1204" s="11">
        <v>181.1</v>
      </c>
      <c r="F1204" s="11">
        <v>180.5</v>
      </c>
      <c r="G1204" s="34">
        <v>0</v>
      </c>
      <c r="H1204" s="35">
        <v>0</v>
      </c>
      <c r="I1204" s="8">
        <f t="shared" si="2160"/>
        <v>2999.9999999999718</v>
      </c>
      <c r="J1204" s="8">
        <v>0</v>
      </c>
      <c r="K1204" s="2">
        <v>0</v>
      </c>
      <c r="L1204" s="8">
        <f t="shared" si="2161"/>
        <v>0.59999999999999432</v>
      </c>
      <c r="M1204" s="8">
        <f t="shared" si="2162"/>
        <v>2999.9999999999718</v>
      </c>
    </row>
    <row r="1205" spans="1:13" ht="15" customHeight="1" x14ac:dyDescent="0.25">
      <c r="A1205" s="24">
        <v>43745</v>
      </c>
      <c r="B1205" s="29" t="s">
        <v>19</v>
      </c>
      <c r="C1205" s="11">
        <v>100</v>
      </c>
      <c r="D1205" s="11" t="s">
        <v>11</v>
      </c>
      <c r="E1205" s="11">
        <v>38335</v>
      </c>
      <c r="F1205" s="11">
        <v>38280</v>
      </c>
      <c r="G1205" s="34">
        <v>0</v>
      </c>
      <c r="H1205" s="35">
        <v>0</v>
      </c>
      <c r="I1205" s="8">
        <f t="shared" si="2160"/>
        <v>5500</v>
      </c>
      <c r="J1205" s="8">
        <v>0</v>
      </c>
      <c r="K1205" s="2">
        <v>0</v>
      </c>
      <c r="L1205" s="8">
        <f t="shared" si="2161"/>
        <v>55</v>
      </c>
      <c r="M1205" s="8">
        <f t="shared" si="2162"/>
        <v>5500</v>
      </c>
    </row>
    <row r="1206" spans="1:13" ht="15" customHeight="1" x14ac:dyDescent="0.25">
      <c r="A1206" s="24">
        <v>43745</v>
      </c>
      <c r="B1206" s="29" t="s">
        <v>34</v>
      </c>
      <c r="C1206" s="11">
        <v>100</v>
      </c>
      <c r="D1206" s="11" t="s">
        <v>10</v>
      </c>
      <c r="E1206" s="11">
        <v>3765</v>
      </c>
      <c r="F1206" s="11">
        <v>3785</v>
      </c>
      <c r="G1206" s="34">
        <v>3814</v>
      </c>
      <c r="H1206" s="35">
        <v>0</v>
      </c>
      <c r="I1206" s="8">
        <f t="shared" si="2160"/>
        <v>2000</v>
      </c>
      <c r="J1206" s="8">
        <f>C1206*29</f>
        <v>2900</v>
      </c>
      <c r="K1206" s="2">
        <v>0</v>
      </c>
      <c r="L1206" s="8">
        <f t="shared" si="2161"/>
        <v>49</v>
      </c>
      <c r="M1206" s="8">
        <f t="shared" si="2162"/>
        <v>4900</v>
      </c>
    </row>
    <row r="1207" spans="1:13" ht="15" customHeight="1" x14ac:dyDescent="0.25">
      <c r="A1207" s="24">
        <v>43742</v>
      </c>
      <c r="B1207" s="29" t="s">
        <v>21</v>
      </c>
      <c r="C1207" s="11">
        <v>250</v>
      </c>
      <c r="D1207" s="11" t="s">
        <v>11</v>
      </c>
      <c r="E1207" s="11">
        <v>1250</v>
      </c>
      <c r="F1207" s="11">
        <v>1260</v>
      </c>
      <c r="G1207" s="34">
        <v>0</v>
      </c>
      <c r="H1207" s="35">
        <v>0</v>
      </c>
      <c r="I1207" s="8">
        <f t="shared" si="2160"/>
        <v>-2500</v>
      </c>
      <c r="J1207" s="8">
        <v>0</v>
      </c>
      <c r="K1207" s="2">
        <v>0</v>
      </c>
      <c r="L1207" s="8">
        <f t="shared" si="2161"/>
        <v>-10</v>
      </c>
      <c r="M1207" s="8">
        <f t="shared" si="2162"/>
        <v>-2500</v>
      </c>
    </row>
    <row r="1208" spans="1:13" ht="15" customHeight="1" x14ac:dyDescent="0.25">
      <c r="A1208" s="24">
        <v>43742</v>
      </c>
      <c r="B1208" s="29" t="s">
        <v>19</v>
      </c>
      <c r="C1208" s="11">
        <v>100</v>
      </c>
      <c r="D1208" s="11" t="s">
        <v>11</v>
      </c>
      <c r="E1208" s="11">
        <v>38330</v>
      </c>
      <c r="F1208" s="11">
        <v>38410</v>
      </c>
      <c r="G1208" s="34">
        <v>0</v>
      </c>
      <c r="H1208" s="35">
        <v>0</v>
      </c>
      <c r="I1208" s="8">
        <f t="shared" si="2160"/>
        <v>-8000</v>
      </c>
      <c r="J1208" s="8">
        <v>0</v>
      </c>
      <c r="K1208" s="2">
        <v>0</v>
      </c>
      <c r="L1208" s="8">
        <f t="shared" si="2161"/>
        <v>-80</v>
      </c>
      <c r="M1208" s="8">
        <f t="shared" si="2162"/>
        <v>-8000</v>
      </c>
    </row>
    <row r="1209" spans="1:13" ht="15" customHeight="1" x14ac:dyDescent="0.25">
      <c r="A1209" s="24">
        <v>43741</v>
      </c>
      <c r="B1209" s="29" t="s">
        <v>22</v>
      </c>
      <c r="C1209" s="11">
        <v>5000</v>
      </c>
      <c r="D1209" s="11" t="s">
        <v>11</v>
      </c>
      <c r="E1209" s="11">
        <v>134.44999999999999</v>
      </c>
      <c r="F1209" s="11">
        <v>133.9</v>
      </c>
      <c r="G1209" s="34">
        <v>0</v>
      </c>
      <c r="H1209" s="35">
        <v>0</v>
      </c>
      <c r="I1209" s="8">
        <f t="shared" si="2160"/>
        <v>2749.9999999999145</v>
      </c>
      <c r="J1209" s="8">
        <v>0</v>
      </c>
      <c r="K1209" s="2">
        <v>0</v>
      </c>
      <c r="L1209" s="8">
        <f t="shared" si="2161"/>
        <v>0.54999999999998295</v>
      </c>
      <c r="M1209" s="8">
        <f t="shared" si="2162"/>
        <v>2749.9999999999145</v>
      </c>
    </row>
    <row r="1210" spans="1:13" ht="15" customHeight="1" x14ac:dyDescent="0.25">
      <c r="A1210" s="24">
        <v>43741</v>
      </c>
      <c r="B1210" s="29" t="s">
        <v>34</v>
      </c>
      <c r="C1210" s="11">
        <v>100</v>
      </c>
      <c r="D1210" s="11" t="s">
        <v>11</v>
      </c>
      <c r="E1210" s="11">
        <v>3750</v>
      </c>
      <c r="F1210" s="11">
        <v>3728</v>
      </c>
      <c r="G1210" s="34">
        <v>0</v>
      </c>
      <c r="H1210" s="35">
        <v>0</v>
      </c>
      <c r="I1210" s="8">
        <f t="shared" si="2160"/>
        <v>2200</v>
      </c>
      <c r="J1210" s="8">
        <v>0</v>
      </c>
      <c r="K1210" s="2">
        <v>0</v>
      </c>
      <c r="L1210" s="8">
        <f t="shared" si="2161"/>
        <v>22</v>
      </c>
      <c r="M1210" s="8">
        <f t="shared" si="2162"/>
        <v>2200</v>
      </c>
    </row>
    <row r="1211" spans="1:13" ht="15" customHeight="1" x14ac:dyDescent="0.25">
      <c r="A1211" s="24">
        <v>43741</v>
      </c>
      <c r="B1211" s="29" t="s">
        <v>14</v>
      </c>
      <c r="C1211" s="11">
        <v>30</v>
      </c>
      <c r="D1211" s="11" t="s">
        <v>10</v>
      </c>
      <c r="E1211" s="11">
        <v>45860</v>
      </c>
      <c r="F1211" s="11">
        <v>45670</v>
      </c>
      <c r="G1211" s="34">
        <v>0</v>
      </c>
      <c r="H1211" s="35">
        <v>0</v>
      </c>
      <c r="I1211" s="8">
        <f t="shared" si="2160"/>
        <v>-5700</v>
      </c>
      <c r="J1211" s="8">
        <v>0</v>
      </c>
      <c r="K1211" s="2">
        <v>0</v>
      </c>
      <c r="L1211" s="8">
        <f t="shared" si="2161"/>
        <v>-190</v>
      </c>
      <c r="M1211" s="8">
        <f t="shared" si="2162"/>
        <v>-5700</v>
      </c>
    </row>
    <row r="1212" spans="1:13" ht="15" customHeight="1" x14ac:dyDescent="0.25">
      <c r="A1212" s="24">
        <v>43739</v>
      </c>
      <c r="B1212" s="29" t="s">
        <v>34</v>
      </c>
      <c r="C1212" s="11">
        <v>100</v>
      </c>
      <c r="D1212" s="11" t="s">
        <v>11</v>
      </c>
      <c r="E1212" s="11">
        <v>3850</v>
      </c>
      <c r="F1212" s="11">
        <v>3825</v>
      </c>
      <c r="G1212" s="34">
        <v>3800</v>
      </c>
      <c r="H1212" s="35">
        <v>0</v>
      </c>
      <c r="I1212" s="8">
        <f t="shared" si="2160"/>
        <v>2500</v>
      </c>
      <c r="J1212" s="8">
        <f>C1212*25</f>
        <v>2500</v>
      </c>
      <c r="K1212" s="2">
        <v>0</v>
      </c>
      <c r="L1212" s="8">
        <f t="shared" si="2161"/>
        <v>50</v>
      </c>
      <c r="M1212" s="8">
        <f t="shared" si="2162"/>
        <v>5000</v>
      </c>
    </row>
    <row r="1213" spans="1:13" ht="15" customHeight="1" x14ac:dyDescent="0.25">
      <c r="A1213" s="24">
        <v>43739</v>
      </c>
      <c r="B1213" s="29" t="s">
        <v>14</v>
      </c>
      <c r="C1213" s="11">
        <v>30</v>
      </c>
      <c r="D1213" s="11" t="s">
        <v>10</v>
      </c>
      <c r="E1213" s="11">
        <v>44630</v>
      </c>
      <c r="F1213" s="11">
        <v>44800</v>
      </c>
      <c r="G1213" s="34">
        <v>0</v>
      </c>
      <c r="H1213" s="35">
        <v>0</v>
      </c>
      <c r="I1213" s="8">
        <f t="shared" si="2160"/>
        <v>5100</v>
      </c>
      <c r="J1213" s="8">
        <v>0</v>
      </c>
      <c r="K1213" s="2">
        <v>0</v>
      </c>
      <c r="L1213" s="8">
        <f t="shared" si="2161"/>
        <v>170</v>
      </c>
      <c r="M1213" s="8">
        <f t="shared" si="2162"/>
        <v>5100</v>
      </c>
    </row>
    <row r="1214" spans="1:13" ht="15" customHeight="1" x14ac:dyDescent="0.25">
      <c r="A1214" s="24">
        <v>43739</v>
      </c>
      <c r="B1214" s="29" t="s">
        <v>17</v>
      </c>
      <c r="C1214" s="11">
        <v>5000</v>
      </c>
      <c r="D1214" s="11" t="s">
        <v>11</v>
      </c>
      <c r="E1214" s="11">
        <v>184.5</v>
      </c>
      <c r="F1214" s="11">
        <v>185.5</v>
      </c>
      <c r="G1214" s="34">
        <v>0</v>
      </c>
      <c r="H1214" s="35">
        <v>0</v>
      </c>
      <c r="I1214" s="8">
        <f t="shared" si="2160"/>
        <v>-5000</v>
      </c>
      <c r="J1214" s="8">
        <v>0</v>
      </c>
      <c r="K1214" s="2">
        <v>0</v>
      </c>
      <c r="L1214" s="8">
        <f t="shared" si="2161"/>
        <v>-1</v>
      </c>
      <c r="M1214" s="8">
        <f t="shared" si="2162"/>
        <v>-5000</v>
      </c>
    </row>
    <row r="1215" spans="1:13" ht="15" customHeight="1" x14ac:dyDescent="0.25">
      <c r="A1215" s="24">
        <v>43738</v>
      </c>
      <c r="B1215" s="29" t="s">
        <v>17</v>
      </c>
      <c r="C1215" s="11">
        <v>5000</v>
      </c>
      <c r="D1215" s="11" t="s">
        <v>10</v>
      </c>
      <c r="E1215" s="11">
        <v>182.5</v>
      </c>
      <c r="F1215" s="11">
        <v>183</v>
      </c>
      <c r="G1215" s="34">
        <v>184</v>
      </c>
      <c r="H1215" s="35">
        <v>185.9</v>
      </c>
      <c r="I1215" s="8">
        <f t="shared" ref="I1215:I1278" si="2163">(IF(D1215="SELL",E1215-F1215,IF(D1215="BUY",F1215-E1215)))*C1215</f>
        <v>2500</v>
      </c>
      <c r="J1215" s="8">
        <f>C1215*1</f>
        <v>5000</v>
      </c>
      <c r="K1215" s="2">
        <f>C1215*1.9</f>
        <v>9500</v>
      </c>
      <c r="L1215" s="8">
        <f t="shared" ref="L1215:L1278" si="2164">(J1215+I1215+K1215)/C1215</f>
        <v>3.4</v>
      </c>
      <c r="M1215" s="8">
        <f t="shared" ref="M1215:M1278" si="2165">L1215*C1215</f>
        <v>17000</v>
      </c>
    </row>
    <row r="1216" spans="1:13" ht="15" customHeight="1" x14ac:dyDescent="0.25">
      <c r="A1216" s="24">
        <v>43735</v>
      </c>
      <c r="B1216" s="29" t="s">
        <v>19</v>
      </c>
      <c r="C1216" s="11">
        <v>100</v>
      </c>
      <c r="D1216" s="11" t="s">
        <v>11</v>
      </c>
      <c r="E1216" s="11">
        <v>37550</v>
      </c>
      <c r="F1216" s="11">
        <v>37510</v>
      </c>
      <c r="G1216" s="34">
        <v>37430</v>
      </c>
      <c r="H1216" s="35">
        <v>37350</v>
      </c>
      <c r="I1216" s="8">
        <f t="shared" si="2163"/>
        <v>4000</v>
      </c>
      <c r="J1216" s="8">
        <f>C1216*80</f>
        <v>8000</v>
      </c>
      <c r="K1216" s="2">
        <f>C1216*80</f>
        <v>8000</v>
      </c>
      <c r="L1216" s="8">
        <f t="shared" si="2164"/>
        <v>200</v>
      </c>
      <c r="M1216" s="8">
        <f t="shared" si="2165"/>
        <v>20000</v>
      </c>
    </row>
    <row r="1217" spans="1:13" ht="15" customHeight="1" x14ac:dyDescent="0.25">
      <c r="A1217" s="24">
        <v>43735</v>
      </c>
      <c r="B1217" s="29" t="s">
        <v>52</v>
      </c>
      <c r="C1217" s="11">
        <v>1250</v>
      </c>
      <c r="D1217" s="11" t="s">
        <v>11</v>
      </c>
      <c r="E1217" s="11">
        <v>172</v>
      </c>
      <c r="F1217" s="11">
        <v>170.5</v>
      </c>
      <c r="G1217" s="34">
        <v>0</v>
      </c>
      <c r="H1217" s="35">
        <v>0</v>
      </c>
      <c r="I1217" s="8">
        <f t="shared" si="2163"/>
        <v>1875</v>
      </c>
      <c r="J1217" s="8">
        <v>0</v>
      </c>
      <c r="K1217" s="2">
        <v>0</v>
      </c>
      <c r="L1217" s="8">
        <f t="shared" si="2164"/>
        <v>1.5</v>
      </c>
      <c r="M1217" s="8">
        <f t="shared" si="2165"/>
        <v>1875</v>
      </c>
    </row>
    <row r="1218" spans="1:13" ht="15" customHeight="1" x14ac:dyDescent="0.25">
      <c r="A1218" s="24">
        <v>43735</v>
      </c>
      <c r="B1218" s="29" t="s">
        <v>18</v>
      </c>
      <c r="C1218" s="11">
        <v>2500</v>
      </c>
      <c r="D1218" s="11" t="s">
        <v>10</v>
      </c>
      <c r="E1218" s="11">
        <v>442.5</v>
      </c>
      <c r="F1218" s="11">
        <v>439.9</v>
      </c>
      <c r="G1218" s="34">
        <v>0</v>
      </c>
      <c r="H1218" s="35">
        <v>0</v>
      </c>
      <c r="I1218" s="8">
        <f t="shared" si="2163"/>
        <v>-6500.0000000000564</v>
      </c>
      <c r="J1218" s="8">
        <v>0</v>
      </c>
      <c r="K1218" s="2">
        <v>0</v>
      </c>
      <c r="L1218" s="8">
        <f t="shared" si="2164"/>
        <v>-2.6000000000000227</v>
      </c>
      <c r="M1218" s="8">
        <f t="shared" si="2165"/>
        <v>-6500.0000000000564</v>
      </c>
    </row>
    <row r="1219" spans="1:13" ht="15" customHeight="1" x14ac:dyDescent="0.25">
      <c r="A1219" s="24">
        <v>43735</v>
      </c>
      <c r="B1219" s="29" t="s">
        <v>17</v>
      </c>
      <c r="C1219" s="11">
        <v>5000</v>
      </c>
      <c r="D1219" s="11" t="s">
        <v>10</v>
      </c>
      <c r="E1219" s="11">
        <v>183.2</v>
      </c>
      <c r="F1219" s="11">
        <v>182.2</v>
      </c>
      <c r="G1219" s="34">
        <v>0</v>
      </c>
      <c r="H1219" s="35">
        <v>0</v>
      </c>
      <c r="I1219" s="8">
        <f t="shared" si="2163"/>
        <v>-5000</v>
      </c>
      <c r="J1219" s="8">
        <v>0</v>
      </c>
      <c r="K1219" s="2">
        <v>0</v>
      </c>
      <c r="L1219" s="8">
        <f t="shared" si="2164"/>
        <v>-1</v>
      </c>
      <c r="M1219" s="8">
        <f t="shared" si="2165"/>
        <v>-5000</v>
      </c>
    </row>
    <row r="1220" spans="1:13" ht="15" customHeight="1" x14ac:dyDescent="0.25">
      <c r="A1220" s="24">
        <v>43734</v>
      </c>
      <c r="B1220" s="29" t="s">
        <v>16</v>
      </c>
      <c r="C1220" s="11">
        <v>100</v>
      </c>
      <c r="D1220" s="11" t="s">
        <v>11</v>
      </c>
      <c r="E1220" s="11">
        <v>3980</v>
      </c>
      <c r="F1220" s="11">
        <v>3960</v>
      </c>
      <c r="G1220" s="34">
        <v>0</v>
      </c>
      <c r="H1220" s="35">
        <v>0</v>
      </c>
      <c r="I1220" s="8">
        <f t="shared" si="2163"/>
        <v>2000</v>
      </c>
      <c r="J1220" s="8">
        <v>0</v>
      </c>
      <c r="K1220" s="2">
        <v>0</v>
      </c>
      <c r="L1220" s="8">
        <f t="shared" si="2164"/>
        <v>20</v>
      </c>
      <c r="M1220" s="8">
        <f t="shared" si="2165"/>
        <v>2000</v>
      </c>
    </row>
    <row r="1221" spans="1:13" ht="15" customHeight="1" x14ac:dyDescent="0.25">
      <c r="A1221" s="24">
        <v>43734</v>
      </c>
      <c r="B1221" s="29" t="s">
        <v>22</v>
      </c>
      <c r="C1221" s="11">
        <v>5000</v>
      </c>
      <c r="D1221" s="11" t="s">
        <v>11</v>
      </c>
      <c r="E1221" s="11">
        <v>134.9</v>
      </c>
      <c r="F1221" s="11">
        <v>134.4</v>
      </c>
      <c r="G1221" s="34">
        <v>0</v>
      </c>
      <c r="H1221" s="35">
        <v>0</v>
      </c>
      <c r="I1221" s="8">
        <f t="shared" si="2163"/>
        <v>2500</v>
      </c>
      <c r="J1221" s="8">
        <v>0</v>
      </c>
      <c r="K1221" s="2">
        <v>0</v>
      </c>
      <c r="L1221" s="8">
        <f t="shared" si="2164"/>
        <v>0.5</v>
      </c>
      <c r="M1221" s="8">
        <f t="shared" si="2165"/>
        <v>2500</v>
      </c>
    </row>
    <row r="1222" spans="1:13" ht="15" customHeight="1" x14ac:dyDescent="0.25">
      <c r="A1222" s="24">
        <v>43734</v>
      </c>
      <c r="B1222" s="29" t="s">
        <v>14</v>
      </c>
      <c r="C1222" s="11">
        <v>30</v>
      </c>
      <c r="D1222" s="11" t="s">
        <v>11</v>
      </c>
      <c r="E1222" s="11">
        <v>46350</v>
      </c>
      <c r="F1222" s="11">
        <v>46550</v>
      </c>
      <c r="G1222" s="34">
        <v>0</v>
      </c>
      <c r="H1222" s="35">
        <v>0</v>
      </c>
      <c r="I1222" s="8">
        <f t="shared" si="2163"/>
        <v>-6000</v>
      </c>
      <c r="J1222" s="8">
        <v>0</v>
      </c>
      <c r="K1222" s="2">
        <v>0</v>
      </c>
      <c r="L1222" s="8">
        <f t="shared" si="2164"/>
        <v>-200</v>
      </c>
      <c r="M1222" s="8">
        <f t="shared" si="2165"/>
        <v>-6000</v>
      </c>
    </row>
    <row r="1223" spans="1:13" ht="15" customHeight="1" x14ac:dyDescent="0.25">
      <c r="A1223" s="24">
        <v>43734</v>
      </c>
      <c r="B1223" s="29" t="s">
        <v>19</v>
      </c>
      <c r="C1223" s="11">
        <v>100</v>
      </c>
      <c r="D1223" s="11" t="s">
        <v>11</v>
      </c>
      <c r="E1223" s="11">
        <v>37540</v>
      </c>
      <c r="F1223" s="11">
        <v>37620</v>
      </c>
      <c r="G1223" s="34">
        <v>0</v>
      </c>
      <c r="H1223" s="35">
        <v>0</v>
      </c>
      <c r="I1223" s="8">
        <f t="shared" si="2163"/>
        <v>-8000</v>
      </c>
      <c r="J1223" s="8">
        <v>0</v>
      </c>
      <c r="K1223" s="2">
        <v>0</v>
      </c>
      <c r="L1223" s="8">
        <f t="shared" si="2164"/>
        <v>-80</v>
      </c>
      <c r="M1223" s="8">
        <f t="shared" si="2165"/>
        <v>-8000</v>
      </c>
    </row>
    <row r="1224" spans="1:13" ht="15" customHeight="1" x14ac:dyDescent="0.25">
      <c r="A1224" s="24">
        <v>43733</v>
      </c>
      <c r="B1224" s="29" t="s">
        <v>16</v>
      </c>
      <c r="C1224" s="11">
        <v>100</v>
      </c>
      <c r="D1224" s="11" t="s">
        <v>11</v>
      </c>
      <c r="E1224" s="11">
        <v>4047</v>
      </c>
      <c r="F1224" s="11">
        <v>4027</v>
      </c>
      <c r="G1224" s="34">
        <v>0</v>
      </c>
      <c r="H1224" s="35">
        <v>0</v>
      </c>
      <c r="I1224" s="8">
        <f t="shared" si="2163"/>
        <v>2000</v>
      </c>
      <c r="J1224" s="8">
        <v>0</v>
      </c>
      <c r="K1224" s="2">
        <v>0</v>
      </c>
      <c r="L1224" s="8">
        <f t="shared" si="2164"/>
        <v>20</v>
      </c>
      <c r="M1224" s="8">
        <f t="shared" si="2165"/>
        <v>2000</v>
      </c>
    </row>
    <row r="1225" spans="1:13" ht="15" customHeight="1" x14ac:dyDescent="0.25">
      <c r="A1225" s="24">
        <v>43732</v>
      </c>
      <c r="B1225" s="29" t="s">
        <v>17</v>
      </c>
      <c r="C1225" s="11">
        <v>5000</v>
      </c>
      <c r="D1225" s="11" t="s">
        <v>11</v>
      </c>
      <c r="E1225" s="11">
        <v>182.6</v>
      </c>
      <c r="F1225" s="11">
        <v>182</v>
      </c>
      <c r="G1225" s="34">
        <v>181</v>
      </c>
      <c r="H1225" s="35">
        <v>179.8</v>
      </c>
      <c r="I1225" s="8">
        <f t="shared" si="2163"/>
        <v>2999.9999999999718</v>
      </c>
      <c r="J1225" s="8">
        <f>C1225*1</f>
        <v>5000</v>
      </c>
      <c r="K1225" s="2">
        <f>C1225*1.2</f>
        <v>6000</v>
      </c>
      <c r="L1225" s="8">
        <f t="shared" si="2164"/>
        <v>2.799999999999994</v>
      </c>
      <c r="M1225" s="8">
        <f t="shared" si="2165"/>
        <v>13999.999999999971</v>
      </c>
    </row>
    <row r="1226" spans="1:13" ht="15" customHeight="1" x14ac:dyDescent="0.25">
      <c r="A1226" s="24">
        <v>43732</v>
      </c>
      <c r="B1226" s="29" t="s">
        <v>16</v>
      </c>
      <c r="C1226" s="11">
        <v>100</v>
      </c>
      <c r="D1226" s="11" t="s">
        <v>11</v>
      </c>
      <c r="E1226" s="11">
        <v>4130</v>
      </c>
      <c r="F1226" s="11">
        <v>4110</v>
      </c>
      <c r="G1226" s="34">
        <v>4081</v>
      </c>
      <c r="H1226" s="35">
        <v>0</v>
      </c>
      <c r="I1226" s="8">
        <f t="shared" si="2163"/>
        <v>2000</v>
      </c>
      <c r="J1226" s="8">
        <f>C1226*29</f>
        <v>2900</v>
      </c>
      <c r="K1226" s="2">
        <v>0</v>
      </c>
      <c r="L1226" s="8">
        <f t="shared" si="2164"/>
        <v>49</v>
      </c>
      <c r="M1226" s="8">
        <f t="shared" si="2165"/>
        <v>4900</v>
      </c>
    </row>
    <row r="1227" spans="1:13" ht="15" customHeight="1" x14ac:dyDescent="0.25">
      <c r="A1227" s="24">
        <v>43732</v>
      </c>
      <c r="B1227" s="29" t="s">
        <v>15</v>
      </c>
      <c r="C1227" s="11">
        <v>5000</v>
      </c>
      <c r="D1227" s="11" t="s">
        <v>11</v>
      </c>
      <c r="E1227" s="11">
        <v>154.5</v>
      </c>
      <c r="F1227" s="11">
        <v>154</v>
      </c>
      <c r="G1227" s="34">
        <v>0</v>
      </c>
      <c r="H1227" s="35">
        <v>0</v>
      </c>
      <c r="I1227" s="8">
        <f t="shared" si="2163"/>
        <v>2500</v>
      </c>
      <c r="J1227" s="8">
        <v>0</v>
      </c>
      <c r="K1227" s="2">
        <v>0</v>
      </c>
      <c r="L1227" s="8">
        <f t="shared" si="2164"/>
        <v>0.5</v>
      </c>
      <c r="M1227" s="8">
        <f t="shared" si="2165"/>
        <v>2500</v>
      </c>
    </row>
    <row r="1228" spans="1:13" ht="15" customHeight="1" x14ac:dyDescent="0.25">
      <c r="A1228" s="24">
        <v>43731</v>
      </c>
      <c r="B1228" s="29" t="s">
        <v>16</v>
      </c>
      <c r="C1228" s="11">
        <v>100</v>
      </c>
      <c r="D1228" s="11" t="s">
        <v>11</v>
      </c>
      <c r="E1228" s="11">
        <v>4160</v>
      </c>
      <c r="F1228" s="11">
        <v>4140</v>
      </c>
      <c r="G1228" s="34">
        <v>4100</v>
      </c>
      <c r="H1228" s="35">
        <v>0</v>
      </c>
      <c r="I1228" s="8">
        <f t="shared" si="2163"/>
        <v>2000</v>
      </c>
      <c r="J1228" s="8">
        <f>C1228*40</f>
        <v>4000</v>
      </c>
      <c r="K1228" s="2">
        <v>0</v>
      </c>
      <c r="L1228" s="8">
        <f t="shared" si="2164"/>
        <v>60</v>
      </c>
      <c r="M1228" s="8">
        <f t="shared" si="2165"/>
        <v>6000</v>
      </c>
    </row>
    <row r="1229" spans="1:13" ht="15" customHeight="1" x14ac:dyDescent="0.25">
      <c r="A1229" s="24">
        <v>43731</v>
      </c>
      <c r="B1229" s="29" t="s">
        <v>16</v>
      </c>
      <c r="C1229" s="11">
        <v>100</v>
      </c>
      <c r="D1229" s="11" t="s">
        <v>11</v>
      </c>
      <c r="E1229" s="11">
        <v>4145</v>
      </c>
      <c r="F1229" s="11">
        <v>4125</v>
      </c>
      <c r="G1229" s="34">
        <v>4093</v>
      </c>
      <c r="H1229" s="35">
        <v>0</v>
      </c>
      <c r="I1229" s="8">
        <f t="shared" si="2163"/>
        <v>2000</v>
      </c>
      <c r="J1229" s="8">
        <f>C1229*32</f>
        <v>3200</v>
      </c>
      <c r="K1229" s="2">
        <v>0</v>
      </c>
      <c r="L1229" s="8">
        <f t="shared" si="2164"/>
        <v>52</v>
      </c>
      <c r="M1229" s="8">
        <f t="shared" si="2165"/>
        <v>5200</v>
      </c>
    </row>
    <row r="1230" spans="1:13" ht="15" customHeight="1" x14ac:dyDescent="0.25">
      <c r="A1230" s="24">
        <v>43731</v>
      </c>
      <c r="B1230" s="29" t="s">
        <v>17</v>
      </c>
      <c r="C1230" s="11">
        <v>5000</v>
      </c>
      <c r="D1230" s="11" t="s">
        <v>10</v>
      </c>
      <c r="E1230" s="11">
        <v>183.1</v>
      </c>
      <c r="F1230" s="11">
        <v>183.6</v>
      </c>
      <c r="G1230" s="34">
        <v>0</v>
      </c>
      <c r="H1230" s="35">
        <v>0</v>
      </c>
      <c r="I1230" s="8">
        <f t="shared" si="2163"/>
        <v>2500</v>
      </c>
      <c r="J1230" s="8">
        <v>0</v>
      </c>
      <c r="K1230" s="2">
        <v>0</v>
      </c>
      <c r="L1230" s="8">
        <f t="shared" si="2164"/>
        <v>0.5</v>
      </c>
      <c r="M1230" s="8">
        <f t="shared" si="2165"/>
        <v>2500</v>
      </c>
    </row>
    <row r="1231" spans="1:13" ht="15" customHeight="1" x14ac:dyDescent="0.25">
      <c r="A1231" s="24">
        <v>43731</v>
      </c>
      <c r="B1231" s="29" t="s">
        <v>18</v>
      </c>
      <c r="C1231" s="11">
        <v>2500</v>
      </c>
      <c r="D1231" s="11" t="s">
        <v>11</v>
      </c>
      <c r="E1231" s="11">
        <v>441</v>
      </c>
      <c r="F1231" s="11">
        <v>439.4</v>
      </c>
      <c r="G1231" s="34">
        <v>0</v>
      </c>
      <c r="H1231" s="35">
        <v>0</v>
      </c>
      <c r="I1231" s="8">
        <f t="shared" si="2163"/>
        <v>4000.0000000000568</v>
      </c>
      <c r="J1231" s="8">
        <v>0</v>
      </c>
      <c r="K1231" s="2">
        <v>0</v>
      </c>
      <c r="L1231" s="8">
        <f t="shared" si="2164"/>
        <v>1.6000000000000227</v>
      </c>
      <c r="M1231" s="8">
        <f t="shared" si="2165"/>
        <v>4000.0000000000568</v>
      </c>
    </row>
    <row r="1232" spans="1:13" ht="15" customHeight="1" x14ac:dyDescent="0.25">
      <c r="A1232" s="24">
        <v>43731</v>
      </c>
      <c r="B1232" s="29" t="s">
        <v>21</v>
      </c>
      <c r="C1232" s="11">
        <v>250</v>
      </c>
      <c r="D1232" s="11" t="s">
        <v>10</v>
      </c>
      <c r="E1232" s="11">
        <v>1276</v>
      </c>
      <c r="F1232" s="11">
        <v>1266</v>
      </c>
      <c r="G1232" s="34">
        <v>0</v>
      </c>
      <c r="H1232" s="35">
        <v>0</v>
      </c>
      <c r="I1232" s="8">
        <f t="shared" si="2163"/>
        <v>-2500</v>
      </c>
      <c r="J1232" s="8">
        <f>C1232*2</f>
        <v>500</v>
      </c>
      <c r="K1232" s="2">
        <v>0</v>
      </c>
      <c r="L1232" s="8">
        <f t="shared" si="2164"/>
        <v>-8</v>
      </c>
      <c r="M1232" s="8">
        <f t="shared" si="2165"/>
        <v>-2000</v>
      </c>
    </row>
    <row r="1233" spans="1:13" ht="15" customHeight="1" x14ac:dyDescent="0.25">
      <c r="A1233" s="24">
        <v>43728</v>
      </c>
      <c r="B1233" s="29" t="s">
        <v>18</v>
      </c>
      <c r="C1233" s="11">
        <v>2500</v>
      </c>
      <c r="D1233" s="11" t="s">
        <v>11</v>
      </c>
      <c r="E1233" s="11">
        <v>446.2</v>
      </c>
      <c r="F1233" s="11">
        <v>445</v>
      </c>
      <c r="G1233" s="34">
        <v>443</v>
      </c>
      <c r="H1233" s="35">
        <v>0</v>
      </c>
      <c r="I1233" s="8">
        <f t="shared" si="2163"/>
        <v>2999.9999999999718</v>
      </c>
      <c r="J1233" s="8">
        <f>C1233*2</f>
        <v>5000</v>
      </c>
      <c r="K1233" s="2">
        <v>0</v>
      </c>
      <c r="L1233" s="8">
        <f t="shared" si="2164"/>
        <v>3.1999999999999886</v>
      </c>
      <c r="M1233" s="8">
        <f t="shared" si="2165"/>
        <v>7999.9999999999718</v>
      </c>
    </row>
    <row r="1234" spans="1:13" ht="15" customHeight="1" x14ac:dyDescent="0.25">
      <c r="A1234" s="24">
        <v>43728</v>
      </c>
      <c r="B1234" s="29" t="s">
        <v>21</v>
      </c>
      <c r="C1234" s="11">
        <v>250</v>
      </c>
      <c r="D1234" s="11" t="s">
        <v>10</v>
      </c>
      <c r="E1234" s="11">
        <v>1259</v>
      </c>
      <c r="F1234" s="11">
        <v>1263</v>
      </c>
      <c r="G1234" s="34">
        <v>1269</v>
      </c>
      <c r="H1234" s="35">
        <v>1277</v>
      </c>
      <c r="I1234" s="8">
        <f t="shared" si="2163"/>
        <v>1000</v>
      </c>
      <c r="J1234" s="8">
        <f>C1234*4</f>
        <v>1000</v>
      </c>
      <c r="K1234" s="2">
        <f>C1234*6</f>
        <v>1500</v>
      </c>
      <c r="L1234" s="8">
        <f t="shared" si="2164"/>
        <v>14</v>
      </c>
      <c r="M1234" s="8">
        <f t="shared" si="2165"/>
        <v>3500</v>
      </c>
    </row>
    <row r="1235" spans="1:13" ht="15" customHeight="1" x14ac:dyDescent="0.25">
      <c r="A1235" s="24">
        <v>43727</v>
      </c>
      <c r="B1235" s="29" t="s">
        <v>14</v>
      </c>
      <c r="C1235" s="11">
        <v>30</v>
      </c>
      <c r="D1235" s="11" t="s">
        <v>10</v>
      </c>
      <c r="E1235" s="11">
        <v>46580</v>
      </c>
      <c r="F1235" s="11">
        <v>46680</v>
      </c>
      <c r="G1235" s="34">
        <v>46800</v>
      </c>
      <c r="H1235" s="35">
        <v>0</v>
      </c>
      <c r="I1235" s="8">
        <f t="shared" si="2163"/>
        <v>3000</v>
      </c>
      <c r="J1235" s="8">
        <f>C1235*120</f>
        <v>3600</v>
      </c>
      <c r="K1235" s="2">
        <v>0</v>
      </c>
      <c r="L1235" s="8">
        <f t="shared" si="2164"/>
        <v>220</v>
      </c>
      <c r="M1235" s="8">
        <f t="shared" si="2165"/>
        <v>6600</v>
      </c>
    </row>
    <row r="1236" spans="1:13" ht="15" customHeight="1" x14ac:dyDescent="0.25">
      <c r="A1236" s="24">
        <v>43727</v>
      </c>
      <c r="B1236" s="29" t="s">
        <v>19</v>
      </c>
      <c r="C1236" s="11">
        <v>100</v>
      </c>
      <c r="D1236" s="11" t="s">
        <v>10</v>
      </c>
      <c r="E1236" s="11">
        <v>37710</v>
      </c>
      <c r="F1236" s="11">
        <v>37750</v>
      </c>
      <c r="G1236" s="34">
        <v>0</v>
      </c>
      <c r="H1236" s="35">
        <v>0</v>
      </c>
      <c r="I1236" s="8">
        <f t="shared" si="2163"/>
        <v>4000</v>
      </c>
      <c r="J1236" s="8">
        <v>0</v>
      </c>
      <c r="K1236" s="2">
        <v>0</v>
      </c>
      <c r="L1236" s="8">
        <f t="shared" si="2164"/>
        <v>40</v>
      </c>
      <c r="M1236" s="8">
        <f t="shared" si="2165"/>
        <v>4000</v>
      </c>
    </row>
    <row r="1237" spans="1:13" ht="15" customHeight="1" x14ac:dyDescent="0.25">
      <c r="A1237" s="24">
        <v>43727</v>
      </c>
      <c r="B1237" s="29" t="s">
        <v>16</v>
      </c>
      <c r="C1237" s="11">
        <v>100</v>
      </c>
      <c r="D1237" s="11" t="s">
        <v>10</v>
      </c>
      <c r="E1237" s="11">
        <v>4165</v>
      </c>
      <c r="F1237" s="11">
        <v>4190</v>
      </c>
      <c r="G1237" s="34">
        <v>4250</v>
      </c>
      <c r="H1237" s="35">
        <v>0</v>
      </c>
      <c r="I1237" s="8">
        <f t="shared" si="2163"/>
        <v>2500</v>
      </c>
      <c r="J1237" s="8">
        <f>C1237*60</f>
        <v>6000</v>
      </c>
      <c r="K1237" s="2">
        <v>0</v>
      </c>
      <c r="L1237" s="8">
        <f t="shared" si="2164"/>
        <v>85</v>
      </c>
      <c r="M1237" s="8">
        <f t="shared" si="2165"/>
        <v>8500</v>
      </c>
    </row>
    <row r="1238" spans="1:13" ht="15" customHeight="1" x14ac:dyDescent="0.25">
      <c r="A1238" s="24">
        <v>43727</v>
      </c>
      <c r="B1238" s="29" t="s">
        <v>15</v>
      </c>
      <c r="C1238" s="11">
        <v>5000</v>
      </c>
      <c r="D1238" s="11" t="s">
        <v>10</v>
      </c>
      <c r="E1238" s="11">
        <v>154.5</v>
      </c>
      <c r="F1238" s="11">
        <v>155</v>
      </c>
      <c r="G1238" s="34">
        <v>0</v>
      </c>
      <c r="H1238" s="35">
        <v>0</v>
      </c>
      <c r="I1238" s="8">
        <f t="shared" si="2163"/>
        <v>2500</v>
      </c>
      <c r="J1238" s="8">
        <v>0</v>
      </c>
      <c r="K1238" s="2">
        <v>0</v>
      </c>
      <c r="L1238" s="8">
        <f t="shared" si="2164"/>
        <v>0.5</v>
      </c>
      <c r="M1238" s="8">
        <f t="shared" si="2165"/>
        <v>2500</v>
      </c>
    </row>
    <row r="1239" spans="1:13" ht="15" customHeight="1" x14ac:dyDescent="0.25">
      <c r="A1239" s="24">
        <v>43726</v>
      </c>
      <c r="B1239" s="29" t="s">
        <v>18</v>
      </c>
      <c r="C1239" s="11">
        <v>2500</v>
      </c>
      <c r="D1239" s="11" t="s">
        <v>11</v>
      </c>
      <c r="E1239" s="11">
        <v>450</v>
      </c>
      <c r="F1239" s="11">
        <v>448</v>
      </c>
      <c r="G1239" s="34">
        <v>0</v>
      </c>
      <c r="H1239" s="35">
        <v>0</v>
      </c>
      <c r="I1239" s="8">
        <f t="shared" si="2163"/>
        <v>5000</v>
      </c>
      <c r="J1239" s="8">
        <v>0</v>
      </c>
      <c r="K1239" s="2">
        <v>0</v>
      </c>
      <c r="L1239" s="8">
        <f t="shared" si="2164"/>
        <v>2</v>
      </c>
      <c r="M1239" s="8">
        <f t="shared" si="2165"/>
        <v>5000</v>
      </c>
    </row>
    <row r="1240" spans="1:13" ht="15" customHeight="1" x14ac:dyDescent="0.25">
      <c r="A1240" s="24">
        <v>43726</v>
      </c>
      <c r="B1240" s="29" t="s">
        <v>19</v>
      </c>
      <c r="C1240" s="11">
        <v>100</v>
      </c>
      <c r="D1240" s="11" t="s">
        <v>11</v>
      </c>
      <c r="E1240" s="11">
        <v>37850</v>
      </c>
      <c r="F1240" s="11">
        <v>37802</v>
      </c>
      <c r="G1240" s="34">
        <v>0</v>
      </c>
      <c r="H1240" s="35">
        <v>0</v>
      </c>
      <c r="I1240" s="8">
        <f t="shared" si="2163"/>
        <v>4800</v>
      </c>
      <c r="J1240" s="8">
        <v>0</v>
      </c>
      <c r="K1240" s="2">
        <v>0</v>
      </c>
      <c r="L1240" s="8">
        <f t="shared" si="2164"/>
        <v>48</v>
      </c>
      <c r="M1240" s="8">
        <f t="shared" si="2165"/>
        <v>4800</v>
      </c>
    </row>
    <row r="1241" spans="1:13" ht="15" customHeight="1" x14ac:dyDescent="0.25">
      <c r="A1241" s="24">
        <v>43725</v>
      </c>
      <c r="B1241" s="29" t="s">
        <v>15</v>
      </c>
      <c r="C1241" s="11">
        <v>5000</v>
      </c>
      <c r="D1241" s="11" t="s">
        <v>11</v>
      </c>
      <c r="E1241" s="11">
        <v>154</v>
      </c>
      <c r="F1241" s="11">
        <v>153.5</v>
      </c>
      <c r="G1241" s="34">
        <v>0</v>
      </c>
      <c r="H1241" s="35">
        <v>0</v>
      </c>
      <c r="I1241" s="8">
        <f t="shared" si="2163"/>
        <v>2500</v>
      </c>
      <c r="J1241" s="8">
        <v>0</v>
      </c>
      <c r="K1241" s="2">
        <v>0</v>
      </c>
      <c r="L1241" s="8">
        <f t="shared" si="2164"/>
        <v>0.5</v>
      </c>
      <c r="M1241" s="8">
        <f t="shared" si="2165"/>
        <v>2500</v>
      </c>
    </row>
    <row r="1242" spans="1:13" ht="15.75" customHeight="1" x14ac:dyDescent="0.25">
      <c r="A1242" s="24">
        <v>43725</v>
      </c>
      <c r="B1242" s="29" t="s">
        <v>16</v>
      </c>
      <c r="C1242" s="11">
        <v>100</v>
      </c>
      <c r="D1242" s="11" t="s">
        <v>11</v>
      </c>
      <c r="E1242" s="11">
        <v>4450</v>
      </c>
      <c r="F1242" s="11">
        <v>4488</v>
      </c>
      <c r="G1242" s="34">
        <v>0</v>
      </c>
      <c r="H1242" s="35">
        <v>0</v>
      </c>
      <c r="I1242" s="8">
        <f t="shared" si="2163"/>
        <v>-3800</v>
      </c>
      <c r="J1242" s="8">
        <v>0</v>
      </c>
      <c r="K1242" s="2">
        <v>0</v>
      </c>
      <c r="L1242" s="8">
        <f t="shared" si="2164"/>
        <v>-38</v>
      </c>
      <c r="M1242" s="8">
        <f t="shared" si="2165"/>
        <v>-3800</v>
      </c>
    </row>
    <row r="1243" spans="1:13" ht="15.75" customHeight="1" x14ac:dyDescent="0.25">
      <c r="A1243" s="24">
        <v>43724</v>
      </c>
      <c r="B1243" s="29" t="s">
        <v>21</v>
      </c>
      <c r="C1243" s="11">
        <v>250</v>
      </c>
      <c r="D1243" s="11" t="s">
        <v>11</v>
      </c>
      <c r="E1243" s="11">
        <v>1218</v>
      </c>
      <c r="F1243" s="11">
        <v>1227</v>
      </c>
      <c r="G1243" s="34">
        <v>0</v>
      </c>
      <c r="H1243" s="35">
        <v>0</v>
      </c>
      <c r="I1243" s="8">
        <f t="shared" si="2163"/>
        <v>-2250</v>
      </c>
      <c r="J1243" s="8">
        <v>0</v>
      </c>
      <c r="K1243" s="2">
        <v>0</v>
      </c>
      <c r="L1243" s="8">
        <f t="shared" si="2164"/>
        <v>-9</v>
      </c>
      <c r="M1243" s="8">
        <f t="shared" si="2165"/>
        <v>-2250</v>
      </c>
    </row>
    <row r="1244" spans="1:13" ht="15.75" customHeight="1" x14ac:dyDescent="0.25">
      <c r="A1244" s="24">
        <v>43721</v>
      </c>
      <c r="B1244" s="29" t="s">
        <v>15</v>
      </c>
      <c r="C1244" s="11">
        <v>5000</v>
      </c>
      <c r="D1244" s="11" t="s">
        <v>10</v>
      </c>
      <c r="E1244" s="11">
        <v>155.30000000000001</v>
      </c>
      <c r="F1244" s="11">
        <v>155.80000000000001</v>
      </c>
      <c r="G1244" s="34">
        <v>0</v>
      </c>
      <c r="H1244" s="35">
        <v>0</v>
      </c>
      <c r="I1244" s="8">
        <f t="shared" si="2163"/>
        <v>2500</v>
      </c>
      <c r="J1244" s="8">
        <v>0</v>
      </c>
      <c r="K1244" s="2">
        <v>0</v>
      </c>
      <c r="L1244" s="8">
        <f t="shared" si="2164"/>
        <v>0.5</v>
      </c>
      <c r="M1244" s="8">
        <f t="shared" si="2165"/>
        <v>2500</v>
      </c>
    </row>
    <row r="1245" spans="1:13" ht="15.75" customHeight="1" x14ac:dyDescent="0.25">
      <c r="A1245" s="24">
        <v>43721</v>
      </c>
      <c r="B1245" s="29" t="s">
        <v>16</v>
      </c>
      <c r="C1245" s="11">
        <v>100</v>
      </c>
      <c r="D1245" s="11" t="s">
        <v>10</v>
      </c>
      <c r="E1245" s="11">
        <v>3920</v>
      </c>
      <c r="F1245" s="11">
        <v>3958</v>
      </c>
      <c r="G1245" s="34">
        <v>0</v>
      </c>
      <c r="H1245" s="35">
        <v>0</v>
      </c>
      <c r="I1245" s="8">
        <f t="shared" si="2163"/>
        <v>3800</v>
      </c>
      <c r="J1245" s="8">
        <v>0</v>
      </c>
      <c r="K1245" s="2">
        <v>0</v>
      </c>
      <c r="L1245" s="8">
        <f t="shared" si="2164"/>
        <v>38</v>
      </c>
      <c r="M1245" s="8">
        <f t="shared" si="2165"/>
        <v>3800</v>
      </c>
    </row>
    <row r="1246" spans="1:13" ht="15.75" customHeight="1" x14ac:dyDescent="0.25">
      <c r="A1246" s="24">
        <v>43721</v>
      </c>
      <c r="B1246" s="29" t="s">
        <v>52</v>
      </c>
      <c r="C1246" s="11">
        <v>1250</v>
      </c>
      <c r="D1246" s="11" t="s">
        <v>10</v>
      </c>
      <c r="E1246" s="11">
        <v>184.5</v>
      </c>
      <c r="F1246" s="11">
        <v>186</v>
      </c>
      <c r="G1246" s="34">
        <v>0</v>
      </c>
      <c r="H1246" s="35">
        <v>0</v>
      </c>
      <c r="I1246" s="8">
        <f t="shared" si="2163"/>
        <v>1875</v>
      </c>
      <c r="J1246" s="8">
        <v>0</v>
      </c>
      <c r="K1246" s="2">
        <v>0</v>
      </c>
      <c r="L1246" s="8">
        <f t="shared" si="2164"/>
        <v>1.5</v>
      </c>
      <c r="M1246" s="8">
        <f t="shared" si="2165"/>
        <v>1875</v>
      </c>
    </row>
    <row r="1247" spans="1:13" ht="15.75" customHeight="1" x14ac:dyDescent="0.25">
      <c r="A1247" s="24">
        <v>43720</v>
      </c>
      <c r="B1247" s="29" t="s">
        <v>16</v>
      </c>
      <c r="C1247" s="11">
        <v>100</v>
      </c>
      <c r="D1247" s="11" t="s">
        <v>11</v>
      </c>
      <c r="E1247" s="11">
        <v>3980</v>
      </c>
      <c r="F1247" s="11">
        <v>3950</v>
      </c>
      <c r="G1247" s="34">
        <v>3910</v>
      </c>
      <c r="H1247" s="35">
        <v>3850</v>
      </c>
      <c r="I1247" s="8">
        <f t="shared" si="2163"/>
        <v>3000</v>
      </c>
      <c r="J1247" s="8">
        <f>C1247*40</f>
        <v>4000</v>
      </c>
      <c r="K1247" s="2">
        <f>C1247*60</f>
        <v>6000</v>
      </c>
      <c r="L1247" s="8">
        <f t="shared" si="2164"/>
        <v>130</v>
      </c>
      <c r="M1247" s="8">
        <f t="shared" si="2165"/>
        <v>13000</v>
      </c>
    </row>
    <row r="1248" spans="1:13" ht="15.75" customHeight="1" x14ac:dyDescent="0.25">
      <c r="A1248" s="24">
        <v>43720</v>
      </c>
      <c r="B1248" s="29" t="s">
        <v>15</v>
      </c>
      <c r="C1248" s="11">
        <v>5000</v>
      </c>
      <c r="D1248" s="11" t="s">
        <v>11</v>
      </c>
      <c r="E1248" s="11">
        <v>154.5</v>
      </c>
      <c r="F1248" s="11">
        <v>154</v>
      </c>
      <c r="G1248" s="34">
        <v>0</v>
      </c>
      <c r="H1248" s="35">
        <v>0</v>
      </c>
      <c r="I1248" s="8">
        <f t="shared" si="2163"/>
        <v>2500</v>
      </c>
      <c r="J1248" s="8">
        <v>0</v>
      </c>
      <c r="K1248" s="2">
        <v>0</v>
      </c>
      <c r="L1248" s="8">
        <f t="shared" si="2164"/>
        <v>0.5</v>
      </c>
      <c r="M1248" s="8">
        <f t="shared" si="2165"/>
        <v>2500</v>
      </c>
    </row>
    <row r="1249" spans="1:13" ht="15.75" customHeight="1" x14ac:dyDescent="0.25">
      <c r="A1249" s="24">
        <v>43720</v>
      </c>
      <c r="B1249" s="29" t="s">
        <v>52</v>
      </c>
      <c r="C1249" s="11">
        <v>1250</v>
      </c>
      <c r="D1249" s="11" t="s">
        <v>11</v>
      </c>
      <c r="E1249" s="11">
        <v>182</v>
      </c>
      <c r="F1249" s="11">
        <v>180.5</v>
      </c>
      <c r="G1249" s="34">
        <v>0</v>
      </c>
      <c r="H1249" s="35">
        <v>0</v>
      </c>
      <c r="I1249" s="8">
        <f t="shared" si="2163"/>
        <v>1875</v>
      </c>
      <c r="J1249" s="8">
        <v>0</v>
      </c>
      <c r="K1249" s="2">
        <v>0</v>
      </c>
      <c r="L1249" s="8">
        <f t="shared" si="2164"/>
        <v>1.5</v>
      </c>
      <c r="M1249" s="8">
        <f t="shared" si="2165"/>
        <v>1875</v>
      </c>
    </row>
    <row r="1250" spans="1:13" ht="15.75" customHeight="1" x14ac:dyDescent="0.25">
      <c r="A1250" s="24">
        <v>43719</v>
      </c>
      <c r="B1250" s="29" t="s">
        <v>18</v>
      </c>
      <c r="C1250" s="11">
        <v>2500</v>
      </c>
      <c r="D1250" s="11" t="s">
        <v>11</v>
      </c>
      <c r="E1250" s="11">
        <v>452.2</v>
      </c>
      <c r="F1250" s="11">
        <v>450.5</v>
      </c>
      <c r="G1250" s="34">
        <v>0</v>
      </c>
      <c r="H1250" s="35">
        <v>0</v>
      </c>
      <c r="I1250" s="8">
        <f t="shared" si="2163"/>
        <v>4249.9999999999718</v>
      </c>
      <c r="J1250" s="8">
        <v>0</v>
      </c>
      <c r="K1250" s="2">
        <v>0</v>
      </c>
      <c r="L1250" s="8">
        <f t="shared" si="2164"/>
        <v>1.6999999999999886</v>
      </c>
      <c r="M1250" s="8">
        <f t="shared" si="2165"/>
        <v>4249.9999999999718</v>
      </c>
    </row>
    <row r="1251" spans="1:13" ht="15.75" customHeight="1" x14ac:dyDescent="0.25">
      <c r="A1251" s="24">
        <v>43719</v>
      </c>
      <c r="B1251" s="29" t="s">
        <v>52</v>
      </c>
      <c r="C1251" s="11">
        <v>1250</v>
      </c>
      <c r="D1251" s="11" t="s">
        <v>11</v>
      </c>
      <c r="E1251" s="11">
        <v>185</v>
      </c>
      <c r="F1251" s="11">
        <v>183.5</v>
      </c>
      <c r="G1251" s="34">
        <v>0</v>
      </c>
      <c r="H1251" s="35">
        <v>0</v>
      </c>
      <c r="I1251" s="8">
        <f t="shared" si="2163"/>
        <v>1875</v>
      </c>
      <c r="J1251" s="8">
        <v>0</v>
      </c>
      <c r="K1251" s="2">
        <v>0</v>
      </c>
      <c r="L1251" s="8">
        <f t="shared" si="2164"/>
        <v>1.5</v>
      </c>
      <c r="M1251" s="8">
        <f t="shared" si="2165"/>
        <v>1875</v>
      </c>
    </row>
    <row r="1252" spans="1:13" ht="15.75" customHeight="1" x14ac:dyDescent="0.25">
      <c r="A1252" s="24">
        <v>43719</v>
      </c>
      <c r="B1252" s="29" t="s">
        <v>15</v>
      </c>
      <c r="C1252" s="11">
        <v>5000</v>
      </c>
      <c r="D1252" s="11" t="s">
        <v>10</v>
      </c>
      <c r="E1252" s="11">
        <v>156</v>
      </c>
      <c r="F1252" s="11">
        <v>155</v>
      </c>
      <c r="G1252" s="34">
        <v>0</v>
      </c>
      <c r="H1252" s="35">
        <v>0</v>
      </c>
      <c r="I1252" s="8">
        <f t="shared" si="2163"/>
        <v>-5000</v>
      </c>
      <c r="J1252" s="8">
        <v>0</v>
      </c>
      <c r="K1252" s="2">
        <v>0</v>
      </c>
      <c r="L1252" s="8">
        <f t="shared" si="2164"/>
        <v>-1</v>
      </c>
      <c r="M1252" s="8">
        <f t="shared" si="2165"/>
        <v>-5000</v>
      </c>
    </row>
    <row r="1253" spans="1:13" ht="15.75" customHeight="1" x14ac:dyDescent="0.25">
      <c r="A1253" s="24">
        <v>43717</v>
      </c>
      <c r="B1253" s="29" t="s">
        <v>16</v>
      </c>
      <c r="C1253" s="11">
        <v>100</v>
      </c>
      <c r="D1253" s="11" t="s">
        <v>10</v>
      </c>
      <c r="E1253" s="11">
        <v>4107</v>
      </c>
      <c r="F1253" s="11">
        <v>4135</v>
      </c>
      <c r="G1253" s="34">
        <v>4165</v>
      </c>
      <c r="H1253" s="35">
        <v>0</v>
      </c>
      <c r="I1253" s="8">
        <f t="shared" si="2163"/>
        <v>2800</v>
      </c>
      <c r="J1253" s="8">
        <f>C1253*30</f>
        <v>3000</v>
      </c>
      <c r="K1253" s="2">
        <v>0</v>
      </c>
      <c r="L1253" s="8">
        <f t="shared" si="2164"/>
        <v>58</v>
      </c>
      <c r="M1253" s="8">
        <f t="shared" si="2165"/>
        <v>5800</v>
      </c>
    </row>
    <row r="1254" spans="1:13" ht="15.75" customHeight="1" x14ac:dyDescent="0.25">
      <c r="A1254" s="24">
        <v>43717</v>
      </c>
      <c r="B1254" s="29" t="s">
        <v>19</v>
      </c>
      <c r="C1254" s="11">
        <v>100</v>
      </c>
      <c r="D1254" s="11" t="s">
        <v>10</v>
      </c>
      <c r="E1254" s="11">
        <v>38638</v>
      </c>
      <c r="F1254" s="11">
        <v>38680</v>
      </c>
      <c r="G1254" s="34">
        <v>0</v>
      </c>
      <c r="H1254" s="35">
        <v>0</v>
      </c>
      <c r="I1254" s="8">
        <f t="shared" si="2163"/>
        <v>4200</v>
      </c>
      <c r="J1254" s="8">
        <v>0</v>
      </c>
      <c r="K1254" s="2">
        <v>0</v>
      </c>
      <c r="L1254" s="8">
        <f t="shared" si="2164"/>
        <v>42</v>
      </c>
      <c r="M1254" s="8">
        <f t="shared" si="2165"/>
        <v>4200</v>
      </c>
    </row>
    <row r="1255" spans="1:13" ht="15.75" customHeight="1" x14ac:dyDescent="0.25">
      <c r="A1255" s="24">
        <v>43717</v>
      </c>
      <c r="B1255" s="29" t="s">
        <v>21</v>
      </c>
      <c r="C1255" s="11">
        <v>250</v>
      </c>
      <c r="D1255" s="11" t="s">
        <v>10</v>
      </c>
      <c r="E1255" s="11">
        <v>1261</v>
      </c>
      <c r="F1255" s="11">
        <v>1265</v>
      </c>
      <c r="G1255" s="34">
        <v>1271</v>
      </c>
      <c r="H1255" s="35">
        <v>1280</v>
      </c>
      <c r="I1255" s="8">
        <f t="shared" si="2163"/>
        <v>1000</v>
      </c>
      <c r="J1255" s="8">
        <f>C1255*6</f>
        <v>1500</v>
      </c>
      <c r="K1255" s="2">
        <f>C1255*9</f>
        <v>2250</v>
      </c>
      <c r="L1255" s="8">
        <f t="shared" si="2164"/>
        <v>19</v>
      </c>
      <c r="M1255" s="8">
        <f t="shared" si="2165"/>
        <v>4750</v>
      </c>
    </row>
    <row r="1256" spans="1:13" ht="15.75" customHeight="1" x14ac:dyDescent="0.25">
      <c r="A1256" s="24">
        <v>43717</v>
      </c>
      <c r="B1256" s="29" t="s">
        <v>52</v>
      </c>
      <c r="C1256" s="11">
        <v>1250</v>
      </c>
      <c r="D1256" s="11" t="s">
        <v>10</v>
      </c>
      <c r="E1256" s="11">
        <v>182</v>
      </c>
      <c r="F1256" s="11">
        <v>183.5</v>
      </c>
      <c r="G1256" s="34">
        <v>185.5</v>
      </c>
      <c r="H1256" s="35">
        <v>0</v>
      </c>
      <c r="I1256" s="8">
        <f t="shared" si="2163"/>
        <v>1875</v>
      </c>
      <c r="J1256" s="8">
        <f>C1256*1.5</f>
        <v>1875</v>
      </c>
      <c r="K1256" s="2">
        <v>0</v>
      </c>
      <c r="L1256" s="8">
        <f t="shared" si="2164"/>
        <v>3</v>
      </c>
      <c r="M1256" s="8">
        <f t="shared" si="2165"/>
        <v>3750</v>
      </c>
    </row>
    <row r="1257" spans="1:13" ht="15.75" customHeight="1" x14ac:dyDescent="0.25">
      <c r="A1257" s="24">
        <v>43717</v>
      </c>
      <c r="B1257" s="29" t="s">
        <v>15</v>
      </c>
      <c r="C1257" s="11">
        <v>5000</v>
      </c>
      <c r="D1257" s="11" t="s">
        <v>10</v>
      </c>
      <c r="E1257" s="11">
        <v>155.5</v>
      </c>
      <c r="F1257" s="11">
        <v>156</v>
      </c>
      <c r="G1257" s="34">
        <v>0</v>
      </c>
      <c r="H1257" s="35">
        <v>0</v>
      </c>
      <c r="I1257" s="8">
        <f t="shared" si="2163"/>
        <v>2500</v>
      </c>
      <c r="J1257" s="8">
        <v>0</v>
      </c>
      <c r="K1257" s="2">
        <v>0</v>
      </c>
      <c r="L1257" s="8">
        <f t="shared" si="2164"/>
        <v>0.5</v>
      </c>
      <c r="M1257" s="8">
        <f t="shared" si="2165"/>
        <v>2500</v>
      </c>
    </row>
    <row r="1258" spans="1:13" ht="15.75" customHeight="1" x14ac:dyDescent="0.25">
      <c r="A1258" s="24">
        <v>43714</v>
      </c>
      <c r="B1258" s="29" t="s">
        <v>19</v>
      </c>
      <c r="C1258" s="11">
        <v>100</v>
      </c>
      <c r="D1258" s="11" t="s">
        <v>10</v>
      </c>
      <c r="E1258" s="11">
        <v>38760</v>
      </c>
      <c r="F1258" s="11">
        <v>38810</v>
      </c>
      <c r="G1258" s="34">
        <v>38890</v>
      </c>
      <c r="H1258" s="35">
        <v>0</v>
      </c>
      <c r="I1258" s="8">
        <f t="shared" si="2163"/>
        <v>5000</v>
      </c>
      <c r="J1258" s="8">
        <f>C1258*80</f>
        <v>8000</v>
      </c>
      <c r="K1258" s="2">
        <v>0</v>
      </c>
      <c r="L1258" s="8">
        <f t="shared" si="2164"/>
        <v>130</v>
      </c>
      <c r="M1258" s="8">
        <f t="shared" si="2165"/>
        <v>13000</v>
      </c>
    </row>
    <row r="1259" spans="1:13" ht="15.75" customHeight="1" x14ac:dyDescent="0.25">
      <c r="A1259" s="24">
        <v>43714</v>
      </c>
      <c r="B1259" s="29" t="s">
        <v>21</v>
      </c>
      <c r="C1259" s="11">
        <v>250</v>
      </c>
      <c r="D1259" s="11" t="s">
        <v>10</v>
      </c>
      <c r="E1259" s="11">
        <v>1241</v>
      </c>
      <c r="F1259" s="11">
        <v>1244</v>
      </c>
      <c r="G1259" s="34">
        <v>1248</v>
      </c>
      <c r="H1259" s="35">
        <v>1257</v>
      </c>
      <c r="I1259" s="8">
        <f t="shared" si="2163"/>
        <v>750</v>
      </c>
      <c r="J1259" s="8">
        <f>C1259*4</f>
        <v>1000</v>
      </c>
      <c r="K1259" s="2">
        <f>C1259*9</f>
        <v>2250</v>
      </c>
      <c r="L1259" s="8">
        <f t="shared" si="2164"/>
        <v>16</v>
      </c>
      <c r="M1259" s="8">
        <f t="shared" si="2165"/>
        <v>4000</v>
      </c>
    </row>
    <row r="1260" spans="1:13" ht="15.75" customHeight="1" x14ac:dyDescent="0.25">
      <c r="A1260" s="24">
        <v>43713</v>
      </c>
      <c r="B1260" s="29" t="s">
        <v>16</v>
      </c>
      <c r="C1260" s="11">
        <v>100</v>
      </c>
      <c r="D1260" s="11" t="s">
        <v>11</v>
      </c>
      <c r="E1260" s="11">
        <v>4030</v>
      </c>
      <c r="F1260" s="11">
        <v>4069</v>
      </c>
      <c r="G1260" s="34">
        <v>0</v>
      </c>
      <c r="H1260" s="35">
        <v>0</v>
      </c>
      <c r="I1260" s="8">
        <f t="shared" si="2163"/>
        <v>-3900</v>
      </c>
      <c r="J1260" s="8">
        <v>0</v>
      </c>
      <c r="K1260" s="2">
        <v>0</v>
      </c>
      <c r="L1260" s="8">
        <f t="shared" si="2164"/>
        <v>-39</v>
      </c>
      <c r="M1260" s="8">
        <f t="shared" si="2165"/>
        <v>-3900</v>
      </c>
    </row>
    <row r="1261" spans="1:13" ht="15.75" customHeight="1" x14ac:dyDescent="0.25">
      <c r="A1261" s="24">
        <v>43713</v>
      </c>
      <c r="B1261" s="29" t="s">
        <v>18</v>
      </c>
      <c r="C1261" s="11">
        <v>2500</v>
      </c>
      <c r="D1261" s="11" t="s">
        <v>11</v>
      </c>
      <c r="E1261" s="11">
        <v>448.85</v>
      </c>
      <c r="F1261" s="11">
        <v>452</v>
      </c>
      <c r="G1261" s="34">
        <v>0</v>
      </c>
      <c r="H1261" s="35">
        <v>0</v>
      </c>
      <c r="I1261" s="8">
        <f t="shared" si="2163"/>
        <v>-7874.9999999999436</v>
      </c>
      <c r="J1261" s="8">
        <v>0</v>
      </c>
      <c r="K1261" s="2">
        <v>0</v>
      </c>
      <c r="L1261" s="8">
        <f t="shared" si="2164"/>
        <v>-3.1499999999999773</v>
      </c>
      <c r="M1261" s="8">
        <f t="shared" si="2165"/>
        <v>-7874.9999999999436</v>
      </c>
    </row>
    <row r="1262" spans="1:13" ht="15.75" customHeight="1" x14ac:dyDescent="0.25">
      <c r="A1262" s="24">
        <v>43712</v>
      </c>
      <c r="B1262" s="29" t="s">
        <v>19</v>
      </c>
      <c r="C1262" s="11">
        <v>100</v>
      </c>
      <c r="D1262" s="11" t="s">
        <v>11</v>
      </c>
      <c r="E1262" s="11">
        <v>39600</v>
      </c>
      <c r="F1262" s="11">
        <v>39560</v>
      </c>
      <c r="G1262" s="34">
        <v>39470</v>
      </c>
      <c r="H1262" s="35">
        <v>39370</v>
      </c>
      <c r="I1262" s="8">
        <f t="shared" si="2163"/>
        <v>4000</v>
      </c>
      <c r="J1262" s="8">
        <f>C1262*90</f>
        <v>9000</v>
      </c>
      <c r="K1262" s="2">
        <f>C1262*100</f>
        <v>10000</v>
      </c>
      <c r="L1262" s="8">
        <f t="shared" si="2164"/>
        <v>230</v>
      </c>
      <c r="M1262" s="8">
        <f t="shared" si="2165"/>
        <v>23000</v>
      </c>
    </row>
    <row r="1263" spans="1:13" ht="15.75" customHeight="1" x14ac:dyDescent="0.25">
      <c r="A1263" s="24">
        <v>43712</v>
      </c>
      <c r="B1263" s="29" t="s">
        <v>16</v>
      </c>
      <c r="C1263" s="11">
        <v>100</v>
      </c>
      <c r="D1263" s="11" t="s">
        <v>10</v>
      </c>
      <c r="E1263" s="11">
        <v>3965</v>
      </c>
      <c r="F1263" s="11">
        <v>3985</v>
      </c>
      <c r="G1263" s="34">
        <v>4015</v>
      </c>
      <c r="H1263" s="35">
        <v>4045</v>
      </c>
      <c r="I1263" s="8">
        <f t="shared" si="2163"/>
        <v>2000</v>
      </c>
      <c r="J1263" s="8">
        <f>C1263*30</f>
        <v>3000</v>
      </c>
      <c r="K1263" s="2">
        <f>C1263*30</f>
        <v>3000</v>
      </c>
      <c r="L1263" s="8">
        <f t="shared" si="2164"/>
        <v>80</v>
      </c>
      <c r="M1263" s="8">
        <f t="shared" si="2165"/>
        <v>8000</v>
      </c>
    </row>
    <row r="1264" spans="1:13" ht="15.75" customHeight="1" x14ac:dyDescent="0.25">
      <c r="A1264" s="24">
        <v>43712</v>
      </c>
      <c r="B1264" s="29" t="s">
        <v>22</v>
      </c>
      <c r="C1264" s="11">
        <v>5000</v>
      </c>
      <c r="D1264" s="11" t="s">
        <v>10</v>
      </c>
      <c r="E1264" s="11">
        <v>140.30000000000001</v>
      </c>
      <c r="F1264" s="11">
        <v>140.80000000000001</v>
      </c>
      <c r="G1264" s="34">
        <v>0</v>
      </c>
      <c r="H1264" s="35">
        <v>0</v>
      </c>
      <c r="I1264" s="8">
        <f t="shared" si="2163"/>
        <v>2500</v>
      </c>
      <c r="J1264" s="8">
        <v>0</v>
      </c>
      <c r="K1264" s="2">
        <v>0</v>
      </c>
      <c r="L1264" s="8">
        <f t="shared" si="2164"/>
        <v>0.5</v>
      </c>
      <c r="M1264" s="8">
        <f t="shared" si="2165"/>
        <v>2500</v>
      </c>
    </row>
    <row r="1265" spans="1:13" ht="15.75" customHeight="1" x14ac:dyDescent="0.25">
      <c r="A1265" s="24">
        <v>43712</v>
      </c>
      <c r="B1265" s="29" t="s">
        <v>18</v>
      </c>
      <c r="C1265" s="11">
        <v>2500</v>
      </c>
      <c r="D1265" s="11" t="s">
        <v>10</v>
      </c>
      <c r="E1265" s="11">
        <v>446.8</v>
      </c>
      <c r="F1265" s="11">
        <v>448.5</v>
      </c>
      <c r="G1265" s="34">
        <v>0</v>
      </c>
      <c r="H1265" s="35">
        <v>0</v>
      </c>
      <c r="I1265" s="8">
        <f t="shared" si="2163"/>
        <v>4249.9999999999718</v>
      </c>
      <c r="J1265" s="8">
        <v>0</v>
      </c>
      <c r="K1265" s="2">
        <v>0</v>
      </c>
      <c r="L1265" s="8">
        <f t="shared" si="2164"/>
        <v>1.6999999999999886</v>
      </c>
      <c r="M1265" s="8">
        <f t="shared" si="2165"/>
        <v>4249.9999999999718</v>
      </c>
    </row>
    <row r="1266" spans="1:13" ht="15.75" customHeight="1" x14ac:dyDescent="0.25">
      <c r="A1266" s="24">
        <v>43712</v>
      </c>
      <c r="B1266" s="29" t="s">
        <v>14</v>
      </c>
      <c r="C1266" s="11">
        <v>30</v>
      </c>
      <c r="D1266" s="11" t="s">
        <v>11</v>
      </c>
      <c r="E1266" s="11">
        <v>50650</v>
      </c>
      <c r="F1266" s="11">
        <v>50520</v>
      </c>
      <c r="G1266" s="34">
        <v>0</v>
      </c>
      <c r="H1266" s="35">
        <v>0</v>
      </c>
      <c r="I1266" s="8">
        <f t="shared" si="2163"/>
        <v>3900</v>
      </c>
      <c r="J1266" s="8">
        <v>0</v>
      </c>
      <c r="K1266" s="2">
        <v>0</v>
      </c>
      <c r="L1266" s="8">
        <f t="shared" si="2164"/>
        <v>130</v>
      </c>
      <c r="M1266" s="8">
        <f t="shared" si="2165"/>
        <v>3900</v>
      </c>
    </row>
    <row r="1267" spans="1:13" ht="15.75" customHeight="1" x14ac:dyDescent="0.25">
      <c r="A1267" s="24">
        <v>43711</v>
      </c>
      <c r="B1267" s="29" t="s">
        <v>16</v>
      </c>
      <c r="C1267" s="11">
        <v>100</v>
      </c>
      <c r="D1267" s="11" t="s">
        <v>11</v>
      </c>
      <c r="E1267" s="11">
        <v>3921</v>
      </c>
      <c r="F1267" s="11">
        <v>3901</v>
      </c>
      <c r="G1267" s="34">
        <v>3870</v>
      </c>
      <c r="H1267" s="35">
        <v>3830</v>
      </c>
      <c r="I1267" s="8">
        <f t="shared" si="2163"/>
        <v>2000</v>
      </c>
      <c r="J1267" s="8">
        <f>C1267*31</f>
        <v>3100</v>
      </c>
      <c r="K1267" s="2">
        <f>C1267*40</f>
        <v>4000</v>
      </c>
      <c r="L1267" s="8">
        <f t="shared" si="2164"/>
        <v>91</v>
      </c>
      <c r="M1267" s="8">
        <f t="shared" si="2165"/>
        <v>9100</v>
      </c>
    </row>
    <row r="1268" spans="1:13" ht="15.75" customHeight="1" x14ac:dyDescent="0.25">
      <c r="A1268" s="24">
        <v>43711</v>
      </c>
      <c r="B1268" s="29" t="s">
        <v>52</v>
      </c>
      <c r="C1268" s="11">
        <v>1250</v>
      </c>
      <c r="D1268" s="11" t="s">
        <v>10</v>
      </c>
      <c r="E1268" s="11">
        <v>168.5</v>
      </c>
      <c r="F1268" s="11">
        <v>170</v>
      </c>
      <c r="G1268" s="34">
        <v>0</v>
      </c>
      <c r="H1268" s="35">
        <v>0</v>
      </c>
      <c r="I1268" s="8">
        <f t="shared" si="2163"/>
        <v>1875</v>
      </c>
      <c r="J1268" s="8">
        <v>0</v>
      </c>
      <c r="K1268" s="2">
        <v>0</v>
      </c>
      <c r="L1268" s="8">
        <f t="shared" si="2164"/>
        <v>1.5</v>
      </c>
      <c r="M1268" s="8">
        <f t="shared" si="2165"/>
        <v>1875</v>
      </c>
    </row>
    <row r="1269" spans="1:13" ht="15.75" customHeight="1" x14ac:dyDescent="0.25">
      <c r="A1269" s="24">
        <v>43707</v>
      </c>
      <c r="B1269" s="29" t="s">
        <v>16</v>
      </c>
      <c r="C1269" s="11">
        <v>100</v>
      </c>
      <c r="D1269" s="11" t="s">
        <v>11</v>
      </c>
      <c r="E1269" s="11">
        <v>4025</v>
      </c>
      <c r="F1269" s="11">
        <v>4005</v>
      </c>
      <c r="G1269" s="34">
        <v>3975</v>
      </c>
      <c r="H1269" s="35">
        <v>3935</v>
      </c>
      <c r="I1269" s="8">
        <f t="shared" si="2163"/>
        <v>2000</v>
      </c>
      <c r="J1269" s="8">
        <f>C1269*30</f>
        <v>3000</v>
      </c>
      <c r="K1269" s="2">
        <f>C1269*40</f>
        <v>4000</v>
      </c>
      <c r="L1269" s="8">
        <f t="shared" si="2164"/>
        <v>90</v>
      </c>
      <c r="M1269" s="8">
        <f t="shared" si="2165"/>
        <v>9000</v>
      </c>
    </row>
    <row r="1270" spans="1:13" ht="15.75" customHeight="1" x14ac:dyDescent="0.25">
      <c r="A1270" s="24">
        <v>43706</v>
      </c>
      <c r="B1270" s="29" t="s">
        <v>16</v>
      </c>
      <c r="C1270" s="11">
        <v>100</v>
      </c>
      <c r="D1270" s="11" t="s">
        <v>10</v>
      </c>
      <c r="E1270" s="11">
        <v>4020</v>
      </c>
      <c r="F1270" s="11">
        <v>4040</v>
      </c>
      <c r="G1270" s="34">
        <v>4070</v>
      </c>
      <c r="H1270" s="35">
        <v>0</v>
      </c>
      <c r="I1270" s="8">
        <f t="shared" si="2163"/>
        <v>2000</v>
      </c>
      <c r="J1270" s="8">
        <f>C1270*30</f>
        <v>3000</v>
      </c>
      <c r="K1270" s="2">
        <v>0</v>
      </c>
      <c r="L1270" s="8">
        <f t="shared" si="2164"/>
        <v>50</v>
      </c>
      <c r="M1270" s="8">
        <f t="shared" si="2165"/>
        <v>5000</v>
      </c>
    </row>
    <row r="1271" spans="1:13" ht="15.75" customHeight="1" x14ac:dyDescent="0.25">
      <c r="A1271" s="24">
        <v>43706</v>
      </c>
      <c r="B1271" s="29" t="s">
        <v>19</v>
      </c>
      <c r="C1271" s="11">
        <v>100</v>
      </c>
      <c r="D1271" s="11" t="s">
        <v>10</v>
      </c>
      <c r="E1271" s="11">
        <v>39340</v>
      </c>
      <c r="F1271" s="11">
        <v>39390</v>
      </c>
      <c r="G1271" s="34">
        <v>0</v>
      </c>
      <c r="H1271" s="35">
        <v>0</v>
      </c>
      <c r="I1271" s="8">
        <f t="shared" si="2163"/>
        <v>5000</v>
      </c>
      <c r="J1271" s="8">
        <v>0</v>
      </c>
      <c r="K1271" s="2">
        <v>0</v>
      </c>
      <c r="L1271" s="8">
        <f t="shared" si="2164"/>
        <v>50</v>
      </c>
      <c r="M1271" s="8">
        <f t="shared" si="2165"/>
        <v>5000</v>
      </c>
    </row>
    <row r="1272" spans="1:13" ht="15.75" customHeight="1" x14ac:dyDescent="0.25">
      <c r="A1272" s="24">
        <v>43706</v>
      </c>
      <c r="B1272" s="29" t="s">
        <v>15</v>
      </c>
      <c r="C1272" s="11">
        <v>5000</v>
      </c>
      <c r="D1272" s="11" t="s">
        <v>11</v>
      </c>
      <c r="E1272" s="11">
        <v>153.6</v>
      </c>
      <c r="F1272" s="11">
        <v>153.6</v>
      </c>
      <c r="G1272" s="34">
        <v>0</v>
      </c>
      <c r="H1272" s="35">
        <v>0</v>
      </c>
      <c r="I1272" s="8">
        <f t="shared" si="2163"/>
        <v>0</v>
      </c>
      <c r="J1272" s="8">
        <v>0</v>
      </c>
      <c r="K1272" s="2">
        <v>0</v>
      </c>
      <c r="L1272" s="8">
        <f t="shared" si="2164"/>
        <v>0</v>
      </c>
      <c r="M1272" s="8">
        <f t="shared" si="2165"/>
        <v>0</v>
      </c>
    </row>
    <row r="1273" spans="1:13" ht="15.75" customHeight="1" x14ac:dyDescent="0.25">
      <c r="A1273" s="24">
        <v>43705</v>
      </c>
      <c r="B1273" s="29" t="s">
        <v>69</v>
      </c>
      <c r="C1273" s="11">
        <v>250</v>
      </c>
      <c r="D1273" s="11" t="s">
        <v>10</v>
      </c>
      <c r="E1273" s="11">
        <v>1134</v>
      </c>
      <c r="F1273" s="11">
        <v>1140</v>
      </c>
      <c r="G1273" s="34">
        <v>0</v>
      </c>
      <c r="H1273" s="35">
        <v>0</v>
      </c>
      <c r="I1273" s="8">
        <f t="shared" si="2163"/>
        <v>1500</v>
      </c>
      <c r="J1273" s="8">
        <v>0</v>
      </c>
      <c r="K1273" s="2">
        <v>0</v>
      </c>
      <c r="L1273" s="8">
        <f t="shared" si="2164"/>
        <v>6</v>
      </c>
      <c r="M1273" s="8">
        <f t="shared" si="2165"/>
        <v>1500</v>
      </c>
    </row>
    <row r="1274" spans="1:13" ht="15.75" customHeight="1" x14ac:dyDescent="0.25">
      <c r="A1274" s="24">
        <v>43705</v>
      </c>
      <c r="B1274" s="29" t="s">
        <v>16</v>
      </c>
      <c r="C1274" s="11">
        <v>100</v>
      </c>
      <c r="D1274" s="11" t="s">
        <v>10</v>
      </c>
      <c r="E1274" s="11">
        <v>4015</v>
      </c>
      <c r="F1274" s="11">
        <v>4035</v>
      </c>
      <c r="G1274" s="34">
        <v>4065</v>
      </c>
      <c r="H1274" s="35">
        <v>0</v>
      </c>
      <c r="I1274" s="8">
        <f t="shared" si="2163"/>
        <v>2000</v>
      </c>
      <c r="J1274" s="8">
        <f>C1274*30</f>
        <v>3000</v>
      </c>
      <c r="K1274" s="2">
        <v>0</v>
      </c>
      <c r="L1274" s="8">
        <f t="shared" si="2164"/>
        <v>50</v>
      </c>
      <c r="M1274" s="8">
        <f t="shared" si="2165"/>
        <v>5000</v>
      </c>
    </row>
    <row r="1275" spans="1:13" ht="15.75" customHeight="1" x14ac:dyDescent="0.25">
      <c r="A1275" s="24">
        <v>43705</v>
      </c>
      <c r="B1275" s="29" t="s">
        <v>68</v>
      </c>
      <c r="C1275" s="11">
        <v>5000</v>
      </c>
      <c r="D1275" s="11" t="s">
        <v>10</v>
      </c>
      <c r="E1275" s="11">
        <v>185.5</v>
      </c>
      <c r="F1275" s="11">
        <v>184.5</v>
      </c>
      <c r="G1275" s="34">
        <v>0</v>
      </c>
      <c r="H1275" s="35">
        <v>0</v>
      </c>
      <c r="I1275" s="8">
        <f t="shared" si="2163"/>
        <v>-5000</v>
      </c>
      <c r="J1275" s="8">
        <v>0</v>
      </c>
      <c r="K1275" s="2">
        <v>0</v>
      </c>
      <c r="L1275" s="8">
        <f t="shared" si="2164"/>
        <v>-1</v>
      </c>
      <c r="M1275" s="8">
        <f t="shared" si="2165"/>
        <v>-5000</v>
      </c>
    </row>
    <row r="1276" spans="1:13" ht="15.75" customHeight="1" x14ac:dyDescent="0.25">
      <c r="A1276" s="24">
        <v>43705</v>
      </c>
      <c r="B1276" s="29" t="s">
        <v>19</v>
      </c>
      <c r="C1276" s="11">
        <v>100</v>
      </c>
      <c r="D1276" s="11" t="s">
        <v>10</v>
      </c>
      <c r="E1276" s="11">
        <v>39181</v>
      </c>
      <c r="F1276" s="11">
        <v>39221</v>
      </c>
      <c r="G1276" s="34">
        <v>0</v>
      </c>
      <c r="H1276" s="35">
        <v>0</v>
      </c>
      <c r="I1276" s="8">
        <f t="shared" si="2163"/>
        <v>4000</v>
      </c>
      <c r="J1276" s="8">
        <v>0</v>
      </c>
      <c r="K1276" s="2">
        <v>0</v>
      </c>
      <c r="L1276" s="8">
        <f t="shared" si="2164"/>
        <v>40</v>
      </c>
      <c r="M1276" s="8">
        <f t="shared" si="2165"/>
        <v>4000</v>
      </c>
    </row>
    <row r="1277" spans="1:13" ht="15.75" customHeight="1" x14ac:dyDescent="0.25">
      <c r="A1277" s="24">
        <v>43704</v>
      </c>
      <c r="B1277" s="29" t="s">
        <v>15</v>
      </c>
      <c r="C1277" s="11">
        <v>5000</v>
      </c>
      <c r="D1277" s="11" t="s">
        <v>10</v>
      </c>
      <c r="E1277" s="11">
        <v>155.5</v>
      </c>
      <c r="F1277" s="11">
        <v>155.9</v>
      </c>
      <c r="G1277" s="34">
        <v>0</v>
      </c>
      <c r="H1277" s="35">
        <v>0</v>
      </c>
      <c r="I1277" s="8">
        <f t="shared" si="2163"/>
        <v>2000.0000000000284</v>
      </c>
      <c r="J1277" s="8">
        <v>0</v>
      </c>
      <c r="K1277" s="2">
        <v>0</v>
      </c>
      <c r="L1277" s="8">
        <f t="shared" si="2164"/>
        <v>0.40000000000000568</v>
      </c>
      <c r="M1277" s="8">
        <f t="shared" si="2165"/>
        <v>2000.0000000000284</v>
      </c>
    </row>
    <row r="1278" spans="1:13" ht="15.75" customHeight="1" x14ac:dyDescent="0.25">
      <c r="A1278" s="24">
        <v>43704</v>
      </c>
      <c r="B1278" s="29" t="s">
        <v>14</v>
      </c>
      <c r="C1278" s="11">
        <v>30</v>
      </c>
      <c r="D1278" s="11" t="s">
        <v>11</v>
      </c>
      <c r="E1278" s="11">
        <v>45020</v>
      </c>
      <c r="F1278" s="11">
        <v>45250</v>
      </c>
      <c r="G1278" s="34">
        <v>0</v>
      </c>
      <c r="H1278" s="35">
        <v>0</v>
      </c>
      <c r="I1278" s="8">
        <f t="shared" si="2163"/>
        <v>-6900</v>
      </c>
      <c r="J1278" s="8">
        <v>0</v>
      </c>
      <c r="K1278" s="2">
        <v>0</v>
      </c>
      <c r="L1278" s="8">
        <f t="shared" si="2164"/>
        <v>-230</v>
      </c>
      <c r="M1278" s="8">
        <f t="shared" si="2165"/>
        <v>-6900</v>
      </c>
    </row>
    <row r="1279" spans="1:13" ht="15.75" customHeight="1" x14ac:dyDescent="0.25">
      <c r="A1279" s="24">
        <v>43703</v>
      </c>
      <c r="B1279" s="29" t="s">
        <v>16</v>
      </c>
      <c r="C1279" s="11">
        <v>100</v>
      </c>
      <c r="D1279" s="11" t="s">
        <v>10</v>
      </c>
      <c r="E1279" s="11">
        <v>3962</v>
      </c>
      <c r="F1279" s="11">
        <v>3982</v>
      </c>
      <c r="G1279" s="34">
        <v>38850</v>
      </c>
      <c r="H1279" s="35">
        <v>0</v>
      </c>
      <c r="I1279" s="8">
        <f t="shared" ref="I1279:I1342" si="2166">(IF(D1279="SELL",E1279-F1279,IF(D1279="BUY",F1279-E1279)))*C1279</f>
        <v>2000</v>
      </c>
      <c r="J1279" s="8">
        <f>C1279*90</f>
        <v>9000</v>
      </c>
      <c r="K1279" s="2">
        <v>0</v>
      </c>
      <c r="L1279" s="8">
        <f t="shared" ref="L1279:L1342" si="2167">(J1279+I1279+K1279)/C1279</f>
        <v>110</v>
      </c>
      <c r="M1279" s="8">
        <f t="shared" ref="M1279:M1342" si="2168">L1279*C1279</f>
        <v>11000</v>
      </c>
    </row>
    <row r="1280" spans="1:13" ht="15.75" customHeight="1" x14ac:dyDescent="0.25">
      <c r="A1280" s="24">
        <v>43703</v>
      </c>
      <c r="B1280" s="29" t="s">
        <v>19</v>
      </c>
      <c r="C1280" s="11">
        <v>100</v>
      </c>
      <c r="D1280" s="11" t="s">
        <v>11</v>
      </c>
      <c r="E1280" s="11">
        <v>39000</v>
      </c>
      <c r="F1280" s="11">
        <v>38940</v>
      </c>
      <c r="G1280" s="34">
        <v>38850</v>
      </c>
      <c r="H1280" s="35">
        <v>0</v>
      </c>
      <c r="I1280" s="8">
        <f t="shared" si="2166"/>
        <v>6000</v>
      </c>
      <c r="J1280" s="8">
        <f>C1280*90</f>
        <v>9000</v>
      </c>
      <c r="K1280" s="2">
        <v>0</v>
      </c>
      <c r="L1280" s="8">
        <f t="shared" si="2167"/>
        <v>150</v>
      </c>
      <c r="M1280" s="8">
        <f t="shared" si="2168"/>
        <v>15000</v>
      </c>
    </row>
    <row r="1281" spans="1:13" ht="15.75" customHeight="1" x14ac:dyDescent="0.25">
      <c r="A1281" s="24">
        <v>43703</v>
      </c>
      <c r="B1281" s="29" t="s">
        <v>14</v>
      </c>
      <c r="C1281" s="11">
        <v>30</v>
      </c>
      <c r="D1281" s="11" t="s">
        <v>11</v>
      </c>
      <c r="E1281" s="11">
        <v>44900</v>
      </c>
      <c r="F1281" s="11">
        <v>44800</v>
      </c>
      <c r="G1281" s="34">
        <v>0</v>
      </c>
      <c r="H1281" s="35">
        <v>0</v>
      </c>
      <c r="I1281" s="8">
        <f t="shared" si="2166"/>
        <v>3000</v>
      </c>
      <c r="J1281" s="8">
        <v>0</v>
      </c>
      <c r="K1281" s="2">
        <v>0</v>
      </c>
      <c r="L1281" s="8">
        <f t="shared" si="2167"/>
        <v>100</v>
      </c>
      <c r="M1281" s="8">
        <f t="shared" si="2168"/>
        <v>3000</v>
      </c>
    </row>
    <row r="1282" spans="1:13" ht="15.75" customHeight="1" x14ac:dyDescent="0.25">
      <c r="A1282" s="24">
        <v>43700</v>
      </c>
      <c r="B1282" s="29" t="s">
        <v>16</v>
      </c>
      <c r="C1282" s="11">
        <v>100</v>
      </c>
      <c r="D1282" s="11" t="s">
        <v>11</v>
      </c>
      <c r="E1282" s="11">
        <v>3945</v>
      </c>
      <c r="F1282" s="11">
        <v>3935</v>
      </c>
      <c r="G1282" s="34">
        <v>3905</v>
      </c>
      <c r="H1282" s="35">
        <v>3860</v>
      </c>
      <c r="I1282" s="8">
        <f t="shared" si="2166"/>
        <v>1000</v>
      </c>
      <c r="J1282" s="8">
        <f>C1282*30</f>
        <v>3000</v>
      </c>
      <c r="K1282" s="2">
        <f>C1282*45</f>
        <v>4500</v>
      </c>
      <c r="L1282" s="8">
        <f t="shared" si="2167"/>
        <v>85</v>
      </c>
      <c r="M1282" s="8">
        <f t="shared" si="2168"/>
        <v>8500</v>
      </c>
    </row>
    <row r="1283" spans="1:13" ht="15.75" customHeight="1" x14ac:dyDescent="0.25">
      <c r="A1283" s="24">
        <v>43700</v>
      </c>
      <c r="B1283" s="29" t="s">
        <v>52</v>
      </c>
      <c r="C1283" s="11">
        <v>1250</v>
      </c>
      <c r="D1283" s="11" t="s">
        <v>11</v>
      </c>
      <c r="E1283" s="11">
        <v>153</v>
      </c>
      <c r="F1283" s="11">
        <v>152.1</v>
      </c>
      <c r="G1283" s="34">
        <v>0</v>
      </c>
      <c r="H1283" s="35">
        <v>0</v>
      </c>
      <c r="I1283" s="8">
        <f t="shared" si="2166"/>
        <v>1125.000000000007</v>
      </c>
      <c r="J1283" s="8">
        <v>0</v>
      </c>
      <c r="K1283" s="2">
        <v>0</v>
      </c>
      <c r="L1283" s="8">
        <f t="shared" si="2167"/>
        <v>0.90000000000000568</v>
      </c>
      <c r="M1283" s="8">
        <f t="shared" si="2168"/>
        <v>1125.000000000007</v>
      </c>
    </row>
    <row r="1284" spans="1:13" ht="15.75" customHeight="1" x14ac:dyDescent="0.25">
      <c r="A1284" s="24">
        <v>43700</v>
      </c>
      <c r="B1284" s="29" t="s">
        <v>17</v>
      </c>
      <c r="C1284" s="11">
        <v>5000</v>
      </c>
      <c r="D1284" s="11" t="s">
        <v>10</v>
      </c>
      <c r="E1284" s="11">
        <v>184.7</v>
      </c>
      <c r="F1284" s="11">
        <v>185.2</v>
      </c>
      <c r="G1284" s="34">
        <v>0</v>
      </c>
      <c r="H1284" s="35">
        <v>0</v>
      </c>
      <c r="I1284" s="8">
        <f t="shared" si="2166"/>
        <v>2500</v>
      </c>
      <c r="J1284" s="8">
        <v>0</v>
      </c>
      <c r="K1284" s="2">
        <v>0</v>
      </c>
      <c r="L1284" s="8">
        <f t="shared" si="2167"/>
        <v>0.5</v>
      </c>
      <c r="M1284" s="8">
        <f t="shared" si="2168"/>
        <v>2500</v>
      </c>
    </row>
    <row r="1285" spans="1:13" ht="15.75" customHeight="1" x14ac:dyDescent="0.25">
      <c r="A1285" s="24">
        <v>43699</v>
      </c>
      <c r="B1285" s="29" t="s">
        <v>18</v>
      </c>
      <c r="C1285" s="11">
        <v>2500</v>
      </c>
      <c r="D1285" s="11" t="s">
        <v>10</v>
      </c>
      <c r="E1285" s="11">
        <v>445.8</v>
      </c>
      <c r="F1285" s="11">
        <v>445.6</v>
      </c>
      <c r="G1285" s="34">
        <v>0</v>
      </c>
      <c r="H1285" s="35">
        <v>0</v>
      </c>
      <c r="I1285" s="8">
        <f t="shared" si="2166"/>
        <v>-499.99999999997158</v>
      </c>
      <c r="J1285" s="8">
        <v>0</v>
      </c>
      <c r="K1285" s="2">
        <v>0</v>
      </c>
      <c r="L1285" s="8">
        <f t="shared" si="2167"/>
        <v>-0.19999999999998863</v>
      </c>
      <c r="M1285" s="8">
        <f t="shared" si="2168"/>
        <v>-499.99999999997158</v>
      </c>
    </row>
    <row r="1286" spans="1:13" ht="15.75" customHeight="1" x14ac:dyDescent="0.25">
      <c r="A1286" s="24">
        <v>43698</v>
      </c>
      <c r="B1286" s="29" t="s">
        <v>17</v>
      </c>
      <c r="C1286" s="11">
        <v>5000</v>
      </c>
      <c r="D1286" s="11" t="s">
        <v>10</v>
      </c>
      <c r="E1286" s="11">
        <v>184.15</v>
      </c>
      <c r="F1286" s="11">
        <v>184.7</v>
      </c>
      <c r="G1286" s="34">
        <v>185.6</v>
      </c>
      <c r="H1286" s="35">
        <v>0</v>
      </c>
      <c r="I1286" s="8">
        <f t="shared" si="2166"/>
        <v>2749.9999999999145</v>
      </c>
      <c r="J1286" s="8">
        <f>C1286*0.9</f>
        <v>4500</v>
      </c>
      <c r="K1286" s="2">
        <v>0</v>
      </c>
      <c r="L1286" s="8">
        <f t="shared" si="2167"/>
        <v>1.4499999999999829</v>
      </c>
      <c r="M1286" s="8">
        <f t="shared" si="2168"/>
        <v>7249.9999999999145</v>
      </c>
    </row>
    <row r="1287" spans="1:13" ht="15.75" customHeight="1" x14ac:dyDescent="0.25">
      <c r="A1287" s="24">
        <v>43698</v>
      </c>
      <c r="B1287" s="29" t="s">
        <v>16</v>
      </c>
      <c r="C1287" s="11">
        <v>100</v>
      </c>
      <c r="D1287" s="11" t="s">
        <v>10</v>
      </c>
      <c r="E1287" s="11">
        <v>4060</v>
      </c>
      <c r="F1287" s="11">
        <v>4080</v>
      </c>
      <c r="G1287" s="34">
        <v>0</v>
      </c>
      <c r="H1287" s="35">
        <v>0</v>
      </c>
      <c r="I1287" s="8">
        <f t="shared" si="2166"/>
        <v>2000</v>
      </c>
      <c r="J1287" s="8">
        <v>0</v>
      </c>
      <c r="K1287" s="2">
        <v>0</v>
      </c>
      <c r="L1287" s="8">
        <f t="shared" si="2167"/>
        <v>20</v>
      </c>
      <c r="M1287" s="8">
        <f t="shared" si="2168"/>
        <v>2000</v>
      </c>
    </row>
    <row r="1288" spans="1:13" ht="15.75" customHeight="1" x14ac:dyDescent="0.25">
      <c r="A1288" s="24">
        <v>43697</v>
      </c>
      <c r="B1288" s="29" t="s">
        <v>16</v>
      </c>
      <c r="C1288" s="11">
        <v>100</v>
      </c>
      <c r="D1288" s="11" t="s">
        <v>11</v>
      </c>
      <c r="E1288" s="11">
        <v>4020</v>
      </c>
      <c r="F1288" s="11">
        <v>4000</v>
      </c>
      <c r="G1288" s="34">
        <v>3970</v>
      </c>
      <c r="H1288" s="35">
        <v>0</v>
      </c>
      <c r="I1288" s="8">
        <f t="shared" si="2166"/>
        <v>2000</v>
      </c>
      <c r="J1288" s="8">
        <f>C1288*30</f>
        <v>3000</v>
      </c>
      <c r="K1288" s="2">
        <v>0</v>
      </c>
      <c r="L1288" s="8">
        <f t="shared" si="2167"/>
        <v>50</v>
      </c>
      <c r="M1288" s="8">
        <f t="shared" si="2168"/>
        <v>5000</v>
      </c>
    </row>
    <row r="1289" spans="1:13" ht="15.75" customHeight="1" x14ac:dyDescent="0.25">
      <c r="A1289" s="24">
        <v>43696</v>
      </c>
      <c r="B1289" s="29" t="s">
        <v>16</v>
      </c>
      <c r="C1289" s="11">
        <v>100</v>
      </c>
      <c r="D1289" s="11" t="s">
        <v>10</v>
      </c>
      <c r="E1289" s="11">
        <v>3952</v>
      </c>
      <c r="F1289" s="11">
        <v>3972</v>
      </c>
      <c r="G1289" s="34">
        <v>0</v>
      </c>
      <c r="H1289" s="35">
        <v>0</v>
      </c>
      <c r="I1289" s="8">
        <f t="shared" si="2166"/>
        <v>2000</v>
      </c>
      <c r="J1289" s="8">
        <v>0</v>
      </c>
      <c r="K1289" s="2">
        <v>0</v>
      </c>
      <c r="L1289" s="8">
        <f t="shared" si="2167"/>
        <v>20</v>
      </c>
      <c r="M1289" s="8">
        <f t="shared" si="2168"/>
        <v>2000</v>
      </c>
    </row>
    <row r="1290" spans="1:13" ht="15.75" customHeight="1" x14ac:dyDescent="0.25">
      <c r="A1290" s="24">
        <v>43696</v>
      </c>
      <c r="B1290" s="29" t="s">
        <v>22</v>
      </c>
      <c r="C1290" s="9">
        <v>5000</v>
      </c>
      <c r="D1290" s="9" t="s">
        <v>10</v>
      </c>
      <c r="E1290" s="19">
        <v>141</v>
      </c>
      <c r="F1290" s="19">
        <v>140.1</v>
      </c>
      <c r="G1290" s="19">
        <v>0</v>
      </c>
      <c r="H1290" s="15">
        <v>0</v>
      </c>
      <c r="I1290" s="8">
        <f t="shared" si="2166"/>
        <v>-4500.0000000000282</v>
      </c>
      <c r="J1290" s="8">
        <v>0</v>
      </c>
      <c r="K1290" s="2">
        <v>0</v>
      </c>
      <c r="L1290" s="8">
        <f t="shared" si="2167"/>
        <v>-0.90000000000000568</v>
      </c>
      <c r="M1290" s="8">
        <f t="shared" si="2168"/>
        <v>-4500.0000000000282</v>
      </c>
    </row>
    <row r="1291" spans="1:13" ht="15.75" customHeight="1" x14ac:dyDescent="0.25">
      <c r="A1291" s="24">
        <v>43693</v>
      </c>
      <c r="B1291" s="29" t="s">
        <v>15</v>
      </c>
      <c r="C1291" s="9">
        <v>5000</v>
      </c>
      <c r="D1291" s="9" t="s">
        <v>11</v>
      </c>
      <c r="E1291" s="19">
        <v>154</v>
      </c>
      <c r="F1291" s="19">
        <v>153.4</v>
      </c>
      <c r="G1291" s="19">
        <v>0</v>
      </c>
      <c r="H1291" s="15">
        <v>0</v>
      </c>
      <c r="I1291" s="8">
        <f t="shared" si="2166"/>
        <v>2999.9999999999718</v>
      </c>
      <c r="J1291" s="8">
        <v>0</v>
      </c>
      <c r="K1291" s="2">
        <v>0</v>
      </c>
      <c r="L1291" s="8">
        <f t="shared" si="2167"/>
        <v>0.59999999999999432</v>
      </c>
      <c r="M1291" s="8">
        <f t="shared" si="2168"/>
        <v>2999.9999999999718</v>
      </c>
    </row>
    <row r="1292" spans="1:13" ht="15.75" customHeight="1" x14ac:dyDescent="0.25">
      <c r="A1292" s="24">
        <v>43693</v>
      </c>
      <c r="B1292" s="29" t="s">
        <v>16</v>
      </c>
      <c r="C1292" s="9">
        <v>100</v>
      </c>
      <c r="D1292" s="9" t="s">
        <v>10</v>
      </c>
      <c r="E1292" s="19">
        <v>3950</v>
      </c>
      <c r="F1292" s="19">
        <v>3910</v>
      </c>
      <c r="G1292" s="19">
        <v>0</v>
      </c>
      <c r="H1292" s="15">
        <v>0</v>
      </c>
      <c r="I1292" s="8">
        <f t="shared" si="2166"/>
        <v>-4000</v>
      </c>
      <c r="J1292" s="8">
        <v>0</v>
      </c>
      <c r="K1292" s="2">
        <v>0</v>
      </c>
      <c r="L1292" s="8">
        <f t="shared" si="2167"/>
        <v>-40</v>
      </c>
      <c r="M1292" s="8">
        <f t="shared" si="2168"/>
        <v>-4000</v>
      </c>
    </row>
    <row r="1293" spans="1:13" ht="15.75" customHeight="1" x14ac:dyDescent="0.25">
      <c r="A1293" s="24">
        <v>43693</v>
      </c>
      <c r="B1293" s="29" t="s">
        <v>19</v>
      </c>
      <c r="C1293" s="9">
        <v>100</v>
      </c>
      <c r="D1293" s="9" t="s">
        <v>11</v>
      </c>
      <c r="E1293" s="19">
        <v>37800</v>
      </c>
      <c r="F1293" s="19">
        <v>37900</v>
      </c>
      <c r="G1293" s="19">
        <v>0</v>
      </c>
      <c r="H1293" s="15">
        <v>0</v>
      </c>
      <c r="I1293" s="8">
        <f t="shared" si="2166"/>
        <v>-10000</v>
      </c>
      <c r="J1293" s="8">
        <v>0</v>
      </c>
      <c r="K1293" s="2">
        <v>0</v>
      </c>
      <c r="L1293" s="8">
        <f t="shared" si="2167"/>
        <v>-100</v>
      </c>
      <c r="M1293" s="8">
        <f t="shared" si="2168"/>
        <v>-10000</v>
      </c>
    </row>
    <row r="1294" spans="1:13" ht="15.75" customHeight="1" x14ac:dyDescent="0.25">
      <c r="A1294" s="24">
        <v>43691</v>
      </c>
      <c r="B1294" s="29" t="s">
        <v>21</v>
      </c>
      <c r="C1294" s="9">
        <v>250</v>
      </c>
      <c r="D1294" s="9" t="s">
        <v>10</v>
      </c>
      <c r="E1294" s="19">
        <v>1127</v>
      </c>
      <c r="F1294" s="19">
        <v>1132</v>
      </c>
      <c r="G1294" s="19">
        <v>1138</v>
      </c>
      <c r="H1294" s="15">
        <v>0</v>
      </c>
      <c r="I1294" s="8">
        <f t="shared" si="2166"/>
        <v>1250</v>
      </c>
      <c r="J1294" s="8">
        <f>C1294*6</f>
        <v>1500</v>
      </c>
      <c r="K1294" s="2">
        <v>0</v>
      </c>
      <c r="L1294" s="8">
        <f t="shared" si="2167"/>
        <v>11</v>
      </c>
      <c r="M1294" s="8">
        <f t="shared" si="2168"/>
        <v>2750</v>
      </c>
    </row>
    <row r="1295" spans="1:13" ht="15.75" customHeight="1" x14ac:dyDescent="0.25">
      <c r="A1295" s="24">
        <v>43691</v>
      </c>
      <c r="B1295" s="29" t="s">
        <v>18</v>
      </c>
      <c r="C1295" s="9">
        <v>2500</v>
      </c>
      <c r="D1295" s="9" t="s">
        <v>11</v>
      </c>
      <c r="E1295" s="19">
        <v>448</v>
      </c>
      <c r="F1295" s="19">
        <v>450</v>
      </c>
      <c r="G1295" s="19">
        <v>0</v>
      </c>
      <c r="H1295" s="15">
        <v>0</v>
      </c>
      <c r="I1295" s="8">
        <f t="shared" si="2166"/>
        <v>-5000</v>
      </c>
      <c r="J1295" s="8">
        <v>0</v>
      </c>
      <c r="K1295" s="2">
        <v>0</v>
      </c>
      <c r="L1295" s="8">
        <f t="shared" si="2167"/>
        <v>-2</v>
      </c>
      <c r="M1295" s="8">
        <f t="shared" si="2168"/>
        <v>-5000</v>
      </c>
    </row>
    <row r="1296" spans="1:13" ht="15.75" customHeight="1" x14ac:dyDescent="0.25">
      <c r="A1296" s="24">
        <v>43690</v>
      </c>
      <c r="B1296" s="29" t="s">
        <v>18</v>
      </c>
      <c r="C1296" s="9">
        <v>2500</v>
      </c>
      <c r="D1296" s="9" t="s">
        <v>10</v>
      </c>
      <c r="E1296" s="19">
        <v>447.5</v>
      </c>
      <c r="F1296" s="19">
        <v>449.5</v>
      </c>
      <c r="G1296" s="19">
        <v>0</v>
      </c>
      <c r="H1296" s="15">
        <v>0</v>
      </c>
      <c r="I1296" s="8">
        <f t="shared" si="2166"/>
        <v>5000</v>
      </c>
      <c r="J1296" s="8">
        <v>0</v>
      </c>
      <c r="K1296" s="2">
        <v>0</v>
      </c>
      <c r="L1296" s="8">
        <f t="shared" si="2167"/>
        <v>2</v>
      </c>
      <c r="M1296" s="8">
        <f t="shared" si="2168"/>
        <v>5000</v>
      </c>
    </row>
    <row r="1297" spans="1:13" ht="15.75" customHeight="1" x14ac:dyDescent="0.25">
      <c r="A1297" s="24">
        <v>43690</v>
      </c>
      <c r="B1297" s="29" t="s">
        <v>16</v>
      </c>
      <c r="C1297" s="9">
        <v>100</v>
      </c>
      <c r="D1297" s="9" t="s">
        <v>10</v>
      </c>
      <c r="E1297" s="19">
        <v>3918</v>
      </c>
      <c r="F1297" s="19">
        <v>3941</v>
      </c>
      <c r="G1297" s="19">
        <v>0</v>
      </c>
      <c r="H1297" s="15">
        <v>0</v>
      </c>
      <c r="I1297" s="8">
        <f t="shared" si="2166"/>
        <v>2300</v>
      </c>
      <c r="J1297" s="8">
        <v>0</v>
      </c>
      <c r="K1297" s="2">
        <v>0</v>
      </c>
      <c r="L1297" s="8">
        <f t="shared" si="2167"/>
        <v>23</v>
      </c>
      <c r="M1297" s="8">
        <f t="shared" si="2168"/>
        <v>2300</v>
      </c>
    </row>
    <row r="1298" spans="1:13" ht="15.75" customHeight="1" x14ac:dyDescent="0.25">
      <c r="A1298" s="24">
        <v>43690</v>
      </c>
      <c r="B1298" s="9" t="s">
        <v>17</v>
      </c>
      <c r="C1298" s="9">
        <v>5000</v>
      </c>
      <c r="D1298" s="9" t="s">
        <v>10</v>
      </c>
      <c r="E1298" s="19">
        <v>184.8</v>
      </c>
      <c r="F1298" s="19">
        <v>185.4</v>
      </c>
      <c r="G1298" s="19">
        <v>0</v>
      </c>
      <c r="H1298" s="15">
        <v>0</v>
      </c>
      <c r="I1298" s="8">
        <f t="shared" si="2166"/>
        <v>2999.9999999999718</v>
      </c>
      <c r="J1298" s="8">
        <v>0</v>
      </c>
      <c r="K1298" s="2">
        <v>0</v>
      </c>
      <c r="L1298" s="8">
        <f t="shared" si="2167"/>
        <v>0.59999999999999432</v>
      </c>
      <c r="M1298" s="8">
        <f t="shared" si="2168"/>
        <v>2999.9999999999718</v>
      </c>
    </row>
    <row r="1299" spans="1:13" ht="15.75" customHeight="1" x14ac:dyDescent="0.25">
      <c r="A1299" s="24">
        <v>43690</v>
      </c>
      <c r="B1299" s="9" t="s">
        <v>14</v>
      </c>
      <c r="C1299" s="9">
        <v>30</v>
      </c>
      <c r="D1299" s="9" t="s">
        <v>10</v>
      </c>
      <c r="E1299" s="19">
        <v>44310</v>
      </c>
      <c r="F1299" s="19">
        <v>44410</v>
      </c>
      <c r="G1299" s="19">
        <v>44550</v>
      </c>
      <c r="H1299" s="15">
        <v>0</v>
      </c>
      <c r="I1299" s="8">
        <f t="shared" si="2166"/>
        <v>3000</v>
      </c>
      <c r="J1299" s="8">
        <f>C1299*140</f>
        <v>4200</v>
      </c>
      <c r="K1299" s="2">
        <v>0</v>
      </c>
      <c r="L1299" s="8">
        <f t="shared" si="2167"/>
        <v>240</v>
      </c>
      <c r="M1299" s="8">
        <f t="shared" si="2168"/>
        <v>7200</v>
      </c>
    </row>
    <row r="1300" spans="1:13" ht="15.75" customHeight="1" x14ac:dyDescent="0.25">
      <c r="A1300" s="24">
        <v>43690</v>
      </c>
      <c r="B1300" s="9" t="s">
        <v>19</v>
      </c>
      <c r="C1300" s="9">
        <v>100</v>
      </c>
      <c r="D1300" s="9" t="s">
        <v>10</v>
      </c>
      <c r="E1300" s="19">
        <v>38500</v>
      </c>
      <c r="F1300" s="19">
        <v>38550</v>
      </c>
      <c r="G1300" s="19">
        <v>38650</v>
      </c>
      <c r="H1300" s="15">
        <v>0</v>
      </c>
      <c r="I1300" s="8">
        <f t="shared" si="2166"/>
        <v>5000</v>
      </c>
      <c r="J1300" s="8">
        <f>C1300*100</f>
        <v>10000</v>
      </c>
      <c r="K1300" s="2">
        <v>0</v>
      </c>
      <c r="L1300" s="8">
        <f t="shared" si="2167"/>
        <v>150</v>
      </c>
      <c r="M1300" s="8">
        <f t="shared" si="2168"/>
        <v>15000</v>
      </c>
    </row>
    <row r="1301" spans="1:13" ht="15.75" customHeight="1" x14ac:dyDescent="0.25">
      <c r="A1301" s="24">
        <v>43686</v>
      </c>
      <c r="B1301" s="9" t="s">
        <v>18</v>
      </c>
      <c r="C1301" s="9">
        <v>2500</v>
      </c>
      <c r="D1301" s="9" t="s">
        <v>10</v>
      </c>
      <c r="E1301" s="19">
        <v>443</v>
      </c>
      <c r="F1301" s="19">
        <v>444</v>
      </c>
      <c r="G1301" s="19">
        <v>446</v>
      </c>
      <c r="H1301" s="15">
        <v>0</v>
      </c>
      <c r="I1301" s="8">
        <f t="shared" si="2166"/>
        <v>2500</v>
      </c>
      <c r="J1301" s="8">
        <f>C1301*2</f>
        <v>5000</v>
      </c>
      <c r="K1301" s="2">
        <v>0</v>
      </c>
      <c r="L1301" s="8">
        <f t="shared" si="2167"/>
        <v>3</v>
      </c>
      <c r="M1301" s="8">
        <f t="shared" si="2168"/>
        <v>7500</v>
      </c>
    </row>
    <row r="1302" spans="1:13" ht="15.75" customHeight="1" x14ac:dyDescent="0.25">
      <c r="A1302" s="24">
        <v>43686</v>
      </c>
      <c r="B1302" s="9" t="s">
        <v>34</v>
      </c>
      <c r="C1302" s="9">
        <v>100</v>
      </c>
      <c r="D1302" s="9" t="s">
        <v>10</v>
      </c>
      <c r="E1302" s="19">
        <v>3715</v>
      </c>
      <c r="F1302" s="19">
        <v>3750</v>
      </c>
      <c r="G1302" s="19">
        <v>3800</v>
      </c>
      <c r="H1302" s="15">
        <v>3850</v>
      </c>
      <c r="I1302" s="8">
        <f t="shared" si="2166"/>
        <v>3500</v>
      </c>
      <c r="J1302" s="8">
        <f>C1302*50</f>
        <v>5000</v>
      </c>
      <c r="K1302" s="2">
        <f>C1302*50</f>
        <v>5000</v>
      </c>
      <c r="L1302" s="8">
        <f t="shared" si="2167"/>
        <v>135</v>
      </c>
      <c r="M1302" s="8">
        <f t="shared" si="2168"/>
        <v>13500</v>
      </c>
    </row>
    <row r="1303" spans="1:13" ht="15.75" customHeight="1" x14ac:dyDescent="0.25">
      <c r="A1303" s="24">
        <v>43685</v>
      </c>
      <c r="B1303" s="9" t="s">
        <v>15</v>
      </c>
      <c r="C1303" s="9">
        <v>5000</v>
      </c>
      <c r="D1303" s="9" t="s">
        <v>10</v>
      </c>
      <c r="E1303" s="19">
        <v>154.69999999999999</v>
      </c>
      <c r="F1303" s="19">
        <v>153.9</v>
      </c>
      <c r="G1303" s="19">
        <v>0</v>
      </c>
      <c r="H1303" s="15">
        <v>0</v>
      </c>
      <c r="I1303" s="8">
        <f t="shared" si="2166"/>
        <v>-3999.9999999999145</v>
      </c>
      <c r="J1303" s="8">
        <v>0</v>
      </c>
      <c r="K1303" s="2">
        <v>0</v>
      </c>
      <c r="L1303" s="8">
        <f t="shared" si="2167"/>
        <v>-0.79999999999998295</v>
      </c>
      <c r="M1303" s="8">
        <f t="shared" si="2168"/>
        <v>-3999.9999999999145</v>
      </c>
    </row>
    <row r="1304" spans="1:13" ht="15.75" customHeight="1" x14ac:dyDescent="0.25">
      <c r="A1304" s="24">
        <v>43685</v>
      </c>
      <c r="B1304" s="9" t="s">
        <v>34</v>
      </c>
      <c r="C1304" s="9">
        <v>100</v>
      </c>
      <c r="D1304" s="9" t="s">
        <v>10</v>
      </c>
      <c r="E1304" s="19">
        <v>3747</v>
      </c>
      <c r="F1304" s="19">
        <v>3699</v>
      </c>
      <c r="G1304" s="19">
        <v>0</v>
      </c>
      <c r="H1304" s="15">
        <v>0</v>
      </c>
      <c r="I1304" s="8">
        <f t="shared" si="2166"/>
        <v>-4800</v>
      </c>
      <c r="J1304" s="8">
        <v>0</v>
      </c>
      <c r="K1304" s="2">
        <v>0</v>
      </c>
      <c r="L1304" s="8">
        <f t="shared" si="2167"/>
        <v>-48</v>
      </c>
      <c r="M1304" s="8">
        <f t="shared" si="2168"/>
        <v>-4800</v>
      </c>
    </row>
    <row r="1305" spans="1:13" ht="15.75" customHeight="1" x14ac:dyDescent="0.25">
      <c r="A1305" s="24">
        <v>43684</v>
      </c>
      <c r="B1305" s="9" t="s">
        <v>22</v>
      </c>
      <c r="C1305" s="9">
        <v>5000</v>
      </c>
      <c r="D1305" s="9" t="s">
        <v>11</v>
      </c>
      <c r="E1305" s="19">
        <v>140.6</v>
      </c>
      <c r="F1305" s="19">
        <v>140</v>
      </c>
      <c r="G1305" s="19">
        <v>0</v>
      </c>
      <c r="H1305" s="15">
        <v>0</v>
      </c>
      <c r="I1305" s="8">
        <f t="shared" si="2166"/>
        <v>2999.9999999999718</v>
      </c>
      <c r="J1305" s="8">
        <v>0</v>
      </c>
      <c r="K1305" s="2">
        <v>0</v>
      </c>
      <c r="L1305" s="8">
        <f t="shared" si="2167"/>
        <v>0.59999999999999432</v>
      </c>
      <c r="M1305" s="8">
        <f t="shared" si="2168"/>
        <v>2999.9999999999718</v>
      </c>
    </row>
    <row r="1306" spans="1:13" ht="15.75" customHeight="1" x14ac:dyDescent="0.25">
      <c r="A1306" s="24">
        <v>43683</v>
      </c>
      <c r="B1306" s="9" t="s">
        <v>34</v>
      </c>
      <c r="C1306" s="9">
        <v>100</v>
      </c>
      <c r="D1306" s="9" t="s">
        <v>11</v>
      </c>
      <c r="E1306" s="19">
        <v>3900</v>
      </c>
      <c r="F1306" s="19">
        <v>3875</v>
      </c>
      <c r="G1306" s="19">
        <v>3850</v>
      </c>
      <c r="H1306" s="15">
        <v>0</v>
      </c>
      <c r="I1306" s="8">
        <f t="shared" si="2166"/>
        <v>2500</v>
      </c>
      <c r="J1306" s="8">
        <f>C1306*25</f>
        <v>2500</v>
      </c>
      <c r="K1306" s="2">
        <v>0</v>
      </c>
      <c r="L1306" s="8">
        <f t="shared" si="2167"/>
        <v>50</v>
      </c>
      <c r="M1306" s="8">
        <f t="shared" si="2168"/>
        <v>5000</v>
      </c>
    </row>
    <row r="1307" spans="1:13" ht="15.75" customHeight="1" x14ac:dyDescent="0.25">
      <c r="A1307" s="24">
        <v>43683</v>
      </c>
      <c r="B1307" s="9" t="s">
        <v>22</v>
      </c>
      <c r="C1307" s="9">
        <v>5000</v>
      </c>
      <c r="D1307" s="9" t="s">
        <v>10</v>
      </c>
      <c r="E1307" s="19">
        <v>141</v>
      </c>
      <c r="F1307" s="19">
        <v>141.4</v>
      </c>
      <c r="G1307" s="19">
        <v>0</v>
      </c>
      <c r="H1307" s="15">
        <v>0</v>
      </c>
      <c r="I1307" s="8">
        <f t="shared" si="2166"/>
        <v>2000.0000000000284</v>
      </c>
      <c r="J1307" s="8">
        <v>0</v>
      </c>
      <c r="K1307" s="2">
        <v>0</v>
      </c>
      <c r="L1307" s="8">
        <f t="shared" si="2167"/>
        <v>0.40000000000000568</v>
      </c>
      <c r="M1307" s="8">
        <f t="shared" si="2168"/>
        <v>2000.0000000000284</v>
      </c>
    </row>
    <row r="1308" spans="1:13" ht="15.75" customHeight="1" x14ac:dyDescent="0.25">
      <c r="A1308" s="24">
        <v>43682</v>
      </c>
      <c r="B1308" s="9" t="s">
        <v>22</v>
      </c>
      <c r="C1308" s="9">
        <v>5000</v>
      </c>
      <c r="D1308" s="9" t="s">
        <v>10</v>
      </c>
      <c r="E1308" s="19">
        <v>140.4</v>
      </c>
      <c r="F1308" s="19">
        <v>141</v>
      </c>
      <c r="G1308" s="19">
        <v>0</v>
      </c>
      <c r="H1308" s="15">
        <v>0</v>
      </c>
      <c r="I1308" s="8">
        <f t="shared" si="2166"/>
        <v>2999.9999999999718</v>
      </c>
      <c r="J1308" s="8">
        <v>0</v>
      </c>
      <c r="K1308" s="2">
        <v>0</v>
      </c>
      <c r="L1308" s="8">
        <f t="shared" si="2167"/>
        <v>0.59999999999999432</v>
      </c>
      <c r="M1308" s="8">
        <f t="shared" si="2168"/>
        <v>2999.9999999999718</v>
      </c>
    </row>
    <row r="1309" spans="1:13" ht="15.75" customHeight="1" x14ac:dyDescent="0.25">
      <c r="A1309" s="24">
        <v>43682</v>
      </c>
      <c r="B1309" s="9" t="s">
        <v>34</v>
      </c>
      <c r="C1309" s="9">
        <v>100</v>
      </c>
      <c r="D1309" s="9" t="s">
        <v>10</v>
      </c>
      <c r="E1309" s="19">
        <v>3900</v>
      </c>
      <c r="F1309" s="19">
        <v>3859</v>
      </c>
      <c r="G1309" s="19">
        <v>0</v>
      </c>
      <c r="H1309" s="15">
        <v>0</v>
      </c>
      <c r="I1309" s="8">
        <f t="shared" si="2166"/>
        <v>-4100</v>
      </c>
      <c r="J1309" s="8">
        <v>0</v>
      </c>
      <c r="K1309" s="2">
        <v>0</v>
      </c>
      <c r="L1309" s="8">
        <f t="shared" si="2167"/>
        <v>-41</v>
      </c>
      <c r="M1309" s="8">
        <f t="shared" si="2168"/>
        <v>-4100</v>
      </c>
    </row>
    <row r="1310" spans="1:13" ht="15.75" customHeight="1" x14ac:dyDescent="0.25">
      <c r="A1310" s="24">
        <v>43679</v>
      </c>
      <c r="B1310" s="9" t="s">
        <v>22</v>
      </c>
      <c r="C1310" s="9">
        <v>5000</v>
      </c>
      <c r="D1310" s="9" t="s">
        <v>10</v>
      </c>
      <c r="E1310" s="19">
        <v>139.55000000000001</v>
      </c>
      <c r="F1310" s="19">
        <v>140.1</v>
      </c>
      <c r="G1310" s="19">
        <v>0</v>
      </c>
      <c r="H1310" s="15">
        <v>0</v>
      </c>
      <c r="I1310" s="8">
        <f t="shared" si="2166"/>
        <v>2749.9999999999145</v>
      </c>
      <c r="J1310" s="8">
        <v>0</v>
      </c>
      <c r="K1310" s="2">
        <v>0</v>
      </c>
      <c r="L1310" s="8">
        <f t="shared" si="2167"/>
        <v>0.54999999999998295</v>
      </c>
      <c r="M1310" s="8">
        <f t="shared" si="2168"/>
        <v>2749.9999999999145</v>
      </c>
    </row>
    <row r="1311" spans="1:13" ht="15.75" customHeight="1" x14ac:dyDescent="0.25">
      <c r="A1311" s="24">
        <v>43678</v>
      </c>
      <c r="B1311" s="9" t="s">
        <v>34</v>
      </c>
      <c r="C1311" s="9">
        <v>100</v>
      </c>
      <c r="D1311" s="9" t="s">
        <v>11</v>
      </c>
      <c r="E1311" s="19">
        <v>3990</v>
      </c>
      <c r="F1311" s="19">
        <v>3970</v>
      </c>
      <c r="G1311" s="19">
        <v>3950</v>
      </c>
      <c r="H1311" s="15">
        <v>3920</v>
      </c>
      <c r="I1311" s="8">
        <f t="shared" si="2166"/>
        <v>2000</v>
      </c>
      <c r="J1311" s="8">
        <f>C1311*20</f>
        <v>2000</v>
      </c>
      <c r="K1311" s="2">
        <f>C1311*30</f>
        <v>3000</v>
      </c>
      <c r="L1311" s="8">
        <f t="shared" si="2167"/>
        <v>70</v>
      </c>
      <c r="M1311" s="8">
        <f t="shared" si="2168"/>
        <v>7000</v>
      </c>
    </row>
    <row r="1312" spans="1:13" ht="15.75" customHeight="1" x14ac:dyDescent="0.25">
      <c r="A1312" s="24">
        <v>43678</v>
      </c>
      <c r="B1312" s="9" t="s">
        <v>17</v>
      </c>
      <c r="C1312" s="9">
        <v>5000</v>
      </c>
      <c r="D1312" s="9" t="s">
        <v>11</v>
      </c>
      <c r="E1312" s="19">
        <v>191.2</v>
      </c>
      <c r="F1312" s="19">
        <v>190.6</v>
      </c>
      <c r="G1312" s="19">
        <v>189.7</v>
      </c>
      <c r="H1312" s="15">
        <v>0</v>
      </c>
      <c r="I1312" s="8">
        <f t="shared" si="2166"/>
        <v>2999.9999999999718</v>
      </c>
      <c r="J1312" s="8">
        <f>C1312*0.9</f>
        <v>4500</v>
      </c>
      <c r="K1312" s="2">
        <v>0</v>
      </c>
      <c r="L1312" s="8">
        <f t="shared" si="2167"/>
        <v>1.4999999999999944</v>
      </c>
      <c r="M1312" s="8">
        <f t="shared" si="2168"/>
        <v>7499.9999999999718</v>
      </c>
    </row>
    <row r="1313" spans="1:13" ht="15.75" customHeight="1" x14ac:dyDescent="0.25">
      <c r="A1313" s="24">
        <v>43678</v>
      </c>
      <c r="B1313" s="9" t="s">
        <v>22</v>
      </c>
      <c r="C1313" s="9">
        <v>5000</v>
      </c>
      <c r="D1313" s="9" t="s">
        <v>11</v>
      </c>
      <c r="E1313" s="19">
        <v>140</v>
      </c>
      <c r="F1313" s="19">
        <v>139.4</v>
      </c>
      <c r="G1313" s="19">
        <v>0</v>
      </c>
      <c r="H1313" s="15">
        <v>0</v>
      </c>
      <c r="I1313" s="8">
        <f t="shared" si="2166"/>
        <v>2999.9999999999718</v>
      </c>
      <c r="J1313" s="8">
        <v>0</v>
      </c>
      <c r="K1313" s="2">
        <v>0</v>
      </c>
      <c r="L1313" s="8">
        <f t="shared" si="2167"/>
        <v>0.59999999999999432</v>
      </c>
      <c r="M1313" s="8">
        <f t="shared" si="2168"/>
        <v>2999.9999999999718</v>
      </c>
    </row>
    <row r="1314" spans="1:13" ht="15.75" customHeight="1" x14ac:dyDescent="0.25">
      <c r="A1314" s="24">
        <v>43677</v>
      </c>
      <c r="B1314" s="9" t="s">
        <v>67</v>
      </c>
      <c r="C1314" s="9">
        <v>5000</v>
      </c>
      <c r="D1314" s="9" t="s">
        <v>11</v>
      </c>
      <c r="E1314" s="19">
        <v>192</v>
      </c>
      <c r="F1314" s="19">
        <v>191.5</v>
      </c>
      <c r="G1314" s="19">
        <v>0</v>
      </c>
      <c r="H1314" s="15">
        <v>0</v>
      </c>
      <c r="I1314" s="8">
        <f t="shared" si="2166"/>
        <v>2500</v>
      </c>
      <c r="J1314" s="8">
        <v>0</v>
      </c>
      <c r="K1314" s="2">
        <v>0</v>
      </c>
      <c r="L1314" s="8">
        <f t="shared" si="2167"/>
        <v>0.5</v>
      </c>
      <c r="M1314" s="8">
        <f t="shared" si="2168"/>
        <v>2500</v>
      </c>
    </row>
    <row r="1315" spans="1:13" ht="15.75" customHeight="1" x14ac:dyDescent="0.25">
      <c r="A1315" s="24">
        <v>43676</v>
      </c>
      <c r="B1315" s="9" t="s">
        <v>34</v>
      </c>
      <c r="C1315" s="9">
        <v>100</v>
      </c>
      <c r="D1315" s="9" t="s">
        <v>10</v>
      </c>
      <c r="E1315" s="19">
        <v>3940</v>
      </c>
      <c r="F1315" s="19">
        <v>3960</v>
      </c>
      <c r="G1315" s="19">
        <v>0</v>
      </c>
      <c r="H1315" s="15">
        <v>0</v>
      </c>
      <c r="I1315" s="8">
        <f t="shared" si="2166"/>
        <v>2000</v>
      </c>
      <c r="J1315" s="8">
        <v>0</v>
      </c>
      <c r="K1315" s="2">
        <v>0</v>
      </c>
      <c r="L1315" s="8">
        <f t="shared" si="2167"/>
        <v>20</v>
      </c>
      <c r="M1315" s="8">
        <f t="shared" si="2168"/>
        <v>2000</v>
      </c>
    </row>
    <row r="1316" spans="1:13" ht="15.75" customHeight="1" x14ac:dyDescent="0.25">
      <c r="A1316" s="24">
        <v>43675</v>
      </c>
      <c r="B1316" s="9" t="s">
        <v>34</v>
      </c>
      <c r="C1316" s="9">
        <v>100</v>
      </c>
      <c r="D1316" s="9" t="s">
        <v>10</v>
      </c>
      <c r="E1316" s="19">
        <v>3876</v>
      </c>
      <c r="F1316" s="19">
        <v>3896</v>
      </c>
      <c r="G1316" s="19">
        <v>0</v>
      </c>
      <c r="H1316" s="15">
        <v>0</v>
      </c>
      <c r="I1316" s="8">
        <f t="shared" si="2166"/>
        <v>2000</v>
      </c>
      <c r="J1316" s="8">
        <v>0</v>
      </c>
      <c r="K1316" s="2">
        <v>0</v>
      </c>
      <c r="L1316" s="8">
        <f t="shared" si="2167"/>
        <v>20</v>
      </c>
      <c r="M1316" s="8">
        <f t="shared" si="2168"/>
        <v>2000</v>
      </c>
    </row>
    <row r="1317" spans="1:13" ht="15.75" customHeight="1" x14ac:dyDescent="0.25">
      <c r="A1317" s="24">
        <v>43675</v>
      </c>
      <c r="B1317" s="9" t="s">
        <v>66</v>
      </c>
      <c r="C1317" s="9">
        <v>5000</v>
      </c>
      <c r="D1317" s="9" t="s">
        <v>11</v>
      </c>
      <c r="E1317" s="19">
        <v>153.80000000000001</v>
      </c>
      <c r="F1317" s="19">
        <v>153.19999999999999</v>
      </c>
      <c r="G1317" s="19">
        <v>0</v>
      </c>
      <c r="H1317" s="15">
        <v>0</v>
      </c>
      <c r="I1317" s="8">
        <f t="shared" si="2166"/>
        <v>3000.0000000001137</v>
      </c>
      <c r="J1317" s="8">
        <v>0</v>
      </c>
      <c r="K1317" s="2">
        <v>0</v>
      </c>
      <c r="L1317" s="8">
        <f t="shared" si="2167"/>
        <v>0.60000000000002274</v>
      </c>
      <c r="M1317" s="8">
        <f t="shared" si="2168"/>
        <v>3000.0000000001137</v>
      </c>
    </row>
    <row r="1318" spans="1:13" ht="15.75" customHeight="1" x14ac:dyDescent="0.25">
      <c r="A1318" s="24">
        <v>43675</v>
      </c>
      <c r="B1318" s="9" t="s">
        <v>65</v>
      </c>
      <c r="C1318" s="9">
        <v>250</v>
      </c>
      <c r="D1318" s="9" t="s">
        <v>11</v>
      </c>
      <c r="E1318" s="19">
        <v>977</v>
      </c>
      <c r="F1318" s="19">
        <v>973</v>
      </c>
      <c r="G1318" s="19">
        <v>0</v>
      </c>
      <c r="H1318" s="15">
        <v>0</v>
      </c>
      <c r="I1318" s="8">
        <f t="shared" si="2166"/>
        <v>1000</v>
      </c>
      <c r="J1318" s="8">
        <v>0</v>
      </c>
      <c r="K1318" s="2">
        <v>0</v>
      </c>
      <c r="L1318" s="8">
        <f t="shared" si="2167"/>
        <v>4</v>
      </c>
      <c r="M1318" s="8">
        <f t="shared" si="2168"/>
        <v>1000</v>
      </c>
    </row>
    <row r="1319" spans="1:13" ht="15.75" customHeight="1" x14ac:dyDescent="0.25">
      <c r="A1319" s="24">
        <v>43672</v>
      </c>
      <c r="B1319" s="9" t="s">
        <v>52</v>
      </c>
      <c r="C1319" s="9">
        <v>1250</v>
      </c>
      <c r="D1319" s="9" t="s">
        <v>11</v>
      </c>
      <c r="E1319" s="19">
        <v>154</v>
      </c>
      <c r="F1319" s="19">
        <v>152</v>
      </c>
      <c r="G1319" s="19">
        <v>0</v>
      </c>
      <c r="H1319" s="15">
        <v>0</v>
      </c>
      <c r="I1319" s="8">
        <f t="shared" si="2166"/>
        <v>2500</v>
      </c>
      <c r="J1319" s="8">
        <v>0</v>
      </c>
      <c r="K1319" s="2">
        <v>0</v>
      </c>
      <c r="L1319" s="8">
        <f t="shared" si="2167"/>
        <v>2</v>
      </c>
      <c r="M1319" s="8">
        <f t="shared" si="2168"/>
        <v>2500</v>
      </c>
    </row>
    <row r="1320" spans="1:13" ht="15.75" customHeight="1" x14ac:dyDescent="0.25">
      <c r="A1320" s="24">
        <v>43672</v>
      </c>
      <c r="B1320" s="9" t="s">
        <v>64</v>
      </c>
      <c r="C1320" s="9">
        <v>100</v>
      </c>
      <c r="D1320" s="9" t="s">
        <v>10</v>
      </c>
      <c r="E1320" s="19">
        <v>3900</v>
      </c>
      <c r="F1320" s="19">
        <v>3870</v>
      </c>
      <c r="G1320" s="19">
        <v>0</v>
      </c>
      <c r="H1320" s="15">
        <v>0</v>
      </c>
      <c r="I1320" s="8">
        <f t="shared" si="2166"/>
        <v>-3000</v>
      </c>
      <c r="J1320" s="8">
        <v>0</v>
      </c>
      <c r="K1320" s="2">
        <v>0</v>
      </c>
      <c r="L1320" s="8">
        <f t="shared" si="2167"/>
        <v>-30</v>
      </c>
      <c r="M1320" s="8">
        <f t="shared" si="2168"/>
        <v>-3000</v>
      </c>
    </row>
    <row r="1321" spans="1:13" ht="15.75" customHeight="1" x14ac:dyDescent="0.25">
      <c r="A1321" s="24">
        <v>43672</v>
      </c>
      <c r="B1321" s="9" t="s">
        <v>65</v>
      </c>
      <c r="C1321" s="9">
        <v>250</v>
      </c>
      <c r="D1321" s="9" t="s">
        <v>10</v>
      </c>
      <c r="E1321" s="19">
        <v>992</v>
      </c>
      <c r="F1321" s="19">
        <v>983</v>
      </c>
      <c r="G1321" s="19">
        <v>0</v>
      </c>
      <c r="H1321" s="15">
        <v>0</v>
      </c>
      <c r="I1321" s="8">
        <f t="shared" si="2166"/>
        <v>-2250</v>
      </c>
      <c r="J1321" s="8">
        <v>0</v>
      </c>
      <c r="K1321" s="2">
        <v>0</v>
      </c>
      <c r="L1321" s="8">
        <f t="shared" si="2167"/>
        <v>-9</v>
      </c>
      <c r="M1321" s="8">
        <f t="shared" si="2168"/>
        <v>-2250</v>
      </c>
    </row>
    <row r="1322" spans="1:13" ht="15.75" customHeight="1" x14ac:dyDescent="0.25">
      <c r="A1322" s="24">
        <v>43671</v>
      </c>
      <c r="B1322" s="9" t="s">
        <v>14</v>
      </c>
      <c r="C1322" s="9">
        <v>30</v>
      </c>
      <c r="D1322" s="9" t="s">
        <v>10</v>
      </c>
      <c r="E1322" s="19">
        <v>41620</v>
      </c>
      <c r="F1322" s="19">
        <v>41720</v>
      </c>
      <c r="G1322" s="19">
        <v>0</v>
      </c>
      <c r="H1322" s="15">
        <v>0</v>
      </c>
      <c r="I1322" s="8">
        <f t="shared" si="2166"/>
        <v>3000</v>
      </c>
      <c r="J1322" s="8">
        <v>0</v>
      </c>
      <c r="K1322" s="2">
        <v>0</v>
      </c>
      <c r="L1322" s="8">
        <f t="shared" si="2167"/>
        <v>100</v>
      </c>
      <c r="M1322" s="8">
        <f t="shared" si="2168"/>
        <v>3000</v>
      </c>
    </row>
    <row r="1323" spans="1:13" ht="15.75" customHeight="1" x14ac:dyDescent="0.25">
      <c r="A1323" s="24">
        <v>43671</v>
      </c>
      <c r="B1323" s="9" t="s">
        <v>34</v>
      </c>
      <c r="C1323" s="9">
        <v>100</v>
      </c>
      <c r="D1323" s="9" t="s">
        <v>10</v>
      </c>
      <c r="E1323" s="19">
        <v>3900</v>
      </c>
      <c r="F1323" s="19">
        <v>3920</v>
      </c>
      <c r="G1323" s="19">
        <v>0</v>
      </c>
      <c r="H1323" s="15">
        <v>0</v>
      </c>
      <c r="I1323" s="8">
        <f t="shared" si="2166"/>
        <v>2000</v>
      </c>
      <c r="J1323" s="8">
        <v>0</v>
      </c>
      <c r="K1323" s="2">
        <v>0</v>
      </c>
      <c r="L1323" s="8">
        <f t="shared" si="2167"/>
        <v>20</v>
      </c>
      <c r="M1323" s="8">
        <f t="shared" si="2168"/>
        <v>2000</v>
      </c>
    </row>
    <row r="1324" spans="1:13" ht="15.75" customHeight="1" x14ac:dyDescent="0.25">
      <c r="A1324" s="24">
        <v>43670</v>
      </c>
      <c r="B1324" s="9" t="s">
        <v>14</v>
      </c>
      <c r="C1324" s="9">
        <v>30</v>
      </c>
      <c r="D1324" s="9" t="s">
        <v>10</v>
      </c>
      <c r="E1324" s="19">
        <v>41640</v>
      </c>
      <c r="F1324" s="19">
        <v>41740</v>
      </c>
      <c r="G1324" s="19">
        <v>0</v>
      </c>
      <c r="H1324" s="15">
        <v>0</v>
      </c>
      <c r="I1324" s="8">
        <f t="shared" si="2166"/>
        <v>3000</v>
      </c>
      <c r="J1324" s="8">
        <v>0</v>
      </c>
      <c r="K1324" s="2">
        <v>0</v>
      </c>
      <c r="L1324" s="8">
        <f t="shared" si="2167"/>
        <v>100</v>
      </c>
      <c r="M1324" s="8">
        <f t="shared" si="2168"/>
        <v>3000</v>
      </c>
    </row>
    <row r="1325" spans="1:13" ht="15.75" customHeight="1" x14ac:dyDescent="0.25">
      <c r="A1325" s="24">
        <v>43670</v>
      </c>
      <c r="B1325" s="9" t="s">
        <v>34</v>
      </c>
      <c r="C1325" s="9">
        <v>100</v>
      </c>
      <c r="D1325" s="9" t="s">
        <v>10</v>
      </c>
      <c r="E1325" s="19">
        <v>3940</v>
      </c>
      <c r="F1325" s="19">
        <v>3960</v>
      </c>
      <c r="G1325" s="19">
        <v>0</v>
      </c>
      <c r="H1325" s="15">
        <v>0</v>
      </c>
      <c r="I1325" s="8">
        <f t="shared" si="2166"/>
        <v>2000</v>
      </c>
      <c r="J1325" s="8">
        <v>0</v>
      </c>
      <c r="K1325" s="2">
        <v>0</v>
      </c>
      <c r="L1325" s="8">
        <f t="shared" si="2167"/>
        <v>20</v>
      </c>
      <c r="M1325" s="8">
        <f t="shared" si="2168"/>
        <v>2000</v>
      </c>
    </row>
    <row r="1326" spans="1:13" ht="15.75" customHeight="1" x14ac:dyDescent="0.25">
      <c r="A1326" s="24">
        <v>43669</v>
      </c>
      <c r="B1326" s="9" t="s">
        <v>14</v>
      </c>
      <c r="C1326" s="9">
        <v>30</v>
      </c>
      <c r="D1326" s="9" t="s">
        <v>11</v>
      </c>
      <c r="E1326" s="19">
        <v>40850</v>
      </c>
      <c r="F1326" s="19">
        <v>41020</v>
      </c>
      <c r="G1326" s="19">
        <v>0</v>
      </c>
      <c r="H1326" s="15">
        <v>0</v>
      </c>
      <c r="I1326" s="8">
        <f t="shared" si="2166"/>
        <v>-5100</v>
      </c>
      <c r="J1326" s="8">
        <v>0</v>
      </c>
      <c r="K1326" s="2">
        <v>0</v>
      </c>
      <c r="L1326" s="8">
        <f t="shared" si="2167"/>
        <v>-170</v>
      </c>
      <c r="M1326" s="8">
        <f t="shared" si="2168"/>
        <v>-5100</v>
      </c>
    </row>
    <row r="1327" spans="1:13" ht="15.75" customHeight="1" x14ac:dyDescent="0.25">
      <c r="A1327" s="24">
        <v>43668</v>
      </c>
      <c r="B1327" s="9" t="s">
        <v>34</v>
      </c>
      <c r="C1327" s="9">
        <v>100</v>
      </c>
      <c r="D1327" s="9" t="s">
        <v>10</v>
      </c>
      <c r="E1327" s="19">
        <v>3908</v>
      </c>
      <c r="F1327" s="19">
        <v>3928</v>
      </c>
      <c r="G1327" s="19">
        <v>0</v>
      </c>
      <c r="H1327" s="15">
        <v>0</v>
      </c>
      <c r="I1327" s="8">
        <f t="shared" si="2166"/>
        <v>2000</v>
      </c>
      <c r="J1327" s="8">
        <v>0</v>
      </c>
      <c r="K1327" s="2">
        <v>0</v>
      </c>
      <c r="L1327" s="8">
        <f t="shared" si="2167"/>
        <v>20</v>
      </c>
      <c r="M1327" s="8">
        <f t="shared" si="2168"/>
        <v>2000</v>
      </c>
    </row>
    <row r="1328" spans="1:13" ht="15.75" customHeight="1" x14ac:dyDescent="0.25">
      <c r="A1328" s="24">
        <v>43668</v>
      </c>
      <c r="B1328" s="9" t="s">
        <v>15</v>
      </c>
      <c r="C1328" s="9">
        <v>5000</v>
      </c>
      <c r="D1328" s="9" t="s">
        <v>10</v>
      </c>
      <c r="E1328" s="19">
        <v>154</v>
      </c>
      <c r="F1328" s="19">
        <v>154.6</v>
      </c>
      <c r="G1328" s="19">
        <v>155.6</v>
      </c>
      <c r="H1328" s="15">
        <v>0</v>
      </c>
      <c r="I1328" s="8">
        <f t="shared" si="2166"/>
        <v>2999.9999999999718</v>
      </c>
      <c r="J1328" s="8">
        <f>C1328*1</f>
        <v>5000</v>
      </c>
      <c r="K1328" s="2">
        <v>0</v>
      </c>
      <c r="L1328" s="8">
        <f t="shared" si="2167"/>
        <v>1.5999999999999943</v>
      </c>
      <c r="M1328" s="8">
        <f t="shared" si="2168"/>
        <v>7999.9999999999718</v>
      </c>
    </row>
    <row r="1329" spans="1:13" ht="15.75" customHeight="1" x14ac:dyDescent="0.25">
      <c r="A1329" s="24">
        <v>43665</v>
      </c>
      <c r="B1329" s="9" t="s">
        <v>21</v>
      </c>
      <c r="C1329" s="9">
        <v>250</v>
      </c>
      <c r="D1329" s="9" t="s">
        <v>11</v>
      </c>
      <c r="E1329" s="19">
        <v>1016</v>
      </c>
      <c r="F1329" s="19">
        <v>1011</v>
      </c>
      <c r="G1329" s="19">
        <v>1005</v>
      </c>
      <c r="H1329" s="15">
        <v>996</v>
      </c>
      <c r="I1329" s="8">
        <f t="shared" si="2166"/>
        <v>1250</v>
      </c>
      <c r="J1329" s="8">
        <f>C1329*6</f>
        <v>1500</v>
      </c>
      <c r="K1329" s="2">
        <f>C1329*9</f>
        <v>2250</v>
      </c>
      <c r="L1329" s="8">
        <f t="shared" si="2167"/>
        <v>20</v>
      </c>
      <c r="M1329" s="8">
        <f t="shared" si="2168"/>
        <v>5000</v>
      </c>
    </row>
    <row r="1330" spans="1:13" ht="15.75" customHeight="1" x14ac:dyDescent="0.25">
      <c r="A1330" s="24">
        <v>43665</v>
      </c>
      <c r="B1330" s="9" t="s">
        <v>15</v>
      </c>
      <c r="C1330" s="9">
        <v>5000</v>
      </c>
      <c r="D1330" s="9" t="s">
        <v>11</v>
      </c>
      <c r="E1330" s="19">
        <v>156.80000000000001</v>
      </c>
      <c r="F1330" s="19">
        <v>156.30000000000001</v>
      </c>
      <c r="G1330" s="19">
        <v>0</v>
      </c>
      <c r="H1330" s="15">
        <v>0</v>
      </c>
      <c r="I1330" s="8">
        <f t="shared" si="2166"/>
        <v>2500</v>
      </c>
      <c r="J1330" s="8">
        <v>0</v>
      </c>
      <c r="K1330" s="2">
        <v>0</v>
      </c>
      <c r="L1330" s="8">
        <f t="shared" si="2167"/>
        <v>0.5</v>
      </c>
      <c r="M1330" s="8">
        <f t="shared" si="2168"/>
        <v>2500</v>
      </c>
    </row>
    <row r="1331" spans="1:13" ht="15.75" customHeight="1" x14ac:dyDescent="0.25">
      <c r="A1331" s="24">
        <v>43665</v>
      </c>
      <c r="B1331" s="9" t="s">
        <v>34</v>
      </c>
      <c r="C1331" s="9">
        <v>100</v>
      </c>
      <c r="D1331" s="9" t="s">
        <v>10</v>
      </c>
      <c r="E1331" s="19">
        <v>3857</v>
      </c>
      <c r="F1331" s="19">
        <v>3830</v>
      </c>
      <c r="G1331" s="19">
        <v>0</v>
      </c>
      <c r="H1331" s="15">
        <v>0</v>
      </c>
      <c r="I1331" s="8">
        <f t="shared" si="2166"/>
        <v>-2700</v>
      </c>
      <c r="J1331" s="8">
        <v>0</v>
      </c>
      <c r="K1331" s="2">
        <v>0</v>
      </c>
      <c r="L1331" s="8">
        <f t="shared" si="2167"/>
        <v>-27</v>
      </c>
      <c r="M1331" s="8">
        <f t="shared" si="2168"/>
        <v>-2700</v>
      </c>
    </row>
    <row r="1332" spans="1:13" ht="15.75" customHeight="1" x14ac:dyDescent="0.25">
      <c r="A1332" s="24">
        <v>43664</v>
      </c>
      <c r="B1332" s="9" t="s">
        <v>15</v>
      </c>
      <c r="C1332" s="9">
        <v>5000</v>
      </c>
      <c r="D1332" s="9" t="s">
        <v>10</v>
      </c>
      <c r="E1332" s="19">
        <v>155.5</v>
      </c>
      <c r="F1332" s="19">
        <v>156</v>
      </c>
      <c r="G1332" s="19">
        <v>0</v>
      </c>
      <c r="H1332" s="15">
        <v>0</v>
      </c>
      <c r="I1332" s="8">
        <f t="shared" si="2166"/>
        <v>2500</v>
      </c>
      <c r="J1332" s="8">
        <v>0</v>
      </c>
      <c r="K1332" s="2">
        <v>0</v>
      </c>
      <c r="L1332" s="8">
        <f t="shared" si="2167"/>
        <v>0.5</v>
      </c>
      <c r="M1332" s="8">
        <f t="shared" si="2168"/>
        <v>2500</v>
      </c>
    </row>
    <row r="1333" spans="1:13" ht="15.75" customHeight="1" x14ac:dyDescent="0.25">
      <c r="A1333" s="24">
        <v>43664</v>
      </c>
      <c r="B1333" s="9" t="s">
        <v>14</v>
      </c>
      <c r="C1333" s="9">
        <v>30</v>
      </c>
      <c r="D1333" s="9" t="s">
        <v>10</v>
      </c>
      <c r="E1333" s="19">
        <v>40520</v>
      </c>
      <c r="F1333" s="19">
        <v>40320</v>
      </c>
      <c r="G1333" s="19">
        <v>0</v>
      </c>
      <c r="H1333" s="15">
        <v>0</v>
      </c>
      <c r="I1333" s="8">
        <f t="shared" si="2166"/>
        <v>-6000</v>
      </c>
      <c r="J1333" s="8">
        <v>0</v>
      </c>
      <c r="K1333" s="2">
        <v>0</v>
      </c>
      <c r="L1333" s="8">
        <f t="shared" si="2167"/>
        <v>-200</v>
      </c>
      <c r="M1333" s="8">
        <f t="shared" si="2168"/>
        <v>-6000</v>
      </c>
    </row>
    <row r="1334" spans="1:13" ht="15.75" customHeight="1" x14ac:dyDescent="0.25">
      <c r="A1334" s="24">
        <v>43664</v>
      </c>
      <c r="B1334" s="9" t="s">
        <v>17</v>
      </c>
      <c r="C1334" s="9">
        <v>5000</v>
      </c>
      <c r="D1334" s="9" t="s">
        <v>10</v>
      </c>
      <c r="E1334" s="19">
        <v>195.9</v>
      </c>
      <c r="F1334" s="19">
        <v>195.1</v>
      </c>
      <c r="G1334" s="19">
        <v>0</v>
      </c>
      <c r="H1334" s="15">
        <v>0</v>
      </c>
      <c r="I1334" s="8">
        <f t="shared" si="2166"/>
        <v>-4000.0000000000568</v>
      </c>
      <c r="J1334" s="8">
        <v>0</v>
      </c>
      <c r="K1334" s="2">
        <v>0</v>
      </c>
      <c r="L1334" s="8">
        <f t="shared" si="2167"/>
        <v>-0.80000000000001137</v>
      </c>
      <c r="M1334" s="8">
        <f t="shared" si="2168"/>
        <v>-4000.0000000000568</v>
      </c>
    </row>
    <row r="1335" spans="1:13" ht="15.75" customHeight="1" x14ac:dyDescent="0.25">
      <c r="A1335" s="24">
        <v>43663</v>
      </c>
      <c r="B1335" s="9" t="s">
        <v>21</v>
      </c>
      <c r="C1335" s="9">
        <v>250</v>
      </c>
      <c r="D1335" s="9" t="s">
        <v>10</v>
      </c>
      <c r="E1335" s="19">
        <v>969</v>
      </c>
      <c r="F1335" s="19">
        <v>973</v>
      </c>
      <c r="G1335" s="19">
        <v>979</v>
      </c>
      <c r="H1335" s="15">
        <v>0</v>
      </c>
      <c r="I1335" s="8">
        <f t="shared" si="2166"/>
        <v>1000</v>
      </c>
      <c r="J1335" s="8">
        <f>C1335*6</f>
        <v>1500</v>
      </c>
      <c r="K1335" s="2">
        <v>0</v>
      </c>
      <c r="L1335" s="8">
        <f t="shared" si="2167"/>
        <v>10</v>
      </c>
      <c r="M1335" s="8">
        <f t="shared" si="2168"/>
        <v>2500</v>
      </c>
    </row>
    <row r="1336" spans="1:13" ht="15.75" customHeight="1" x14ac:dyDescent="0.25">
      <c r="A1336" s="24">
        <v>43663</v>
      </c>
      <c r="B1336" s="9" t="s">
        <v>19</v>
      </c>
      <c r="C1336" s="9">
        <v>100</v>
      </c>
      <c r="D1336" s="9" t="s">
        <v>11</v>
      </c>
      <c r="E1336" s="19">
        <v>30840</v>
      </c>
      <c r="F1336" s="19">
        <v>30900</v>
      </c>
      <c r="G1336" s="19">
        <v>0</v>
      </c>
      <c r="H1336" s="15">
        <v>0</v>
      </c>
      <c r="I1336" s="8">
        <f t="shared" si="2166"/>
        <v>-6000</v>
      </c>
      <c r="J1336" s="8">
        <v>0</v>
      </c>
      <c r="K1336" s="2">
        <v>0</v>
      </c>
      <c r="L1336" s="8">
        <f t="shared" si="2167"/>
        <v>-60</v>
      </c>
      <c r="M1336" s="8">
        <f t="shared" si="2168"/>
        <v>-6000</v>
      </c>
    </row>
    <row r="1337" spans="1:13" ht="15.75" customHeight="1" x14ac:dyDescent="0.25">
      <c r="A1337" s="24">
        <v>43663</v>
      </c>
      <c r="B1337" s="9" t="s">
        <v>34</v>
      </c>
      <c r="C1337" s="9">
        <v>100</v>
      </c>
      <c r="D1337" s="9" t="s">
        <v>10</v>
      </c>
      <c r="E1337" s="19">
        <v>4005</v>
      </c>
      <c r="F1337" s="19">
        <v>3970</v>
      </c>
      <c r="G1337" s="19">
        <v>0</v>
      </c>
      <c r="H1337" s="15">
        <v>0</v>
      </c>
      <c r="I1337" s="8">
        <f t="shared" si="2166"/>
        <v>-3500</v>
      </c>
      <c r="J1337" s="8">
        <v>0</v>
      </c>
      <c r="K1337" s="2">
        <v>0</v>
      </c>
      <c r="L1337" s="8">
        <f t="shared" si="2167"/>
        <v>-35</v>
      </c>
      <c r="M1337" s="8">
        <f t="shared" si="2168"/>
        <v>-3500</v>
      </c>
    </row>
    <row r="1338" spans="1:13" ht="15.75" customHeight="1" x14ac:dyDescent="0.25">
      <c r="A1338" s="24">
        <v>43662</v>
      </c>
      <c r="B1338" s="9" t="s">
        <v>18</v>
      </c>
      <c r="C1338" s="9">
        <v>1000</v>
      </c>
      <c r="D1338" s="9" t="s">
        <v>10</v>
      </c>
      <c r="E1338" s="19">
        <v>446.2</v>
      </c>
      <c r="F1338" s="19">
        <v>448</v>
      </c>
      <c r="G1338" s="19">
        <v>0</v>
      </c>
      <c r="H1338" s="15">
        <v>0</v>
      </c>
      <c r="I1338" s="8">
        <f t="shared" si="2166"/>
        <v>1800.0000000000114</v>
      </c>
      <c r="J1338" s="8">
        <v>0</v>
      </c>
      <c r="K1338" s="2">
        <v>0</v>
      </c>
      <c r="L1338" s="8">
        <f t="shared" si="2167"/>
        <v>1.8000000000000114</v>
      </c>
      <c r="M1338" s="8">
        <f t="shared" si="2168"/>
        <v>1800.0000000000114</v>
      </c>
    </row>
    <row r="1339" spans="1:13" ht="15.75" customHeight="1" x14ac:dyDescent="0.25">
      <c r="A1339" s="24">
        <v>43662</v>
      </c>
      <c r="B1339" s="9" t="s">
        <v>17</v>
      </c>
      <c r="C1339" s="9">
        <v>5000</v>
      </c>
      <c r="D1339" s="9" t="s">
        <v>10</v>
      </c>
      <c r="E1339" s="19">
        <v>194</v>
      </c>
      <c r="F1339" s="19">
        <v>194.5</v>
      </c>
      <c r="G1339" s="19">
        <v>0</v>
      </c>
      <c r="H1339" s="15">
        <v>0</v>
      </c>
      <c r="I1339" s="8">
        <f t="shared" si="2166"/>
        <v>2500</v>
      </c>
      <c r="J1339" s="8">
        <v>0</v>
      </c>
      <c r="K1339" s="2">
        <v>0</v>
      </c>
      <c r="L1339" s="8">
        <f t="shared" si="2167"/>
        <v>0.5</v>
      </c>
      <c r="M1339" s="8">
        <f t="shared" si="2168"/>
        <v>2500</v>
      </c>
    </row>
    <row r="1340" spans="1:13" ht="15.75" customHeight="1" x14ac:dyDescent="0.25">
      <c r="A1340" s="24">
        <v>43661</v>
      </c>
      <c r="B1340" s="9" t="s">
        <v>64</v>
      </c>
      <c r="C1340" s="9">
        <v>100</v>
      </c>
      <c r="D1340" s="9" t="s">
        <v>10</v>
      </c>
      <c r="E1340" s="19">
        <v>4146</v>
      </c>
      <c r="F1340" s="19">
        <v>4165</v>
      </c>
      <c r="G1340" s="19">
        <v>0</v>
      </c>
      <c r="H1340" s="15">
        <v>0</v>
      </c>
      <c r="I1340" s="8">
        <f t="shared" si="2166"/>
        <v>1900</v>
      </c>
      <c r="J1340" s="8">
        <v>0</v>
      </c>
      <c r="K1340" s="2">
        <v>0</v>
      </c>
      <c r="L1340" s="8">
        <f t="shared" si="2167"/>
        <v>19</v>
      </c>
      <c r="M1340" s="8">
        <f t="shared" si="2168"/>
        <v>1900</v>
      </c>
    </row>
    <row r="1341" spans="1:13" ht="15.75" customHeight="1" x14ac:dyDescent="0.25">
      <c r="A1341" s="24">
        <v>43658</v>
      </c>
      <c r="B1341" s="9" t="s">
        <v>19</v>
      </c>
      <c r="C1341" s="9">
        <v>100</v>
      </c>
      <c r="D1341" s="9" t="s">
        <v>11</v>
      </c>
      <c r="E1341" s="19">
        <v>34750</v>
      </c>
      <c r="F1341" s="19">
        <v>34708</v>
      </c>
      <c r="G1341" s="19">
        <v>0</v>
      </c>
      <c r="H1341" s="15">
        <v>0</v>
      </c>
      <c r="I1341" s="8">
        <f t="shared" si="2166"/>
        <v>4200</v>
      </c>
      <c r="J1341" s="8">
        <v>0</v>
      </c>
      <c r="K1341" s="2">
        <v>0</v>
      </c>
      <c r="L1341" s="8">
        <f t="shared" si="2167"/>
        <v>42</v>
      </c>
      <c r="M1341" s="8">
        <f t="shared" si="2168"/>
        <v>4200</v>
      </c>
    </row>
    <row r="1342" spans="1:13" ht="15.75" customHeight="1" x14ac:dyDescent="0.25">
      <c r="A1342" s="24">
        <v>43658</v>
      </c>
      <c r="B1342" s="9" t="s">
        <v>17</v>
      </c>
      <c r="C1342" s="9">
        <v>5000</v>
      </c>
      <c r="D1342" s="9" t="s">
        <v>11</v>
      </c>
      <c r="E1342" s="19">
        <v>192.4</v>
      </c>
      <c r="F1342" s="19">
        <v>193</v>
      </c>
      <c r="G1342" s="19">
        <v>0</v>
      </c>
      <c r="H1342" s="15">
        <v>0</v>
      </c>
      <c r="I1342" s="8">
        <f t="shared" si="2166"/>
        <v>-2999.9999999999718</v>
      </c>
      <c r="J1342" s="8">
        <v>0</v>
      </c>
      <c r="K1342" s="2">
        <v>0</v>
      </c>
      <c r="L1342" s="8">
        <f t="shared" si="2167"/>
        <v>-0.59999999999999432</v>
      </c>
      <c r="M1342" s="8">
        <f t="shared" si="2168"/>
        <v>-2999.9999999999718</v>
      </c>
    </row>
    <row r="1343" spans="1:13" ht="15.75" customHeight="1" x14ac:dyDescent="0.25">
      <c r="A1343" s="24">
        <v>43657</v>
      </c>
      <c r="B1343" s="9" t="s">
        <v>18</v>
      </c>
      <c r="C1343" s="9">
        <v>2500</v>
      </c>
      <c r="D1343" s="9" t="s">
        <v>10</v>
      </c>
      <c r="E1343" s="19">
        <v>439.8</v>
      </c>
      <c r="F1343" s="19">
        <v>441.3</v>
      </c>
      <c r="G1343" s="19">
        <v>0</v>
      </c>
      <c r="H1343" s="15">
        <v>0</v>
      </c>
      <c r="I1343" s="8">
        <f t="shared" ref="I1343:I1408" si="2169">(IF(D1343="SELL",E1343-F1343,IF(D1343="BUY",F1343-E1343)))*C1343</f>
        <v>3750</v>
      </c>
      <c r="J1343" s="8">
        <v>0</v>
      </c>
      <c r="K1343" s="2">
        <v>0</v>
      </c>
      <c r="L1343" s="8">
        <f t="shared" ref="L1343:L1406" si="2170">(J1343+I1343+K1343)/C1343</f>
        <v>1.5</v>
      </c>
      <c r="M1343" s="8">
        <f t="shared" ref="M1343:M1406" si="2171">L1343*C1343</f>
        <v>3750</v>
      </c>
    </row>
    <row r="1344" spans="1:13" ht="15.75" customHeight="1" x14ac:dyDescent="0.25">
      <c r="A1344" s="24">
        <v>43657</v>
      </c>
      <c r="B1344" s="9" t="s">
        <v>19</v>
      </c>
      <c r="C1344" s="9">
        <v>100</v>
      </c>
      <c r="D1344" s="9" t="s">
        <v>11</v>
      </c>
      <c r="E1344" s="19">
        <v>35080</v>
      </c>
      <c r="F1344" s="19">
        <v>35030</v>
      </c>
      <c r="G1344" s="19">
        <v>0</v>
      </c>
      <c r="H1344" s="15">
        <v>0</v>
      </c>
      <c r="I1344" s="8">
        <f t="shared" si="2169"/>
        <v>5000</v>
      </c>
      <c r="J1344" s="8">
        <v>0</v>
      </c>
      <c r="K1344" s="2">
        <v>0</v>
      </c>
      <c r="L1344" s="8">
        <f t="shared" si="2170"/>
        <v>50</v>
      </c>
      <c r="M1344" s="8">
        <f t="shared" si="2171"/>
        <v>5000</v>
      </c>
    </row>
    <row r="1345" spans="1:13" ht="15.75" customHeight="1" x14ac:dyDescent="0.25">
      <c r="A1345" s="24">
        <v>43656</v>
      </c>
      <c r="B1345" s="9" t="s">
        <v>15</v>
      </c>
      <c r="C1345" s="9">
        <v>5000</v>
      </c>
      <c r="D1345" s="9" t="s">
        <v>10</v>
      </c>
      <c r="E1345" s="19">
        <v>155.6</v>
      </c>
      <c r="F1345" s="19">
        <v>156.1</v>
      </c>
      <c r="G1345" s="19">
        <v>0</v>
      </c>
      <c r="H1345" s="15">
        <v>0</v>
      </c>
      <c r="I1345" s="8">
        <f t="shared" si="2169"/>
        <v>2500</v>
      </c>
      <c r="J1345" s="8">
        <v>0</v>
      </c>
      <c r="K1345" s="2">
        <v>0</v>
      </c>
      <c r="L1345" s="8">
        <f t="shared" si="2170"/>
        <v>0.5</v>
      </c>
      <c r="M1345" s="8">
        <f t="shared" si="2171"/>
        <v>2500</v>
      </c>
    </row>
    <row r="1346" spans="1:13" ht="15.75" customHeight="1" x14ac:dyDescent="0.25">
      <c r="A1346" s="24">
        <v>43656</v>
      </c>
      <c r="B1346" s="9" t="s">
        <v>34</v>
      </c>
      <c r="C1346" s="9">
        <v>100</v>
      </c>
      <c r="D1346" s="9" t="s">
        <v>11</v>
      </c>
      <c r="E1346" s="19">
        <v>4023</v>
      </c>
      <c r="F1346" s="19">
        <v>4053</v>
      </c>
      <c r="G1346" s="19">
        <v>0</v>
      </c>
      <c r="H1346" s="15">
        <v>0</v>
      </c>
      <c r="I1346" s="8">
        <f t="shared" si="2169"/>
        <v>-3000</v>
      </c>
      <c r="J1346" s="8">
        <v>0</v>
      </c>
      <c r="K1346" s="2">
        <v>0</v>
      </c>
      <c r="L1346" s="8">
        <f t="shared" si="2170"/>
        <v>-30</v>
      </c>
      <c r="M1346" s="8">
        <f t="shared" si="2171"/>
        <v>-3000</v>
      </c>
    </row>
    <row r="1347" spans="1:13" ht="15.75" customHeight="1" x14ac:dyDescent="0.25">
      <c r="A1347" s="24">
        <v>43655</v>
      </c>
      <c r="B1347" s="9" t="s">
        <v>14</v>
      </c>
      <c r="C1347" s="9">
        <v>30</v>
      </c>
      <c r="D1347" s="9" t="s">
        <v>11</v>
      </c>
      <c r="E1347" s="19">
        <v>37900</v>
      </c>
      <c r="F1347" s="19">
        <v>38080</v>
      </c>
      <c r="G1347" s="19">
        <v>0</v>
      </c>
      <c r="H1347" s="15">
        <v>0</v>
      </c>
      <c r="I1347" s="8">
        <f t="shared" si="2169"/>
        <v>-5400</v>
      </c>
      <c r="J1347" s="8">
        <v>0</v>
      </c>
      <c r="K1347" s="2">
        <v>0</v>
      </c>
      <c r="L1347" s="8">
        <f t="shared" si="2170"/>
        <v>-180</v>
      </c>
      <c r="M1347" s="8">
        <f t="shared" si="2171"/>
        <v>-5400</v>
      </c>
    </row>
    <row r="1348" spans="1:13" ht="15.75" customHeight="1" x14ac:dyDescent="0.25">
      <c r="A1348" s="24">
        <v>43655</v>
      </c>
      <c r="B1348" s="9" t="s">
        <v>34</v>
      </c>
      <c r="C1348" s="9">
        <v>100</v>
      </c>
      <c r="D1348" s="9" t="s">
        <v>11</v>
      </c>
      <c r="E1348" s="19">
        <v>3955</v>
      </c>
      <c r="F1348" s="19">
        <v>3985</v>
      </c>
      <c r="G1348" s="19">
        <v>0</v>
      </c>
      <c r="H1348" s="15">
        <v>0</v>
      </c>
      <c r="I1348" s="8">
        <f t="shared" si="2169"/>
        <v>-3000</v>
      </c>
      <c r="J1348" s="8">
        <v>0</v>
      </c>
      <c r="K1348" s="2">
        <v>0</v>
      </c>
      <c r="L1348" s="8">
        <f t="shared" si="2170"/>
        <v>-30</v>
      </c>
      <c r="M1348" s="8">
        <f t="shared" si="2171"/>
        <v>-3000</v>
      </c>
    </row>
    <row r="1349" spans="1:13" ht="15.75" customHeight="1" x14ac:dyDescent="0.25">
      <c r="A1349" s="24">
        <v>43655</v>
      </c>
      <c r="B1349" s="9" t="s">
        <v>19</v>
      </c>
      <c r="C1349" s="9">
        <v>100</v>
      </c>
      <c r="D1349" s="9" t="s">
        <v>10</v>
      </c>
      <c r="E1349" s="19">
        <v>34590</v>
      </c>
      <c r="F1349" s="19">
        <v>34530</v>
      </c>
      <c r="G1349" s="19">
        <v>0</v>
      </c>
      <c r="H1349" s="15">
        <v>0</v>
      </c>
      <c r="I1349" s="8">
        <f t="shared" si="2169"/>
        <v>-6000</v>
      </c>
      <c r="J1349" s="8">
        <v>0</v>
      </c>
      <c r="K1349" s="2">
        <v>0</v>
      </c>
      <c r="L1349" s="8">
        <f t="shared" si="2170"/>
        <v>-60</v>
      </c>
      <c r="M1349" s="8">
        <f t="shared" si="2171"/>
        <v>-6000</v>
      </c>
    </row>
    <row r="1350" spans="1:13" ht="15.75" customHeight="1" x14ac:dyDescent="0.25">
      <c r="A1350" s="24">
        <v>43654</v>
      </c>
      <c r="B1350" s="9" t="s">
        <v>19</v>
      </c>
      <c r="C1350" s="9">
        <v>100</v>
      </c>
      <c r="D1350" s="9" t="s">
        <v>10</v>
      </c>
      <c r="E1350" s="19">
        <v>34640</v>
      </c>
      <c r="F1350" s="19">
        <v>34690</v>
      </c>
      <c r="G1350" s="19">
        <v>34770</v>
      </c>
      <c r="H1350" s="15">
        <v>0</v>
      </c>
      <c r="I1350" s="8">
        <f t="shared" si="2169"/>
        <v>5000</v>
      </c>
      <c r="J1350" s="8">
        <f>C1350*80</f>
        <v>8000</v>
      </c>
      <c r="K1350" s="2">
        <v>0</v>
      </c>
      <c r="L1350" s="8">
        <f t="shared" si="2170"/>
        <v>130</v>
      </c>
      <c r="M1350" s="8">
        <f t="shared" si="2171"/>
        <v>13000</v>
      </c>
    </row>
    <row r="1351" spans="1:13" ht="15.75" customHeight="1" x14ac:dyDescent="0.25">
      <c r="A1351" s="24">
        <v>43654</v>
      </c>
      <c r="B1351" s="9" t="s">
        <v>17</v>
      </c>
      <c r="C1351" s="9">
        <v>5000</v>
      </c>
      <c r="D1351" s="9" t="s">
        <v>11</v>
      </c>
      <c r="E1351" s="19">
        <v>193</v>
      </c>
      <c r="F1351" s="19">
        <v>192.5</v>
      </c>
      <c r="G1351" s="19">
        <v>0</v>
      </c>
      <c r="H1351" s="15">
        <v>0</v>
      </c>
      <c r="I1351" s="8">
        <f t="shared" si="2169"/>
        <v>2500</v>
      </c>
      <c r="J1351" s="8">
        <v>0</v>
      </c>
      <c r="K1351" s="2">
        <v>0</v>
      </c>
      <c r="L1351" s="8">
        <f t="shared" si="2170"/>
        <v>0.5</v>
      </c>
      <c r="M1351" s="8">
        <f t="shared" si="2171"/>
        <v>2500</v>
      </c>
    </row>
    <row r="1352" spans="1:13" ht="15.75" customHeight="1" x14ac:dyDescent="0.25">
      <c r="A1352" s="24">
        <v>43654</v>
      </c>
      <c r="B1352" s="9" t="s">
        <v>34</v>
      </c>
      <c r="C1352" s="9">
        <v>100</v>
      </c>
      <c r="D1352" s="9" t="s">
        <v>11</v>
      </c>
      <c r="E1352" s="19">
        <v>3948</v>
      </c>
      <c r="F1352" s="19">
        <v>3978</v>
      </c>
      <c r="G1352" s="19">
        <v>0</v>
      </c>
      <c r="H1352" s="15">
        <v>0</v>
      </c>
      <c r="I1352" s="8">
        <f t="shared" si="2169"/>
        <v>-3000</v>
      </c>
      <c r="J1352" s="8">
        <v>0</v>
      </c>
      <c r="K1352" s="2">
        <v>0</v>
      </c>
      <c r="L1352" s="8">
        <f t="shared" si="2170"/>
        <v>-30</v>
      </c>
      <c r="M1352" s="8">
        <f t="shared" si="2171"/>
        <v>-3000</v>
      </c>
    </row>
    <row r="1353" spans="1:13" ht="15.75" customHeight="1" x14ac:dyDescent="0.25">
      <c r="A1353" s="24">
        <v>43651</v>
      </c>
      <c r="B1353" s="9" t="s">
        <v>19</v>
      </c>
      <c r="C1353" s="9">
        <v>100</v>
      </c>
      <c r="D1353" s="9" t="s">
        <v>10</v>
      </c>
      <c r="E1353" s="19">
        <v>34315</v>
      </c>
      <c r="F1353" s="19">
        <v>34365</v>
      </c>
      <c r="G1353" s="19">
        <v>34450</v>
      </c>
      <c r="H1353" s="15">
        <v>0</v>
      </c>
      <c r="I1353" s="8">
        <f t="shared" si="2169"/>
        <v>5000</v>
      </c>
      <c r="J1353" s="8">
        <f>C1353*85</f>
        <v>8500</v>
      </c>
      <c r="K1353" s="2">
        <v>0</v>
      </c>
      <c r="L1353" s="8">
        <f t="shared" si="2170"/>
        <v>135</v>
      </c>
      <c r="M1353" s="8">
        <f t="shared" si="2171"/>
        <v>13500</v>
      </c>
    </row>
    <row r="1354" spans="1:13" ht="15.75" customHeight="1" x14ac:dyDescent="0.25">
      <c r="A1354" s="24">
        <v>43650</v>
      </c>
      <c r="B1354" s="9" t="s">
        <v>17</v>
      </c>
      <c r="C1354" s="9">
        <v>5000</v>
      </c>
      <c r="D1354" s="9" t="s">
        <v>11</v>
      </c>
      <c r="E1354" s="19">
        <v>197.05</v>
      </c>
      <c r="F1354" s="19">
        <v>196.55</v>
      </c>
      <c r="G1354" s="19">
        <v>195.5</v>
      </c>
      <c r="H1354" s="15">
        <v>0</v>
      </c>
      <c r="I1354" s="8">
        <f t="shared" si="2169"/>
        <v>2500</v>
      </c>
      <c r="J1354" s="8">
        <f>C1354*1.05</f>
        <v>5250</v>
      </c>
      <c r="K1354" s="2">
        <v>0</v>
      </c>
      <c r="L1354" s="8">
        <f t="shared" si="2170"/>
        <v>1.55</v>
      </c>
      <c r="M1354" s="8">
        <f t="shared" si="2171"/>
        <v>7750</v>
      </c>
    </row>
    <row r="1355" spans="1:13" ht="15.75" customHeight="1" x14ac:dyDescent="0.25">
      <c r="A1355" s="24">
        <v>43650</v>
      </c>
      <c r="B1355" s="9" t="s">
        <v>34</v>
      </c>
      <c r="C1355" s="9">
        <v>100</v>
      </c>
      <c r="D1355" s="9" t="s">
        <v>10</v>
      </c>
      <c r="E1355" s="19">
        <v>3915</v>
      </c>
      <c r="F1355" s="19">
        <v>3935</v>
      </c>
      <c r="G1355" s="19">
        <v>0</v>
      </c>
      <c r="H1355" s="15">
        <v>0</v>
      </c>
      <c r="I1355" s="8">
        <f t="shared" si="2169"/>
        <v>2000</v>
      </c>
      <c r="J1355" s="8">
        <v>0</v>
      </c>
      <c r="K1355" s="2">
        <v>0</v>
      </c>
      <c r="L1355" s="8">
        <f t="shared" si="2170"/>
        <v>20</v>
      </c>
      <c r="M1355" s="8">
        <f t="shared" si="2171"/>
        <v>2000</v>
      </c>
    </row>
    <row r="1356" spans="1:13" ht="15.75" customHeight="1" x14ac:dyDescent="0.25">
      <c r="A1356" s="24">
        <v>43650</v>
      </c>
      <c r="B1356" s="9" t="s">
        <v>19</v>
      </c>
      <c r="C1356" s="9">
        <v>100</v>
      </c>
      <c r="D1356" s="9" t="s">
        <v>11</v>
      </c>
      <c r="E1356" s="19">
        <v>34250</v>
      </c>
      <c r="F1356" s="19">
        <v>34200</v>
      </c>
      <c r="G1356" s="19">
        <v>0</v>
      </c>
      <c r="H1356" s="15">
        <v>0</v>
      </c>
      <c r="I1356" s="8">
        <f t="shared" si="2169"/>
        <v>5000</v>
      </c>
      <c r="J1356" s="8">
        <v>0</v>
      </c>
      <c r="K1356" s="2">
        <v>0</v>
      </c>
      <c r="L1356" s="8">
        <f t="shared" si="2170"/>
        <v>50</v>
      </c>
      <c r="M1356" s="8">
        <f t="shared" si="2171"/>
        <v>5000</v>
      </c>
    </row>
    <row r="1357" spans="1:13" ht="15.75" customHeight="1" x14ac:dyDescent="0.25">
      <c r="A1357" s="24">
        <v>43649</v>
      </c>
      <c r="B1357" s="9" t="s">
        <v>19</v>
      </c>
      <c r="C1357" s="9">
        <v>100</v>
      </c>
      <c r="D1357" s="9" t="s">
        <v>10</v>
      </c>
      <c r="E1357" s="19">
        <v>34460</v>
      </c>
      <c r="F1357" s="19">
        <v>34400</v>
      </c>
      <c r="G1357" s="19">
        <v>0</v>
      </c>
      <c r="H1357" s="15">
        <v>0</v>
      </c>
      <c r="I1357" s="8">
        <f t="shared" si="2169"/>
        <v>-6000</v>
      </c>
      <c r="J1357" s="8">
        <v>0</v>
      </c>
      <c r="K1357" s="2">
        <v>0</v>
      </c>
      <c r="L1357" s="8">
        <f t="shared" si="2170"/>
        <v>-60</v>
      </c>
      <c r="M1357" s="8">
        <f t="shared" si="2171"/>
        <v>-6000</v>
      </c>
    </row>
    <row r="1358" spans="1:13" ht="15.75" customHeight="1" x14ac:dyDescent="0.25">
      <c r="A1358" s="24">
        <v>43648</v>
      </c>
      <c r="B1358" s="9" t="s">
        <v>19</v>
      </c>
      <c r="C1358" s="9">
        <v>100</v>
      </c>
      <c r="D1358" s="9" t="s">
        <v>11</v>
      </c>
      <c r="E1358" s="19">
        <v>33780</v>
      </c>
      <c r="F1358" s="19">
        <v>33720</v>
      </c>
      <c r="G1358" s="19">
        <v>0</v>
      </c>
      <c r="H1358" s="15">
        <v>0</v>
      </c>
      <c r="I1358" s="8">
        <f t="shared" si="2169"/>
        <v>6000</v>
      </c>
      <c r="J1358" s="8">
        <v>0</v>
      </c>
      <c r="K1358" s="2">
        <v>0</v>
      </c>
      <c r="L1358" s="8">
        <f t="shared" si="2170"/>
        <v>60</v>
      </c>
      <c r="M1358" s="8">
        <f t="shared" si="2171"/>
        <v>6000</v>
      </c>
    </row>
    <row r="1359" spans="1:13" ht="15.75" customHeight="1" x14ac:dyDescent="0.25">
      <c r="A1359" s="24">
        <v>43648</v>
      </c>
      <c r="B1359" s="9" t="s">
        <v>17</v>
      </c>
      <c r="C1359" s="9">
        <v>5000</v>
      </c>
      <c r="D1359" s="9" t="s">
        <v>11</v>
      </c>
      <c r="E1359" s="19">
        <v>198</v>
      </c>
      <c r="F1359" s="19">
        <v>198.7</v>
      </c>
      <c r="G1359" s="19">
        <v>0</v>
      </c>
      <c r="H1359" s="15">
        <v>0</v>
      </c>
      <c r="I1359" s="8">
        <f t="shared" si="2169"/>
        <v>-3499.9999999999432</v>
      </c>
      <c r="J1359" s="8">
        <v>0</v>
      </c>
      <c r="K1359" s="2">
        <v>0</v>
      </c>
      <c r="L1359" s="8">
        <f t="shared" si="2170"/>
        <v>-0.69999999999998863</v>
      </c>
      <c r="M1359" s="8">
        <f t="shared" si="2171"/>
        <v>-3499.9999999999432</v>
      </c>
    </row>
    <row r="1360" spans="1:13" ht="15.75" customHeight="1" x14ac:dyDescent="0.25">
      <c r="A1360" s="24">
        <v>43648</v>
      </c>
      <c r="B1360" s="9" t="s">
        <v>34</v>
      </c>
      <c r="C1360" s="9">
        <v>100</v>
      </c>
      <c r="D1360" s="9" t="s">
        <v>11</v>
      </c>
      <c r="E1360" s="19">
        <v>4064</v>
      </c>
      <c r="F1360" s="19">
        <v>4044</v>
      </c>
      <c r="G1360" s="19">
        <v>0</v>
      </c>
      <c r="H1360" s="15">
        <v>0</v>
      </c>
      <c r="I1360" s="8">
        <f t="shared" si="2169"/>
        <v>2000</v>
      </c>
      <c r="J1360" s="8">
        <v>0</v>
      </c>
      <c r="K1360" s="2">
        <v>0</v>
      </c>
      <c r="L1360" s="8">
        <f t="shared" si="2170"/>
        <v>20</v>
      </c>
      <c r="M1360" s="8">
        <f t="shared" si="2171"/>
        <v>2000</v>
      </c>
    </row>
    <row r="1361" spans="1:13" ht="15.75" customHeight="1" x14ac:dyDescent="0.25">
      <c r="A1361" s="24">
        <v>43648</v>
      </c>
      <c r="B1361" s="9" t="s">
        <v>17</v>
      </c>
      <c r="C1361" s="9">
        <v>5000</v>
      </c>
      <c r="D1361" s="9" t="s">
        <v>10</v>
      </c>
      <c r="E1361" s="19">
        <v>198.7</v>
      </c>
      <c r="F1361" s="19">
        <v>197.6</v>
      </c>
      <c r="G1361" s="19">
        <v>0</v>
      </c>
      <c r="H1361" s="15">
        <v>0</v>
      </c>
      <c r="I1361" s="8">
        <f t="shared" si="2169"/>
        <v>-5499.9999999999718</v>
      </c>
      <c r="J1361" s="8">
        <v>0</v>
      </c>
      <c r="K1361" s="2">
        <v>0</v>
      </c>
      <c r="L1361" s="8">
        <f t="shared" si="2170"/>
        <v>-1.0999999999999943</v>
      </c>
      <c r="M1361" s="8">
        <f t="shared" si="2171"/>
        <v>-5499.9999999999718</v>
      </c>
    </row>
    <row r="1362" spans="1:13" ht="15.75" customHeight="1" x14ac:dyDescent="0.25">
      <c r="A1362" s="24">
        <v>43647</v>
      </c>
      <c r="B1362" s="9" t="s">
        <v>19</v>
      </c>
      <c r="C1362" s="9">
        <v>100</v>
      </c>
      <c r="D1362" s="9" t="s">
        <v>11</v>
      </c>
      <c r="E1362" s="19">
        <v>33700</v>
      </c>
      <c r="F1362" s="19">
        <v>33650</v>
      </c>
      <c r="G1362" s="19">
        <v>0</v>
      </c>
      <c r="H1362" s="15">
        <v>0</v>
      </c>
      <c r="I1362" s="8">
        <f t="shared" si="2169"/>
        <v>5000</v>
      </c>
      <c r="J1362" s="8">
        <v>0</v>
      </c>
      <c r="K1362" s="2">
        <v>0</v>
      </c>
      <c r="L1362" s="8">
        <f t="shared" si="2170"/>
        <v>50</v>
      </c>
      <c r="M1362" s="8">
        <f t="shared" si="2171"/>
        <v>5000</v>
      </c>
    </row>
    <row r="1363" spans="1:13" ht="15.75" customHeight="1" x14ac:dyDescent="0.25">
      <c r="A1363" s="24">
        <v>43647</v>
      </c>
      <c r="B1363" s="9" t="s">
        <v>17</v>
      </c>
      <c r="C1363" s="9">
        <v>5000</v>
      </c>
      <c r="D1363" s="9" t="s">
        <v>11</v>
      </c>
      <c r="E1363" s="19">
        <v>201.7</v>
      </c>
      <c r="F1363" s="19">
        <v>201.2</v>
      </c>
      <c r="G1363" s="19">
        <v>0</v>
      </c>
      <c r="H1363" s="15">
        <v>0</v>
      </c>
      <c r="I1363" s="8">
        <f t="shared" si="2169"/>
        <v>2500</v>
      </c>
      <c r="J1363" s="8">
        <v>0</v>
      </c>
      <c r="K1363" s="2">
        <v>0</v>
      </c>
      <c r="L1363" s="8">
        <f t="shared" si="2170"/>
        <v>0.5</v>
      </c>
      <c r="M1363" s="8">
        <f t="shared" si="2171"/>
        <v>2500</v>
      </c>
    </row>
    <row r="1364" spans="1:13" ht="15.75" customHeight="1" x14ac:dyDescent="0.25">
      <c r="A1364" s="24">
        <v>43647</v>
      </c>
      <c r="B1364" s="9" t="s">
        <v>34</v>
      </c>
      <c r="C1364" s="9">
        <v>100</v>
      </c>
      <c r="D1364" s="9" t="s">
        <v>10</v>
      </c>
      <c r="E1364" s="19">
        <v>4134</v>
      </c>
      <c r="F1364" s="19">
        <v>4154</v>
      </c>
      <c r="G1364" s="19">
        <v>0</v>
      </c>
      <c r="H1364" s="15">
        <v>0</v>
      </c>
      <c r="I1364" s="8">
        <f t="shared" si="2169"/>
        <v>2000</v>
      </c>
      <c r="J1364" s="8">
        <v>0</v>
      </c>
      <c r="K1364" s="2">
        <v>0</v>
      </c>
      <c r="L1364" s="8">
        <f t="shared" si="2170"/>
        <v>20</v>
      </c>
      <c r="M1364" s="8">
        <f t="shared" si="2171"/>
        <v>2000</v>
      </c>
    </row>
    <row r="1365" spans="1:13" ht="15.75" customHeight="1" x14ac:dyDescent="0.25">
      <c r="A1365" s="24">
        <v>43647</v>
      </c>
      <c r="B1365" s="9" t="s">
        <v>14</v>
      </c>
      <c r="C1365" s="9">
        <v>30</v>
      </c>
      <c r="D1365" s="9" t="s">
        <v>10</v>
      </c>
      <c r="E1365" s="19">
        <v>37900</v>
      </c>
      <c r="F1365" s="19">
        <v>38020</v>
      </c>
      <c r="G1365" s="19">
        <v>0</v>
      </c>
      <c r="H1365" s="15">
        <v>0</v>
      </c>
      <c r="I1365" s="8">
        <f t="shared" si="2169"/>
        <v>3600</v>
      </c>
      <c r="J1365" s="8">
        <v>0</v>
      </c>
      <c r="K1365" s="2">
        <v>0</v>
      </c>
      <c r="L1365" s="8">
        <f t="shared" si="2170"/>
        <v>120</v>
      </c>
      <c r="M1365" s="8">
        <f t="shared" si="2171"/>
        <v>3600</v>
      </c>
    </row>
    <row r="1366" spans="1:13" ht="15.75" customHeight="1" x14ac:dyDescent="0.25">
      <c r="A1366" s="24">
        <v>43644</v>
      </c>
      <c r="B1366" s="9" t="s">
        <v>19</v>
      </c>
      <c r="C1366" s="9">
        <v>100</v>
      </c>
      <c r="D1366" s="9" t="s">
        <v>11</v>
      </c>
      <c r="E1366" s="19">
        <v>34380</v>
      </c>
      <c r="F1366" s="19">
        <v>34330</v>
      </c>
      <c r="G1366" s="19">
        <v>34250</v>
      </c>
      <c r="H1366" s="15">
        <v>0</v>
      </c>
      <c r="I1366" s="8">
        <f t="shared" si="2169"/>
        <v>5000</v>
      </c>
      <c r="J1366" s="8">
        <f>C1366*80</f>
        <v>8000</v>
      </c>
      <c r="K1366" s="2">
        <v>0</v>
      </c>
      <c r="L1366" s="8">
        <f t="shared" si="2170"/>
        <v>130</v>
      </c>
      <c r="M1366" s="8">
        <f t="shared" si="2171"/>
        <v>13000</v>
      </c>
    </row>
    <row r="1367" spans="1:13" ht="15.75" customHeight="1" x14ac:dyDescent="0.25">
      <c r="A1367" s="24">
        <v>43644</v>
      </c>
      <c r="B1367" s="9" t="s">
        <v>34</v>
      </c>
      <c r="C1367" s="9">
        <v>100</v>
      </c>
      <c r="D1367" s="9" t="s">
        <v>10</v>
      </c>
      <c r="E1367" s="19">
        <v>4085</v>
      </c>
      <c r="F1367" s="19">
        <v>4105</v>
      </c>
      <c r="G1367" s="19">
        <v>4135</v>
      </c>
      <c r="H1367" s="15">
        <v>0</v>
      </c>
      <c r="I1367" s="8">
        <f t="shared" si="2169"/>
        <v>2000</v>
      </c>
      <c r="J1367" s="8">
        <f>C1367*30</f>
        <v>3000</v>
      </c>
      <c r="K1367" s="2">
        <v>0</v>
      </c>
      <c r="L1367" s="8">
        <f t="shared" si="2170"/>
        <v>50</v>
      </c>
      <c r="M1367" s="8">
        <f t="shared" si="2171"/>
        <v>5000</v>
      </c>
    </row>
    <row r="1368" spans="1:13" ht="15.75" customHeight="1" x14ac:dyDescent="0.25">
      <c r="A1368" s="24">
        <v>43644</v>
      </c>
      <c r="B1368" s="9" t="s">
        <v>22</v>
      </c>
      <c r="C1368" s="9">
        <v>5000</v>
      </c>
      <c r="D1368" s="9" t="s">
        <v>11</v>
      </c>
      <c r="E1368" s="19">
        <v>143.30000000000001</v>
      </c>
      <c r="F1368" s="19">
        <v>142.80000000000001</v>
      </c>
      <c r="G1368" s="19">
        <v>0</v>
      </c>
      <c r="H1368" s="15">
        <v>0</v>
      </c>
      <c r="I1368" s="8">
        <f t="shared" si="2169"/>
        <v>2500</v>
      </c>
      <c r="J1368" s="8">
        <v>0</v>
      </c>
      <c r="K1368" s="2">
        <v>0</v>
      </c>
      <c r="L1368" s="8">
        <f t="shared" si="2170"/>
        <v>0.5</v>
      </c>
      <c r="M1368" s="8">
        <f t="shared" si="2171"/>
        <v>2500</v>
      </c>
    </row>
    <row r="1369" spans="1:13" ht="15.75" customHeight="1" x14ac:dyDescent="0.25">
      <c r="A1369" s="24">
        <v>43644</v>
      </c>
      <c r="B1369" s="9" t="s">
        <v>18</v>
      </c>
      <c r="C1369" s="9">
        <v>1000</v>
      </c>
      <c r="D1369" s="9" t="s">
        <v>10</v>
      </c>
      <c r="E1369" s="19">
        <v>443.2</v>
      </c>
      <c r="F1369" s="19">
        <v>444.7</v>
      </c>
      <c r="G1369" s="19">
        <v>0</v>
      </c>
      <c r="H1369" s="15">
        <v>0</v>
      </c>
      <c r="I1369" s="8">
        <f t="shared" si="2169"/>
        <v>1500</v>
      </c>
      <c r="J1369" s="8">
        <v>0</v>
      </c>
      <c r="K1369" s="2">
        <v>0</v>
      </c>
      <c r="L1369" s="8">
        <f t="shared" si="2170"/>
        <v>1.5</v>
      </c>
      <c r="M1369" s="8">
        <f t="shared" si="2171"/>
        <v>1500</v>
      </c>
    </row>
    <row r="1370" spans="1:13" ht="15.75" customHeight="1" x14ac:dyDescent="0.25">
      <c r="A1370" s="24">
        <v>43644</v>
      </c>
      <c r="B1370" s="9" t="s">
        <v>14</v>
      </c>
      <c r="C1370" s="9">
        <v>30</v>
      </c>
      <c r="D1370" s="9" t="s">
        <v>11</v>
      </c>
      <c r="E1370" s="19">
        <v>37530</v>
      </c>
      <c r="F1370" s="19">
        <v>37410</v>
      </c>
      <c r="G1370" s="19">
        <v>0</v>
      </c>
      <c r="H1370" s="15">
        <v>0</v>
      </c>
      <c r="I1370" s="8">
        <f t="shared" si="2169"/>
        <v>3600</v>
      </c>
      <c r="J1370" s="8">
        <v>0</v>
      </c>
      <c r="K1370" s="2">
        <v>0</v>
      </c>
      <c r="L1370" s="8">
        <f t="shared" si="2170"/>
        <v>120</v>
      </c>
      <c r="M1370" s="8">
        <f t="shared" si="2171"/>
        <v>3600</v>
      </c>
    </row>
    <row r="1371" spans="1:13" ht="15.75" customHeight="1" x14ac:dyDescent="0.25">
      <c r="A1371" s="24">
        <v>43643</v>
      </c>
      <c r="B1371" s="9" t="s">
        <v>17</v>
      </c>
      <c r="C1371" s="9">
        <v>5000</v>
      </c>
      <c r="D1371" s="9" t="s">
        <v>11</v>
      </c>
      <c r="E1371" s="19">
        <v>202.2</v>
      </c>
      <c r="F1371" s="19">
        <v>201.7</v>
      </c>
      <c r="G1371" s="19">
        <v>200.7</v>
      </c>
      <c r="H1371" s="15">
        <v>0</v>
      </c>
      <c r="I1371" s="8">
        <f t="shared" si="2169"/>
        <v>2500</v>
      </c>
      <c r="J1371" s="8">
        <f>C1371*1</f>
        <v>5000</v>
      </c>
      <c r="K1371" s="2">
        <v>0</v>
      </c>
      <c r="L1371" s="8">
        <f t="shared" si="2170"/>
        <v>1.5</v>
      </c>
      <c r="M1371" s="8">
        <f t="shared" si="2171"/>
        <v>7500</v>
      </c>
    </row>
    <row r="1372" spans="1:13" ht="15.75" customHeight="1" x14ac:dyDescent="0.25">
      <c r="A1372" s="24">
        <v>43643</v>
      </c>
      <c r="B1372" s="9" t="s">
        <v>15</v>
      </c>
      <c r="C1372" s="9">
        <v>5000</v>
      </c>
      <c r="D1372" s="9" t="s">
        <v>11</v>
      </c>
      <c r="E1372" s="19">
        <v>155.30000000000001</v>
      </c>
      <c r="F1372" s="19">
        <v>154.80000000000001</v>
      </c>
      <c r="G1372" s="19">
        <v>0</v>
      </c>
      <c r="H1372" s="15">
        <v>0</v>
      </c>
      <c r="I1372" s="8">
        <f t="shared" si="2169"/>
        <v>2500</v>
      </c>
      <c r="J1372" s="8">
        <v>0</v>
      </c>
      <c r="K1372" s="2">
        <v>0</v>
      </c>
      <c r="L1372" s="8">
        <f t="shared" si="2170"/>
        <v>0.5</v>
      </c>
      <c r="M1372" s="8">
        <f t="shared" si="2171"/>
        <v>2500</v>
      </c>
    </row>
    <row r="1373" spans="1:13" ht="15.75" customHeight="1" x14ac:dyDescent="0.25">
      <c r="A1373" s="24">
        <v>43643</v>
      </c>
      <c r="B1373" s="9" t="s">
        <v>19</v>
      </c>
      <c r="C1373" s="9">
        <v>100</v>
      </c>
      <c r="D1373" s="9" t="s">
        <v>11</v>
      </c>
      <c r="E1373" s="19">
        <v>34245</v>
      </c>
      <c r="F1373" s="19">
        <v>34195</v>
      </c>
      <c r="G1373" s="19">
        <v>0</v>
      </c>
      <c r="H1373" s="15">
        <v>0</v>
      </c>
      <c r="I1373" s="8">
        <f t="shared" si="2169"/>
        <v>5000</v>
      </c>
      <c r="J1373" s="8">
        <v>0</v>
      </c>
      <c r="K1373" s="2">
        <v>0</v>
      </c>
      <c r="L1373" s="8">
        <f t="shared" si="2170"/>
        <v>50</v>
      </c>
      <c r="M1373" s="8">
        <f t="shared" si="2171"/>
        <v>5000</v>
      </c>
    </row>
    <row r="1374" spans="1:13" ht="15.75" customHeight="1" x14ac:dyDescent="0.25">
      <c r="A1374" s="24">
        <v>43643</v>
      </c>
      <c r="B1374" s="9" t="s">
        <v>34</v>
      </c>
      <c r="C1374" s="9">
        <v>100</v>
      </c>
      <c r="D1374" s="9" t="s">
        <v>10</v>
      </c>
      <c r="E1374" s="19">
        <v>4095</v>
      </c>
      <c r="F1374" s="19">
        <v>4065</v>
      </c>
      <c r="G1374" s="19">
        <v>0</v>
      </c>
      <c r="H1374" s="15">
        <v>0</v>
      </c>
      <c r="I1374" s="8">
        <f t="shared" si="2169"/>
        <v>-3000</v>
      </c>
      <c r="J1374" s="8">
        <v>0</v>
      </c>
      <c r="K1374" s="2">
        <v>0</v>
      </c>
      <c r="L1374" s="8">
        <f t="shared" si="2170"/>
        <v>-30</v>
      </c>
      <c r="M1374" s="8">
        <f t="shared" si="2171"/>
        <v>-3000</v>
      </c>
    </row>
    <row r="1375" spans="1:13" ht="15.75" customHeight="1" x14ac:dyDescent="0.25">
      <c r="A1375" s="24">
        <v>43642</v>
      </c>
      <c r="B1375" s="9" t="s">
        <v>19</v>
      </c>
      <c r="C1375" s="9">
        <v>100</v>
      </c>
      <c r="D1375" s="9" t="s">
        <v>11</v>
      </c>
      <c r="E1375" s="19">
        <v>34345</v>
      </c>
      <c r="F1375" s="19">
        <v>34295</v>
      </c>
      <c r="G1375" s="19">
        <v>34200</v>
      </c>
      <c r="H1375" s="15">
        <v>0</v>
      </c>
      <c r="I1375" s="8">
        <f t="shared" si="2169"/>
        <v>5000</v>
      </c>
      <c r="J1375" s="8">
        <f>C1375*95</f>
        <v>9500</v>
      </c>
      <c r="K1375" s="2">
        <v>0</v>
      </c>
      <c r="L1375" s="8">
        <f t="shared" si="2170"/>
        <v>145</v>
      </c>
      <c r="M1375" s="8">
        <f t="shared" si="2171"/>
        <v>14500</v>
      </c>
    </row>
    <row r="1376" spans="1:13" ht="15.75" customHeight="1" x14ac:dyDescent="0.25">
      <c r="A1376" s="24">
        <v>43642</v>
      </c>
      <c r="B1376" s="9" t="s">
        <v>34</v>
      </c>
      <c r="C1376" s="9">
        <v>100</v>
      </c>
      <c r="D1376" s="9" t="s">
        <v>11</v>
      </c>
      <c r="E1376" s="19">
        <v>4108</v>
      </c>
      <c r="F1376" s="19">
        <v>4088</v>
      </c>
      <c r="G1376" s="19">
        <v>0</v>
      </c>
      <c r="H1376" s="15">
        <v>0</v>
      </c>
      <c r="I1376" s="8">
        <f t="shared" si="2169"/>
        <v>2000</v>
      </c>
      <c r="J1376" s="8">
        <v>0</v>
      </c>
      <c r="K1376" s="2">
        <v>0</v>
      </c>
      <c r="L1376" s="8">
        <f t="shared" si="2170"/>
        <v>20</v>
      </c>
      <c r="M1376" s="8">
        <f t="shared" si="2171"/>
        <v>2000</v>
      </c>
    </row>
    <row r="1377" spans="1:13" ht="15.75" customHeight="1" x14ac:dyDescent="0.25">
      <c r="A1377" s="24">
        <v>43642</v>
      </c>
      <c r="B1377" s="9" t="s">
        <v>14</v>
      </c>
      <c r="C1377" s="9">
        <v>30</v>
      </c>
      <c r="D1377" s="9" t="s">
        <v>10</v>
      </c>
      <c r="E1377" s="19">
        <v>37780</v>
      </c>
      <c r="F1377" s="19">
        <v>37900</v>
      </c>
      <c r="G1377" s="19">
        <v>0</v>
      </c>
      <c r="H1377" s="15">
        <v>0</v>
      </c>
      <c r="I1377" s="8">
        <f t="shared" si="2169"/>
        <v>3600</v>
      </c>
      <c r="J1377" s="8">
        <v>0</v>
      </c>
      <c r="K1377" s="2">
        <v>0</v>
      </c>
      <c r="L1377" s="8">
        <f t="shared" si="2170"/>
        <v>120</v>
      </c>
      <c r="M1377" s="8">
        <f t="shared" si="2171"/>
        <v>3600</v>
      </c>
    </row>
    <row r="1378" spans="1:13" ht="15.75" customHeight="1" x14ac:dyDescent="0.25">
      <c r="A1378" s="24">
        <v>43640</v>
      </c>
      <c r="B1378" s="9" t="s">
        <v>19</v>
      </c>
      <c r="C1378" s="9">
        <v>100</v>
      </c>
      <c r="D1378" s="9" t="s">
        <v>10</v>
      </c>
      <c r="E1378" s="19">
        <v>34300</v>
      </c>
      <c r="F1378" s="19">
        <v>34350</v>
      </c>
      <c r="G1378" s="19">
        <v>0</v>
      </c>
      <c r="H1378" s="15">
        <v>0</v>
      </c>
      <c r="I1378" s="8">
        <f t="shared" si="2169"/>
        <v>5000</v>
      </c>
      <c r="J1378" s="8">
        <v>0</v>
      </c>
      <c r="K1378" s="2">
        <v>0</v>
      </c>
      <c r="L1378" s="8">
        <f t="shared" si="2170"/>
        <v>50</v>
      </c>
      <c r="M1378" s="8">
        <f t="shared" si="2171"/>
        <v>5000</v>
      </c>
    </row>
    <row r="1379" spans="1:13" ht="15.75" customHeight="1" x14ac:dyDescent="0.25">
      <c r="A1379" s="24">
        <v>43640</v>
      </c>
      <c r="B1379" s="9" t="s">
        <v>34</v>
      </c>
      <c r="C1379" s="9">
        <v>100</v>
      </c>
      <c r="D1379" s="9" t="s">
        <v>10</v>
      </c>
      <c r="E1379" s="19">
        <v>4036</v>
      </c>
      <c r="F1379" s="19">
        <v>4056</v>
      </c>
      <c r="G1379" s="19">
        <v>0</v>
      </c>
      <c r="H1379" s="15">
        <v>0</v>
      </c>
      <c r="I1379" s="8">
        <f t="shared" si="2169"/>
        <v>2000</v>
      </c>
      <c r="J1379" s="8">
        <v>0</v>
      </c>
      <c r="K1379" s="2">
        <v>0</v>
      </c>
      <c r="L1379" s="8">
        <f t="shared" si="2170"/>
        <v>20</v>
      </c>
      <c r="M1379" s="8">
        <f t="shared" si="2171"/>
        <v>2000</v>
      </c>
    </row>
    <row r="1380" spans="1:13" ht="15.75" customHeight="1" x14ac:dyDescent="0.25">
      <c r="A1380" s="24">
        <v>43640</v>
      </c>
      <c r="B1380" s="9" t="s">
        <v>17</v>
      </c>
      <c r="C1380" s="9">
        <v>5000</v>
      </c>
      <c r="D1380" s="9" t="s">
        <v>11</v>
      </c>
      <c r="E1380" s="19">
        <v>199.5</v>
      </c>
      <c r="F1380" s="19">
        <v>199</v>
      </c>
      <c r="G1380" s="19">
        <v>0</v>
      </c>
      <c r="H1380" s="15">
        <v>0</v>
      </c>
      <c r="I1380" s="8">
        <f t="shared" si="2169"/>
        <v>2500</v>
      </c>
      <c r="J1380" s="8">
        <v>0</v>
      </c>
      <c r="K1380" s="2">
        <v>0</v>
      </c>
      <c r="L1380" s="8">
        <f t="shared" si="2170"/>
        <v>0.5</v>
      </c>
      <c r="M1380" s="8">
        <f t="shared" si="2171"/>
        <v>2500</v>
      </c>
    </row>
    <row r="1381" spans="1:13" ht="15.75" customHeight="1" x14ac:dyDescent="0.25">
      <c r="A1381" s="24">
        <v>43640</v>
      </c>
      <c r="B1381" s="9" t="s">
        <v>15</v>
      </c>
      <c r="C1381" s="9">
        <v>5000</v>
      </c>
      <c r="D1381" s="9" t="s">
        <v>11</v>
      </c>
      <c r="E1381" s="19">
        <v>152.5</v>
      </c>
      <c r="F1381" s="19">
        <v>152</v>
      </c>
      <c r="G1381" s="19">
        <v>0</v>
      </c>
      <c r="H1381" s="15">
        <v>0</v>
      </c>
      <c r="I1381" s="8">
        <f t="shared" si="2169"/>
        <v>2500</v>
      </c>
      <c r="J1381" s="8">
        <v>0</v>
      </c>
      <c r="K1381" s="2">
        <v>0</v>
      </c>
      <c r="L1381" s="8">
        <f t="shared" si="2170"/>
        <v>0.5</v>
      </c>
      <c r="M1381" s="8">
        <f t="shared" si="2171"/>
        <v>2500</v>
      </c>
    </row>
    <row r="1382" spans="1:13" ht="15.75" customHeight="1" x14ac:dyDescent="0.25">
      <c r="A1382" s="24">
        <v>43637</v>
      </c>
      <c r="B1382" s="9" t="s">
        <v>19</v>
      </c>
      <c r="C1382" s="9">
        <v>100</v>
      </c>
      <c r="D1382" s="9" t="s">
        <v>11</v>
      </c>
      <c r="E1382" s="19">
        <v>34360</v>
      </c>
      <c r="F1382" s="19">
        <v>34310</v>
      </c>
      <c r="G1382" s="19">
        <v>34240</v>
      </c>
      <c r="H1382" s="15">
        <v>0</v>
      </c>
      <c r="I1382" s="8">
        <f t="shared" si="2169"/>
        <v>5000</v>
      </c>
      <c r="J1382" s="8">
        <f>C1382*70</f>
        <v>7000</v>
      </c>
      <c r="K1382" s="2">
        <v>0</v>
      </c>
      <c r="L1382" s="8">
        <f t="shared" si="2170"/>
        <v>120</v>
      </c>
      <c r="M1382" s="8">
        <f t="shared" si="2171"/>
        <v>12000</v>
      </c>
    </row>
    <row r="1383" spans="1:13" ht="15.75" customHeight="1" x14ac:dyDescent="0.25">
      <c r="A1383" s="24">
        <v>43637</v>
      </c>
      <c r="B1383" s="9" t="s">
        <v>34</v>
      </c>
      <c r="C1383" s="9">
        <v>100</v>
      </c>
      <c r="D1383" s="9" t="s">
        <v>11</v>
      </c>
      <c r="E1383" s="19">
        <v>3975</v>
      </c>
      <c r="F1383" s="19">
        <v>3960</v>
      </c>
      <c r="G1383" s="19">
        <v>0</v>
      </c>
      <c r="H1383" s="15">
        <v>0</v>
      </c>
      <c r="I1383" s="8">
        <f t="shared" si="2169"/>
        <v>1500</v>
      </c>
      <c r="J1383" s="8">
        <v>0</v>
      </c>
      <c r="K1383" s="2">
        <v>0</v>
      </c>
      <c r="L1383" s="8">
        <f t="shared" si="2170"/>
        <v>15</v>
      </c>
      <c r="M1383" s="8">
        <f t="shared" si="2171"/>
        <v>1500</v>
      </c>
    </row>
    <row r="1384" spans="1:13" ht="15.75" customHeight="1" x14ac:dyDescent="0.25">
      <c r="A1384" s="24">
        <v>43637</v>
      </c>
      <c r="B1384" s="9" t="s">
        <v>15</v>
      </c>
      <c r="C1384" s="9">
        <v>5000</v>
      </c>
      <c r="D1384" s="9" t="s">
        <v>11</v>
      </c>
      <c r="E1384" s="19">
        <v>154.4</v>
      </c>
      <c r="F1384" s="19">
        <v>153.9</v>
      </c>
      <c r="G1384" s="19">
        <v>152.9</v>
      </c>
      <c r="H1384" s="15">
        <v>0</v>
      </c>
      <c r="I1384" s="8">
        <f t="shared" si="2169"/>
        <v>2500</v>
      </c>
      <c r="J1384" s="8">
        <f>C1384*1</f>
        <v>5000</v>
      </c>
      <c r="K1384" s="2">
        <v>0</v>
      </c>
      <c r="L1384" s="8">
        <f t="shared" si="2170"/>
        <v>1.5</v>
      </c>
      <c r="M1384" s="8">
        <f t="shared" si="2171"/>
        <v>7500</v>
      </c>
    </row>
    <row r="1385" spans="1:13" ht="15.75" customHeight="1" x14ac:dyDescent="0.25">
      <c r="A1385" s="24">
        <v>43637</v>
      </c>
      <c r="B1385" s="9" t="s">
        <v>17</v>
      </c>
      <c r="C1385" s="9">
        <v>5000</v>
      </c>
      <c r="D1385" s="9" t="s">
        <v>10</v>
      </c>
      <c r="E1385" s="19">
        <v>203.35</v>
      </c>
      <c r="F1385" s="19">
        <v>203.85</v>
      </c>
      <c r="G1385" s="19">
        <v>0</v>
      </c>
      <c r="H1385" s="15">
        <v>0</v>
      </c>
      <c r="I1385" s="8">
        <f t="shared" si="2169"/>
        <v>2500</v>
      </c>
      <c r="J1385" s="8">
        <v>0</v>
      </c>
      <c r="K1385" s="2">
        <v>0</v>
      </c>
      <c r="L1385" s="8">
        <f t="shared" si="2170"/>
        <v>0.5</v>
      </c>
      <c r="M1385" s="8">
        <f t="shared" si="2171"/>
        <v>2500</v>
      </c>
    </row>
    <row r="1386" spans="1:13" ht="15.75" customHeight="1" x14ac:dyDescent="0.25">
      <c r="A1386" s="24">
        <v>43637</v>
      </c>
      <c r="B1386" s="9" t="s">
        <v>14</v>
      </c>
      <c r="C1386" s="9">
        <v>30</v>
      </c>
      <c r="D1386" s="9" t="s">
        <v>10</v>
      </c>
      <c r="E1386" s="19">
        <v>38140</v>
      </c>
      <c r="F1386" s="19">
        <v>37960</v>
      </c>
      <c r="G1386" s="19">
        <v>0</v>
      </c>
      <c r="H1386" s="15">
        <v>0</v>
      </c>
      <c r="I1386" s="8">
        <f t="shared" si="2169"/>
        <v>-5400</v>
      </c>
      <c r="J1386" s="8">
        <v>0</v>
      </c>
      <c r="K1386" s="2">
        <v>0</v>
      </c>
      <c r="L1386" s="8">
        <f t="shared" si="2170"/>
        <v>-180</v>
      </c>
      <c r="M1386" s="8">
        <f t="shared" si="2171"/>
        <v>-5400</v>
      </c>
    </row>
    <row r="1387" spans="1:13" ht="15.75" customHeight="1" x14ac:dyDescent="0.25">
      <c r="A1387" s="24">
        <v>43634</v>
      </c>
      <c r="B1387" s="9" t="s">
        <v>17</v>
      </c>
      <c r="C1387" s="9">
        <v>5000</v>
      </c>
      <c r="D1387" s="9" t="s">
        <v>10</v>
      </c>
      <c r="E1387" s="19">
        <v>205.1</v>
      </c>
      <c r="F1387" s="19">
        <v>205.7</v>
      </c>
      <c r="G1387" s="19">
        <v>206.6</v>
      </c>
      <c r="H1387" s="15">
        <v>208</v>
      </c>
      <c r="I1387" s="8">
        <f t="shared" si="2169"/>
        <v>2999.9999999999718</v>
      </c>
      <c r="J1387" s="8">
        <f>C1387*0.9</f>
        <v>4500</v>
      </c>
      <c r="K1387" s="2">
        <f>C1387*1.4</f>
        <v>7000</v>
      </c>
      <c r="L1387" s="8">
        <f t="shared" si="2170"/>
        <v>2.8999999999999941</v>
      </c>
      <c r="M1387" s="8">
        <f t="shared" si="2171"/>
        <v>14499.999999999971</v>
      </c>
    </row>
    <row r="1388" spans="1:13" ht="15.75" customHeight="1" x14ac:dyDescent="0.25">
      <c r="A1388" s="24">
        <v>43634</v>
      </c>
      <c r="B1388" s="9" t="s">
        <v>18</v>
      </c>
      <c r="C1388" s="9">
        <v>1000</v>
      </c>
      <c r="D1388" s="9" t="s">
        <v>10</v>
      </c>
      <c r="E1388" s="19">
        <v>410.5</v>
      </c>
      <c r="F1388" s="19">
        <v>412.5</v>
      </c>
      <c r="G1388" s="19">
        <v>415.5</v>
      </c>
      <c r="H1388" s="15">
        <v>0</v>
      </c>
      <c r="I1388" s="8">
        <f t="shared" si="2169"/>
        <v>2000</v>
      </c>
      <c r="J1388" s="8">
        <f>C1388*3</f>
        <v>3000</v>
      </c>
      <c r="K1388" s="2">
        <v>0</v>
      </c>
      <c r="L1388" s="8">
        <f t="shared" si="2170"/>
        <v>5</v>
      </c>
      <c r="M1388" s="8">
        <f t="shared" si="2171"/>
        <v>5000</v>
      </c>
    </row>
    <row r="1389" spans="1:13" ht="15.75" customHeight="1" x14ac:dyDescent="0.25">
      <c r="A1389" s="24">
        <v>43634</v>
      </c>
      <c r="B1389" s="9" t="s">
        <v>19</v>
      </c>
      <c r="C1389" s="9">
        <v>100</v>
      </c>
      <c r="D1389" s="9" t="s">
        <v>10</v>
      </c>
      <c r="E1389" s="19">
        <v>33170</v>
      </c>
      <c r="F1389" s="19">
        <v>33210</v>
      </c>
      <c r="G1389" s="19">
        <v>0</v>
      </c>
      <c r="H1389" s="15">
        <v>0</v>
      </c>
      <c r="I1389" s="8">
        <f t="shared" si="2169"/>
        <v>4000</v>
      </c>
      <c r="J1389" s="8">
        <v>0</v>
      </c>
      <c r="K1389" s="2">
        <v>0</v>
      </c>
      <c r="L1389" s="8">
        <f t="shared" si="2170"/>
        <v>40</v>
      </c>
      <c r="M1389" s="8">
        <f t="shared" si="2171"/>
        <v>4000</v>
      </c>
    </row>
    <row r="1390" spans="1:13" ht="15.75" customHeight="1" x14ac:dyDescent="0.25">
      <c r="A1390" s="24">
        <v>43634</v>
      </c>
      <c r="B1390" s="9" t="s">
        <v>14</v>
      </c>
      <c r="C1390" s="9">
        <v>30</v>
      </c>
      <c r="D1390" s="9" t="s">
        <v>10</v>
      </c>
      <c r="E1390" s="19">
        <v>37240</v>
      </c>
      <c r="F1390" s="19">
        <v>37340</v>
      </c>
      <c r="G1390" s="19">
        <v>0</v>
      </c>
      <c r="H1390" s="15">
        <v>0</v>
      </c>
      <c r="I1390" s="8">
        <f t="shared" si="2169"/>
        <v>3000</v>
      </c>
      <c r="J1390" s="8">
        <v>0</v>
      </c>
      <c r="K1390" s="2">
        <v>0</v>
      </c>
      <c r="L1390" s="8">
        <f t="shared" si="2170"/>
        <v>100</v>
      </c>
      <c r="M1390" s="8">
        <f t="shared" si="2171"/>
        <v>3000</v>
      </c>
    </row>
    <row r="1391" spans="1:13" ht="15.75" customHeight="1" x14ac:dyDescent="0.25">
      <c r="A1391" s="24">
        <v>43634</v>
      </c>
      <c r="B1391" s="9" t="s">
        <v>34</v>
      </c>
      <c r="C1391" s="9">
        <v>100</v>
      </c>
      <c r="D1391" s="9" t="s">
        <v>10</v>
      </c>
      <c r="E1391" s="19">
        <v>3638</v>
      </c>
      <c r="F1391" s="19">
        <v>3658</v>
      </c>
      <c r="G1391" s="19">
        <v>0</v>
      </c>
      <c r="H1391" s="15">
        <v>0</v>
      </c>
      <c r="I1391" s="8">
        <f t="shared" si="2169"/>
        <v>2000</v>
      </c>
      <c r="J1391" s="8">
        <v>0</v>
      </c>
      <c r="K1391" s="2">
        <v>0</v>
      </c>
      <c r="L1391" s="8">
        <f t="shared" si="2170"/>
        <v>20</v>
      </c>
      <c r="M1391" s="8">
        <f t="shared" si="2171"/>
        <v>2000</v>
      </c>
    </row>
    <row r="1392" spans="1:13" ht="15.75" customHeight="1" x14ac:dyDescent="0.25">
      <c r="A1392" s="24">
        <v>43633</v>
      </c>
      <c r="B1392" s="9" t="s">
        <v>34</v>
      </c>
      <c r="C1392" s="9">
        <v>100</v>
      </c>
      <c r="D1392" s="9" t="s">
        <v>11</v>
      </c>
      <c r="E1392" s="19">
        <v>3656</v>
      </c>
      <c r="F1392" s="19">
        <v>3636</v>
      </c>
      <c r="G1392" s="19">
        <v>0</v>
      </c>
      <c r="H1392" s="15">
        <v>0</v>
      </c>
      <c r="I1392" s="8">
        <f t="shared" si="2169"/>
        <v>2000</v>
      </c>
      <c r="J1392" s="8">
        <f>C1392*30</f>
        <v>3000</v>
      </c>
      <c r="K1392" s="2">
        <v>0</v>
      </c>
      <c r="L1392" s="8">
        <f t="shared" si="2170"/>
        <v>50</v>
      </c>
      <c r="M1392" s="8">
        <f t="shared" si="2171"/>
        <v>5000</v>
      </c>
    </row>
    <row r="1393" spans="1:13" ht="15.75" customHeight="1" x14ac:dyDescent="0.25">
      <c r="A1393" s="24">
        <v>43630</v>
      </c>
      <c r="B1393" s="9" t="s">
        <v>14</v>
      </c>
      <c r="C1393" s="9">
        <v>30</v>
      </c>
      <c r="D1393" s="9" t="s">
        <v>10</v>
      </c>
      <c r="E1393" s="19">
        <v>37400</v>
      </c>
      <c r="F1393" s="19">
        <v>37500</v>
      </c>
      <c r="G1393" s="19">
        <v>37650</v>
      </c>
      <c r="H1393" s="15">
        <v>0</v>
      </c>
      <c r="I1393" s="8">
        <f t="shared" si="2169"/>
        <v>3000</v>
      </c>
      <c r="J1393" s="8">
        <f>C1393*150</f>
        <v>4500</v>
      </c>
      <c r="K1393" s="2">
        <v>0</v>
      </c>
      <c r="L1393" s="8">
        <f t="shared" si="2170"/>
        <v>250</v>
      </c>
      <c r="M1393" s="8">
        <f t="shared" si="2171"/>
        <v>7500</v>
      </c>
    </row>
    <row r="1394" spans="1:13" ht="15.75" customHeight="1" x14ac:dyDescent="0.25">
      <c r="A1394" s="24">
        <v>43630</v>
      </c>
      <c r="B1394" s="9" t="s">
        <v>34</v>
      </c>
      <c r="C1394" s="9">
        <v>100</v>
      </c>
      <c r="D1394" s="9" t="s">
        <v>10</v>
      </c>
      <c r="E1394" s="19">
        <v>3640</v>
      </c>
      <c r="F1394" s="19">
        <v>3660</v>
      </c>
      <c r="G1394" s="19">
        <v>3690</v>
      </c>
      <c r="H1394" s="15">
        <v>0</v>
      </c>
      <c r="I1394" s="8">
        <f t="shared" si="2169"/>
        <v>2000</v>
      </c>
      <c r="J1394" s="8">
        <f>C1394*30</f>
        <v>3000</v>
      </c>
      <c r="K1394" s="2">
        <v>0</v>
      </c>
      <c r="L1394" s="8">
        <f t="shared" si="2170"/>
        <v>50</v>
      </c>
      <c r="M1394" s="8">
        <f t="shared" si="2171"/>
        <v>5000</v>
      </c>
    </row>
    <row r="1395" spans="1:13" ht="15.75" customHeight="1" x14ac:dyDescent="0.25">
      <c r="A1395" s="24">
        <v>43630</v>
      </c>
      <c r="B1395" s="9" t="s">
        <v>19</v>
      </c>
      <c r="C1395" s="9">
        <v>100</v>
      </c>
      <c r="D1395" s="9" t="s">
        <v>10</v>
      </c>
      <c r="E1395" s="19">
        <v>33220</v>
      </c>
      <c r="F1395" s="19">
        <v>33260</v>
      </c>
      <c r="G1395" s="19">
        <v>0</v>
      </c>
      <c r="H1395" s="15">
        <v>0</v>
      </c>
      <c r="I1395" s="8">
        <f t="shared" si="2169"/>
        <v>4000</v>
      </c>
      <c r="J1395" s="8">
        <v>0</v>
      </c>
      <c r="K1395" s="2">
        <v>0</v>
      </c>
      <c r="L1395" s="8">
        <f t="shared" si="2170"/>
        <v>40</v>
      </c>
      <c r="M1395" s="8">
        <f t="shared" si="2171"/>
        <v>4000</v>
      </c>
    </row>
    <row r="1396" spans="1:13" ht="15.75" customHeight="1" x14ac:dyDescent="0.25">
      <c r="A1396" s="24">
        <v>43630</v>
      </c>
      <c r="B1396" s="9" t="s">
        <v>18</v>
      </c>
      <c r="C1396" s="9">
        <v>1000</v>
      </c>
      <c r="D1396" s="9" t="s">
        <v>10</v>
      </c>
      <c r="E1396" s="19">
        <v>409</v>
      </c>
      <c r="F1396" s="19">
        <v>406.5</v>
      </c>
      <c r="G1396" s="19">
        <v>0</v>
      </c>
      <c r="H1396" s="15">
        <v>0</v>
      </c>
      <c r="I1396" s="8">
        <f t="shared" si="2169"/>
        <v>-2500</v>
      </c>
      <c r="J1396" s="8">
        <v>0</v>
      </c>
      <c r="K1396" s="2">
        <v>0</v>
      </c>
      <c r="L1396" s="8">
        <f t="shared" si="2170"/>
        <v>-2.5</v>
      </c>
      <c r="M1396" s="8">
        <f t="shared" si="2171"/>
        <v>-2500</v>
      </c>
    </row>
    <row r="1397" spans="1:13" ht="15.75" customHeight="1" x14ac:dyDescent="0.25">
      <c r="A1397" s="24">
        <v>43629</v>
      </c>
      <c r="B1397" s="9" t="s">
        <v>34</v>
      </c>
      <c r="C1397" s="9">
        <v>100</v>
      </c>
      <c r="D1397" s="9" t="s">
        <v>10</v>
      </c>
      <c r="E1397" s="19">
        <v>3640</v>
      </c>
      <c r="F1397" s="19">
        <v>3662</v>
      </c>
      <c r="G1397" s="19">
        <v>3692</v>
      </c>
      <c r="H1397" s="15">
        <v>0</v>
      </c>
      <c r="I1397" s="8">
        <f t="shared" si="2169"/>
        <v>2200</v>
      </c>
      <c r="J1397" s="8">
        <f>C1397*30</f>
        <v>3000</v>
      </c>
      <c r="K1397" s="2">
        <v>0</v>
      </c>
      <c r="L1397" s="8">
        <f t="shared" si="2170"/>
        <v>52</v>
      </c>
      <c r="M1397" s="8">
        <f t="shared" si="2171"/>
        <v>5200</v>
      </c>
    </row>
    <row r="1398" spans="1:13" ht="15.75" customHeight="1" x14ac:dyDescent="0.25">
      <c r="A1398" s="24">
        <v>43629</v>
      </c>
      <c r="B1398" s="9" t="s">
        <v>19</v>
      </c>
      <c r="C1398" s="9">
        <v>100</v>
      </c>
      <c r="D1398" s="9" t="s">
        <v>10</v>
      </c>
      <c r="E1398" s="19">
        <v>32850</v>
      </c>
      <c r="F1398" s="19">
        <v>32890</v>
      </c>
      <c r="G1398" s="19">
        <v>0</v>
      </c>
      <c r="H1398" s="15">
        <v>0</v>
      </c>
      <c r="I1398" s="8">
        <f t="shared" si="2169"/>
        <v>4000</v>
      </c>
      <c r="J1398" s="8">
        <v>0</v>
      </c>
      <c r="K1398" s="2">
        <v>0</v>
      </c>
      <c r="L1398" s="8">
        <f t="shared" si="2170"/>
        <v>40</v>
      </c>
      <c r="M1398" s="8">
        <f t="shared" si="2171"/>
        <v>4000</v>
      </c>
    </row>
    <row r="1399" spans="1:13" ht="15.75" customHeight="1" x14ac:dyDescent="0.25">
      <c r="A1399" s="24">
        <v>43628</v>
      </c>
      <c r="B1399" s="9" t="s">
        <v>19</v>
      </c>
      <c r="C1399" s="9">
        <v>100</v>
      </c>
      <c r="D1399" s="9" t="s">
        <v>10</v>
      </c>
      <c r="E1399" s="19">
        <v>32790</v>
      </c>
      <c r="F1399" s="19">
        <v>32840</v>
      </c>
      <c r="G1399" s="19">
        <v>32930</v>
      </c>
      <c r="H1399" s="15">
        <v>0</v>
      </c>
      <c r="I1399" s="8">
        <f t="shared" si="2169"/>
        <v>5000</v>
      </c>
      <c r="J1399" s="8">
        <f>C1399*90</f>
        <v>9000</v>
      </c>
      <c r="K1399" s="2">
        <v>0</v>
      </c>
      <c r="L1399" s="8">
        <f t="shared" si="2170"/>
        <v>140</v>
      </c>
      <c r="M1399" s="8">
        <f t="shared" si="2171"/>
        <v>14000</v>
      </c>
    </row>
    <row r="1400" spans="1:13" ht="15.75" customHeight="1" x14ac:dyDescent="0.25">
      <c r="A1400" s="24">
        <v>43628</v>
      </c>
      <c r="B1400" s="9" t="s">
        <v>18</v>
      </c>
      <c r="C1400" s="9">
        <v>1000</v>
      </c>
      <c r="D1400" s="9" t="s">
        <v>11</v>
      </c>
      <c r="E1400" s="19">
        <v>407.9</v>
      </c>
      <c r="F1400" s="19">
        <v>405.5</v>
      </c>
      <c r="G1400" s="19">
        <v>0</v>
      </c>
      <c r="H1400" s="15">
        <v>0</v>
      </c>
      <c r="I1400" s="8">
        <f t="shared" si="2169"/>
        <v>2399.9999999999773</v>
      </c>
      <c r="J1400" s="8">
        <v>0</v>
      </c>
      <c r="K1400" s="2">
        <v>0</v>
      </c>
      <c r="L1400" s="8">
        <f t="shared" si="2170"/>
        <v>2.3999999999999773</v>
      </c>
      <c r="M1400" s="8">
        <f t="shared" si="2171"/>
        <v>2399.9999999999773</v>
      </c>
    </row>
    <row r="1401" spans="1:13" ht="15.75" customHeight="1" x14ac:dyDescent="0.25">
      <c r="A1401" s="24">
        <v>43627</v>
      </c>
      <c r="B1401" s="9" t="s">
        <v>18</v>
      </c>
      <c r="C1401" s="9">
        <v>1000</v>
      </c>
      <c r="D1401" s="9" t="s">
        <v>10</v>
      </c>
      <c r="E1401" s="19">
        <v>414.2</v>
      </c>
      <c r="F1401" s="19">
        <v>410</v>
      </c>
      <c r="G1401" s="19">
        <v>0</v>
      </c>
      <c r="H1401" s="15">
        <v>0</v>
      </c>
      <c r="I1401" s="8">
        <f t="shared" si="2169"/>
        <v>-4199.9999999999891</v>
      </c>
      <c r="J1401" s="8">
        <v>0</v>
      </c>
      <c r="K1401" s="2">
        <v>0</v>
      </c>
      <c r="L1401" s="8">
        <f t="shared" si="2170"/>
        <v>-4.1999999999999895</v>
      </c>
      <c r="M1401" s="8">
        <f t="shared" si="2171"/>
        <v>-4199.9999999999891</v>
      </c>
    </row>
    <row r="1402" spans="1:13" ht="15.75" customHeight="1" x14ac:dyDescent="0.25">
      <c r="A1402" s="24">
        <v>43623</v>
      </c>
      <c r="B1402" s="9" t="s">
        <v>17</v>
      </c>
      <c r="C1402" s="9">
        <v>5000</v>
      </c>
      <c r="D1402" s="9" t="s">
        <v>11</v>
      </c>
      <c r="E1402" s="19">
        <v>205.6</v>
      </c>
      <c r="F1402" s="19">
        <v>205.1</v>
      </c>
      <c r="G1402" s="19">
        <v>204.1</v>
      </c>
      <c r="H1402" s="15">
        <v>0</v>
      </c>
      <c r="I1402" s="8">
        <f t="shared" si="2169"/>
        <v>2500</v>
      </c>
      <c r="J1402" s="8">
        <f>C1402*1</f>
        <v>5000</v>
      </c>
      <c r="K1402" s="2">
        <v>0</v>
      </c>
      <c r="L1402" s="8">
        <f t="shared" si="2170"/>
        <v>1.5</v>
      </c>
      <c r="M1402" s="8">
        <f t="shared" si="2171"/>
        <v>7500</v>
      </c>
    </row>
    <row r="1403" spans="1:13" ht="15.75" customHeight="1" x14ac:dyDescent="0.25">
      <c r="A1403" s="24">
        <v>43623</v>
      </c>
      <c r="B1403" s="9" t="s">
        <v>18</v>
      </c>
      <c r="C1403" s="9">
        <v>1000</v>
      </c>
      <c r="D1403" s="9" t="s">
        <v>11</v>
      </c>
      <c r="E1403" s="19">
        <v>404.6</v>
      </c>
      <c r="F1403" s="19">
        <v>403</v>
      </c>
      <c r="G1403" s="19">
        <v>401</v>
      </c>
      <c r="H1403" s="15">
        <v>0</v>
      </c>
      <c r="I1403" s="8">
        <f t="shared" si="2169"/>
        <v>1600.0000000000227</v>
      </c>
      <c r="J1403" s="8">
        <f>C1403*2</f>
        <v>2000</v>
      </c>
      <c r="K1403" s="2">
        <v>0</v>
      </c>
      <c r="L1403" s="8">
        <f t="shared" si="2170"/>
        <v>3.6000000000000227</v>
      </c>
      <c r="M1403" s="8">
        <f t="shared" si="2171"/>
        <v>3600.0000000000227</v>
      </c>
    </row>
    <row r="1404" spans="1:13" ht="15.75" customHeight="1" x14ac:dyDescent="0.25">
      <c r="A1404" s="24">
        <v>43622</v>
      </c>
      <c r="B1404" s="9" t="s">
        <v>17</v>
      </c>
      <c r="C1404" s="9">
        <v>5000</v>
      </c>
      <c r="D1404" s="9" t="s">
        <v>10</v>
      </c>
      <c r="E1404" s="19">
        <v>203.2</v>
      </c>
      <c r="F1404" s="19">
        <v>203.9</v>
      </c>
      <c r="G1404" s="19" t="s">
        <v>63</v>
      </c>
      <c r="H1404" s="15">
        <v>0</v>
      </c>
      <c r="I1404" s="8">
        <f t="shared" si="2169"/>
        <v>3500.0000000000855</v>
      </c>
      <c r="J1404" s="8">
        <f>C1404*1</f>
        <v>5000</v>
      </c>
      <c r="K1404" s="2">
        <v>0</v>
      </c>
      <c r="L1404" s="8">
        <f t="shared" si="2170"/>
        <v>1.7000000000000171</v>
      </c>
      <c r="M1404" s="8">
        <f t="shared" si="2171"/>
        <v>8500.0000000000855</v>
      </c>
    </row>
    <row r="1405" spans="1:13" ht="15.75" customHeight="1" x14ac:dyDescent="0.25">
      <c r="A1405" s="24">
        <v>43619</v>
      </c>
      <c r="B1405" s="9" t="s">
        <v>17</v>
      </c>
      <c r="C1405" s="9">
        <v>5000</v>
      </c>
      <c r="D1405" s="9" t="s">
        <v>11</v>
      </c>
      <c r="E1405" s="19">
        <v>204.1</v>
      </c>
      <c r="F1405" s="19">
        <v>203.5</v>
      </c>
      <c r="G1405" s="19">
        <v>202.5</v>
      </c>
      <c r="H1405" s="15">
        <v>201</v>
      </c>
      <c r="I1405" s="8">
        <f t="shared" si="2169"/>
        <v>2999.9999999999718</v>
      </c>
      <c r="J1405" s="8">
        <f>C1405*1</f>
        <v>5000</v>
      </c>
      <c r="K1405" s="2">
        <f>C1405*1.5</f>
        <v>7500</v>
      </c>
      <c r="L1405" s="8">
        <f t="shared" si="2170"/>
        <v>3.0999999999999943</v>
      </c>
      <c r="M1405" s="8">
        <f t="shared" si="2171"/>
        <v>15499.999999999971</v>
      </c>
    </row>
    <row r="1406" spans="1:13" ht="15.75" customHeight="1" x14ac:dyDescent="0.25">
      <c r="A1406" s="24">
        <v>43616</v>
      </c>
      <c r="B1406" s="9" t="s">
        <v>34</v>
      </c>
      <c r="C1406" s="9">
        <v>100</v>
      </c>
      <c r="D1406" s="9" t="s">
        <v>11</v>
      </c>
      <c r="E1406" s="19">
        <v>3910</v>
      </c>
      <c r="F1406" s="19">
        <v>3890</v>
      </c>
      <c r="G1406" s="19">
        <v>3860</v>
      </c>
      <c r="H1406" s="15">
        <v>0</v>
      </c>
      <c r="I1406" s="8">
        <f t="shared" si="2169"/>
        <v>2000</v>
      </c>
      <c r="J1406" s="8">
        <f>C1406*30</f>
        <v>3000</v>
      </c>
      <c r="K1406" s="2">
        <v>0</v>
      </c>
      <c r="L1406" s="8">
        <f t="shared" si="2170"/>
        <v>50</v>
      </c>
      <c r="M1406" s="8">
        <f t="shared" si="2171"/>
        <v>5000</v>
      </c>
    </row>
    <row r="1407" spans="1:13" ht="15.75" customHeight="1" x14ac:dyDescent="0.25">
      <c r="A1407" s="24">
        <v>43614</v>
      </c>
      <c r="B1407" s="9" t="s">
        <v>34</v>
      </c>
      <c r="C1407" s="9">
        <v>100</v>
      </c>
      <c r="D1407" s="9" t="s">
        <v>11</v>
      </c>
      <c r="E1407" s="19">
        <v>4091</v>
      </c>
      <c r="F1407" s="19">
        <v>4068</v>
      </c>
      <c r="G1407" s="19">
        <v>4038</v>
      </c>
      <c r="H1407" s="15">
        <v>0</v>
      </c>
      <c r="I1407" s="8">
        <f t="shared" si="2169"/>
        <v>2300</v>
      </c>
      <c r="J1407" s="8">
        <f>C1407*30</f>
        <v>3000</v>
      </c>
      <c r="K1407" s="2">
        <v>0</v>
      </c>
      <c r="L1407" s="8">
        <f t="shared" ref="L1407:L1470" si="2172">(J1407+I1407+K1407)/C1407</f>
        <v>53</v>
      </c>
      <c r="M1407" s="8">
        <f t="shared" ref="M1407:M1470" si="2173">L1407*C1407</f>
        <v>5300</v>
      </c>
    </row>
    <row r="1408" spans="1:13" ht="15.75" customHeight="1" x14ac:dyDescent="0.25">
      <c r="A1408" s="24">
        <v>43612</v>
      </c>
      <c r="B1408" s="9" t="s">
        <v>17</v>
      </c>
      <c r="C1408" s="9">
        <v>5000</v>
      </c>
      <c r="D1408" s="9" t="s">
        <v>10</v>
      </c>
      <c r="E1408" s="19">
        <v>215.3</v>
      </c>
      <c r="F1408" s="19">
        <v>214.2</v>
      </c>
      <c r="G1408" s="19">
        <v>0</v>
      </c>
      <c r="H1408" s="15">
        <v>0</v>
      </c>
      <c r="I1408" s="8">
        <f t="shared" si="2169"/>
        <v>-5500.0000000001137</v>
      </c>
      <c r="J1408" s="8">
        <v>0</v>
      </c>
      <c r="K1408" s="2">
        <v>0</v>
      </c>
      <c r="L1408" s="8">
        <f t="shared" si="2172"/>
        <v>-1.1000000000000227</v>
      </c>
      <c r="M1408" s="8">
        <f t="shared" si="2173"/>
        <v>-5500.0000000001137</v>
      </c>
    </row>
    <row r="1409" spans="1:13" ht="15.75" customHeight="1" x14ac:dyDescent="0.25">
      <c r="A1409" s="24">
        <v>43608</v>
      </c>
      <c r="B1409" s="9" t="s">
        <v>17</v>
      </c>
      <c r="C1409" s="9">
        <v>5000</v>
      </c>
      <c r="D1409" s="9" t="s">
        <v>11</v>
      </c>
      <c r="E1409" s="19">
        <v>209</v>
      </c>
      <c r="F1409" s="19">
        <v>0</v>
      </c>
      <c r="G1409" s="19">
        <v>0</v>
      </c>
      <c r="H1409" s="15">
        <v>0</v>
      </c>
      <c r="I1409" s="8">
        <v>0</v>
      </c>
      <c r="J1409" s="8">
        <v>0</v>
      </c>
      <c r="K1409" s="2">
        <v>0</v>
      </c>
      <c r="L1409" s="8">
        <f t="shared" si="2172"/>
        <v>0</v>
      </c>
      <c r="M1409" s="8">
        <f t="shared" si="2173"/>
        <v>0</v>
      </c>
    </row>
    <row r="1410" spans="1:13" ht="15.75" customHeight="1" x14ac:dyDescent="0.25">
      <c r="A1410" s="24">
        <v>43605</v>
      </c>
      <c r="B1410" s="9" t="s">
        <v>34</v>
      </c>
      <c r="C1410" s="9">
        <v>100</v>
      </c>
      <c r="D1410" s="9" t="s">
        <v>11</v>
      </c>
      <c r="E1410" s="19">
        <v>4392</v>
      </c>
      <c r="F1410" s="19">
        <v>4372</v>
      </c>
      <c r="G1410" s="19">
        <v>0</v>
      </c>
      <c r="H1410" s="15">
        <v>0</v>
      </c>
      <c r="I1410" s="8">
        <f t="shared" ref="I1410:I1441" si="2174">(IF(D1410="SELL",E1410-F1410,IF(D1410="BUY",F1410-E1410)))*C1410</f>
        <v>2000</v>
      </c>
      <c r="J1410" s="8">
        <v>0</v>
      </c>
      <c r="K1410" s="2">
        <v>0</v>
      </c>
      <c r="L1410" s="8">
        <f t="shared" si="2172"/>
        <v>20</v>
      </c>
      <c r="M1410" s="8">
        <f t="shared" si="2173"/>
        <v>2000</v>
      </c>
    </row>
    <row r="1411" spans="1:13" ht="15.75" customHeight="1" x14ac:dyDescent="0.25">
      <c r="A1411" s="24">
        <v>43601</v>
      </c>
      <c r="B1411" s="9" t="s">
        <v>34</v>
      </c>
      <c r="C1411" s="9">
        <v>100</v>
      </c>
      <c r="D1411" s="9" t="s">
        <v>10</v>
      </c>
      <c r="E1411" s="19">
        <v>4405</v>
      </c>
      <c r="F1411" s="19">
        <v>4425</v>
      </c>
      <c r="G1411" s="19">
        <v>0</v>
      </c>
      <c r="H1411" s="15">
        <v>0</v>
      </c>
      <c r="I1411" s="8">
        <f t="shared" si="2174"/>
        <v>2000</v>
      </c>
      <c r="J1411" s="8">
        <v>0</v>
      </c>
      <c r="K1411" s="2">
        <v>0</v>
      </c>
      <c r="L1411" s="8">
        <f t="shared" si="2172"/>
        <v>20</v>
      </c>
      <c r="M1411" s="8">
        <f t="shared" si="2173"/>
        <v>2000</v>
      </c>
    </row>
    <row r="1412" spans="1:13" ht="15.75" customHeight="1" x14ac:dyDescent="0.25">
      <c r="A1412" s="24">
        <v>43600</v>
      </c>
      <c r="B1412" s="9" t="s">
        <v>17</v>
      </c>
      <c r="C1412" s="9">
        <v>5000</v>
      </c>
      <c r="D1412" s="9" t="s">
        <v>10</v>
      </c>
      <c r="E1412" s="19">
        <v>215</v>
      </c>
      <c r="F1412" s="19">
        <v>215.5</v>
      </c>
      <c r="G1412" s="19">
        <v>0</v>
      </c>
      <c r="H1412" s="15">
        <v>0</v>
      </c>
      <c r="I1412" s="8">
        <f t="shared" si="2174"/>
        <v>2500</v>
      </c>
      <c r="J1412" s="8">
        <v>0</v>
      </c>
      <c r="K1412" s="2">
        <v>0</v>
      </c>
      <c r="L1412" s="8">
        <f t="shared" si="2172"/>
        <v>0.5</v>
      </c>
      <c r="M1412" s="8">
        <f t="shared" si="2173"/>
        <v>2500</v>
      </c>
    </row>
    <row r="1413" spans="1:13" ht="15.75" customHeight="1" x14ac:dyDescent="0.25">
      <c r="A1413" s="24">
        <v>43600</v>
      </c>
      <c r="B1413" s="9" t="s">
        <v>19</v>
      </c>
      <c r="C1413" s="9">
        <v>100</v>
      </c>
      <c r="D1413" s="9" t="s">
        <v>11</v>
      </c>
      <c r="E1413" s="19">
        <v>32162</v>
      </c>
      <c r="F1413" s="19">
        <v>32250</v>
      </c>
      <c r="G1413" s="19">
        <v>0</v>
      </c>
      <c r="H1413" s="15">
        <v>0</v>
      </c>
      <c r="I1413" s="8">
        <f t="shared" si="2174"/>
        <v>-8800</v>
      </c>
      <c r="J1413" s="8">
        <v>0</v>
      </c>
      <c r="K1413" s="2">
        <v>0</v>
      </c>
      <c r="L1413" s="8">
        <f t="shared" si="2172"/>
        <v>-88</v>
      </c>
      <c r="M1413" s="8">
        <f t="shared" si="2173"/>
        <v>-8800</v>
      </c>
    </row>
    <row r="1414" spans="1:13" ht="15.75" customHeight="1" x14ac:dyDescent="0.25">
      <c r="A1414" s="24">
        <v>43599</v>
      </c>
      <c r="B1414" s="9" t="s">
        <v>34</v>
      </c>
      <c r="C1414" s="9">
        <v>100</v>
      </c>
      <c r="D1414" s="9" t="s">
        <v>10</v>
      </c>
      <c r="E1414" s="19">
        <v>4345</v>
      </c>
      <c r="F1414" s="19">
        <v>4365</v>
      </c>
      <c r="G1414" s="19">
        <v>0</v>
      </c>
      <c r="H1414" s="15">
        <v>0</v>
      </c>
      <c r="I1414" s="8">
        <f t="shared" si="2174"/>
        <v>2000</v>
      </c>
      <c r="J1414" s="8">
        <v>0</v>
      </c>
      <c r="K1414" s="2">
        <v>0</v>
      </c>
      <c r="L1414" s="8">
        <f t="shared" si="2172"/>
        <v>20</v>
      </c>
      <c r="M1414" s="8">
        <f t="shared" si="2173"/>
        <v>2000</v>
      </c>
    </row>
    <row r="1415" spans="1:13" ht="15.75" customHeight="1" x14ac:dyDescent="0.25">
      <c r="A1415" s="24">
        <v>43598</v>
      </c>
      <c r="B1415" s="9" t="s">
        <v>18</v>
      </c>
      <c r="C1415" s="9">
        <v>1000</v>
      </c>
      <c r="D1415" s="9" t="s">
        <v>10</v>
      </c>
      <c r="E1415" s="19">
        <v>429.6</v>
      </c>
      <c r="F1415" s="19">
        <v>426.5</v>
      </c>
      <c r="G1415" s="19">
        <v>0</v>
      </c>
      <c r="H1415" s="15">
        <v>0</v>
      </c>
      <c r="I1415" s="8">
        <f t="shared" si="2174"/>
        <v>-3100.0000000000227</v>
      </c>
      <c r="J1415" s="8">
        <v>0</v>
      </c>
      <c r="K1415" s="2">
        <v>0</v>
      </c>
      <c r="L1415" s="8">
        <f t="shared" si="2172"/>
        <v>-3.1000000000000227</v>
      </c>
      <c r="M1415" s="8">
        <f t="shared" si="2173"/>
        <v>-3100.0000000000227</v>
      </c>
    </row>
    <row r="1416" spans="1:13" ht="15.75" customHeight="1" x14ac:dyDescent="0.25">
      <c r="A1416" s="24">
        <v>43598</v>
      </c>
      <c r="B1416" s="9" t="s">
        <v>34</v>
      </c>
      <c r="C1416" s="9">
        <v>100</v>
      </c>
      <c r="D1416" s="9" t="s">
        <v>10</v>
      </c>
      <c r="E1416" s="19">
        <v>4350</v>
      </c>
      <c r="F1416" s="19">
        <v>4371</v>
      </c>
      <c r="G1416" s="19">
        <v>4402</v>
      </c>
      <c r="H1416" s="15">
        <v>0</v>
      </c>
      <c r="I1416" s="8">
        <f t="shared" si="2174"/>
        <v>2100</v>
      </c>
      <c r="J1416" s="8">
        <f>C1416*31</f>
        <v>3100</v>
      </c>
      <c r="K1416" s="2">
        <v>0</v>
      </c>
      <c r="L1416" s="8">
        <f t="shared" si="2172"/>
        <v>52</v>
      </c>
      <c r="M1416" s="8">
        <f t="shared" si="2173"/>
        <v>5200</v>
      </c>
    </row>
    <row r="1417" spans="1:13" ht="15.75" customHeight="1" x14ac:dyDescent="0.25">
      <c r="A1417" s="24">
        <v>43598</v>
      </c>
      <c r="B1417" s="9" t="s">
        <v>19</v>
      </c>
      <c r="C1417" s="9">
        <v>100</v>
      </c>
      <c r="D1417" s="9" t="s">
        <v>10</v>
      </c>
      <c r="E1417" s="19">
        <v>31980</v>
      </c>
      <c r="F1417" s="19">
        <v>32020</v>
      </c>
      <c r="G1417" s="19">
        <v>32120</v>
      </c>
      <c r="H1417" s="15">
        <v>0</v>
      </c>
      <c r="I1417" s="8">
        <f t="shared" si="2174"/>
        <v>4000</v>
      </c>
      <c r="J1417" s="8">
        <f>C1417*100</f>
        <v>10000</v>
      </c>
      <c r="K1417" s="2">
        <v>0</v>
      </c>
      <c r="L1417" s="8">
        <f t="shared" si="2172"/>
        <v>140</v>
      </c>
      <c r="M1417" s="8">
        <f t="shared" si="2173"/>
        <v>14000</v>
      </c>
    </row>
    <row r="1418" spans="1:13" ht="15.75" customHeight="1" x14ac:dyDescent="0.25">
      <c r="A1418" s="24">
        <v>43595</v>
      </c>
      <c r="B1418" s="9" t="s">
        <v>19</v>
      </c>
      <c r="C1418" s="9">
        <v>100</v>
      </c>
      <c r="D1418" s="9" t="s">
        <v>11</v>
      </c>
      <c r="E1418" s="19">
        <v>31830</v>
      </c>
      <c r="F1418" s="19">
        <v>31920</v>
      </c>
      <c r="G1418" s="19">
        <v>0</v>
      </c>
      <c r="H1418" s="15">
        <v>0</v>
      </c>
      <c r="I1418" s="8">
        <f t="shared" si="2174"/>
        <v>-9000</v>
      </c>
      <c r="J1418" s="8">
        <v>0</v>
      </c>
      <c r="K1418" s="2">
        <v>0</v>
      </c>
      <c r="L1418" s="8">
        <f t="shared" si="2172"/>
        <v>-90</v>
      </c>
      <c r="M1418" s="8">
        <f t="shared" si="2173"/>
        <v>-9000</v>
      </c>
    </row>
    <row r="1419" spans="1:13" ht="15.75" customHeight="1" x14ac:dyDescent="0.25">
      <c r="A1419" s="24">
        <v>43594</v>
      </c>
      <c r="B1419" s="9" t="s">
        <v>19</v>
      </c>
      <c r="C1419" s="9">
        <v>100</v>
      </c>
      <c r="D1419" s="9" t="s">
        <v>10</v>
      </c>
      <c r="E1419" s="19">
        <v>31820</v>
      </c>
      <c r="F1419" s="19">
        <v>31860</v>
      </c>
      <c r="G1419" s="19">
        <v>0</v>
      </c>
      <c r="H1419" s="15">
        <v>0</v>
      </c>
      <c r="I1419" s="8">
        <f t="shared" si="2174"/>
        <v>4000</v>
      </c>
      <c r="J1419" s="8">
        <v>0</v>
      </c>
      <c r="K1419" s="2">
        <v>0</v>
      </c>
      <c r="L1419" s="8">
        <f t="shared" si="2172"/>
        <v>40</v>
      </c>
      <c r="M1419" s="8">
        <f t="shared" si="2173"/>
        <v>4000</v>
      </c>
    </row>
    <row r="1420" spans="1:13" ht="15.75" customHeight="1" x14ac:dyDescent="0.25">
      <c r="A1420" s="24">
        <v>43594</v>
      </c>
      <c r="B1420" s="9" t="s">
        <v>34</v>
      </c>
      <c r="C1420" s="9">
        <v>100</v>
      </c>
      <c r="D1420" s="9" t="s">
        <v>10</v>
      </c>
      <c r="E1420" s="19">
        <v>4320</v>
      </c>
      <c r="F1420" s="19">
        <v>4340</v>
      </c>
      <c r="G1420" s="19">
        <v>0</v>
      </c>
      <c r="H1420" s="15">
        <v>0</v>
      </c>
      <c r="I1420" s="8">
        <f t="shared" si="2174"/>
        <v>2000</v>
      </c>
      <c r="J1420" s="8">
        <v>0</v>
      </c>
      <c r="K1420" s="2">
        <v>0</v>
      </c>
      <c r="L1420" s="8">
        <f t="shared" si="2172"/>
        <v>20</v>
      </c>
      <c r="M1420" s="8">
        <f t="shared" si="2173"/>
        <v>2000</v>
      </c>
    </row>
    <row r="1421" spans="1:13" ht="15.75" customHeight="1" x14ac:dyDescent="0.25">
      <c r="A1421" s="24">
        <v>43593</v>
      </c>
      <c r="B1421" s="9" t="s">
        <v>17</v>
      </c>
      <c r="C1421" s="9">
        <v>5000</v>
      </c>
      <c r="D1421" s="9" t="s">
        <v>11</v>
      </c>
      <c r="E1421" s="19">
        <v>214.8</v>
      </c>
      <c r="F1421" s="19">
        <v>214.3</v>
      </c>
      <c r="G1421" s="19">
        <v>0</v>
      </c>
      <c r="H1421" s="15">
        <v>0</v>
      </c>
      <c r="I1421" s="8">
        <f t="shared" si="2174"/>
        <v>2500</v>
      </c>
      <c r="J1421" s="8">
        <v>0</v>
      </c>
      <c r="K1421" s="2">
        <v>0</v>
      </c>
      <c r="L1421" s="8">
        <f t="shared" si="2172"/>
        <v>0.5</v>
      </c>
      <c r="M1421" s="8">
        <f t="shared" si="2173"/>
        <v>2500</v>
      </c>
    </row>
    <row r="1422" spans="1:13" ht="15.75" customHeight="1" x14ac:dyDescent="0.25">
      <c r="A1422" s="24">
        <v>43592</v>
      </c>
      <c r="B1422" s="9" t="s">
        <v>34</v>
      </c>
      <c r="C1422" s="9">
        <v>100</v>
      </c>
      <c r="D1422" s="9" t="s">
        <v>11</v>
      </c>
      <c r="E1422" s="19">
        <v>4295</v>
      </c>
      <c r="F1422" s="19">
        <v>4275</v>
      </c>
      <c r="G1422" s="19">
        <v>4245</v>
      </c>
      <c r="H1422" s="15">
        <v>0</v>
      </c>
      <c r="I1422" s="8">
        <f t="shared" si="2174"/>
        <v>2000</v>
      </c>
      <c r="J1422" s="8">
        <f>C1422*30</f>
        <v>3000</v>
      </c>
      <c r="K1422" s="2">
        <v>0</v>
      </c>
      <c r="L1422" s="8">
        <f t="shared" si="2172"/>
        <v>50</v>
      </c>
      <c r="M1422" s="8">
        <f t="shared" si="2173"/>
        <v>5000</v>
      </c>
    </row>
    <row r="1423" spans="1:13" ht="15.75" customHeight="1" x14ac:dyDescent="0.25">
      <c r="A1423" s="24">
        <v>43592</v>
      </c>
      <c r="B1423" s="9" t="s">
        <v>15</v>
      </c>
      <c r="C1423" s="9">
        <v>5000</v>
      </c>
      <c r="D1423" s="9" t="s">
        <v>11</v>
      </c>
      <c r="E1423" s="19">
        <v>130.6</v>
      </c>
      <c r="F1423" s="19">
        <v>130.1</v>
      </c>
      <c r="G1423" s="19">
        <v>0</v>
      </c>
      <c r="H1423" s="15">
        <v>0</v>
      </c>
      <c r="I1423" s="8">
        <f t="shared" si="2174"/>
        <v>2500</v>
      </c>
      <c r="J1423" s="8">
        <v>0</v>
      </c>
      <c r="K1423" s="2">
        <v>0</v>
      </c>
      <c r="L1423" s="8">
        <f t="shared" si="2172"/>
        <v>0.5</v>
      </c>
      <c r="M1423" s="8">
        <f t="shared" si="2173"/>
        <v>2500</v>
      </c>
    </row>
    <row r="1424" spans="1:13" ht="15.75" customHeight="1" x14ac:dyDescent="0.25">
      <c r="A1424" s="24">
        <v>43592</v>
      </c>
      <c r="B1424" s="9" t="s">
        <v>17</v>
      </c>
      <c r="C1424" s="9">
        <v>5000</v>
      </c>
      <c r="D1424" s="9" t="s">
        <v>11</v>
      </c>
      <c r="E1424" s="19">
        <v>217.5</v>
      </c>
      <c r="F1424" s="19">
        <v>217</v>
      </c>
      <c r="G1424" s="19">
        <v>0</v>
      </c>
      <c r="H1424" s="15">
        <v>0</v>
      </c>
      <c r="I1424" s="8">
        <f t="shared" si="2174"/>
        <v>2500</v>
      </c>
      <c r="J1424" s="8">
        <v>0</v>
      </c>
      <c r="K1424" s="2">
        <v>0</v>
      </c>
      <c r="L1424" s="8">
        <f t="shared" si="2172"/>
        <v>0.5</v>
      </c>
      <c r="M1424" s="8">
        <f t="shared" si="2173"/>
        <v>2500</v>
      </c>
    </row>
    <row r="1425" spans="1:13" ht="15.75" customHeight="1" x14ac:dyDescent="0.25">
      <c r="A1425" s="24">
        <v>43592</v>
      </c>
      <c r="B1425" s="9" t="s">
        <v>18</v>
      </c>
      <c r="C1425" s="9">
        <v>1000</v>
      </c>
      <c r="D1425" s="9" t="s">
        <v>11</v>
      </c>
      <c r="E1425" s="19">
        <v>431</v>
      </c>
      <c r="F1425" s="19">
        <v>429.4</v>
      </c>
      <c r="G1425" s="19">
        <v>0</v>
      </c>
      <c r="H1425" s="15">
        <v>0</v>
      </c>
      <c r="I1425" s="8">
        <f t="shared" si="2174"/>
        <v>1600.0000000000227</v>
      </c>
      <c r="J1425" s="8">
        <v>0</v>
      </c>
      <c r="K1425" s="2">
        <v>0</v>
      </c>
      <c r="L1425" s="8">
        <f t="shared" si="2172"/>
        <v>1.6000000000000227</v>
      </c>
      <c r="M1425" s="8">
        <f t="shared" si="2173"/>
        <v>1600.0000000000227</v>
      </c>
    </row>
    <row r="1426" spans="1:13" ht="15.75" customHeight="1" x14ac:dyDescent="0.25">
      <c r="A1426" s="24">
        <v>43591</v>
      </c>
      <c r="B1426" s="9" t="s">
        <v>34</v>
      </c>
      <c r="C1426" s="9">
        <v>100</v>
      </c>
      <c r="D1426" s="9" t="s">
        <v>10</v>
      </c>
      <c r="E1426" s="19">
        <v>4210</v>
      </c>
      <c r="F1426" s="19">
        <v>4230</v>
      </c>
      <c r="G1426" s="19">
        <v>4260</v>
      </c>
      <c r="H1426" s="15">
        <v>0</v>
      </c>
      <c r="I1426" s="8">
        <f t="shared" si="2174"/>
        <v>2000</v>
      </c>
      <c r="J1426" s="8">
        <f>C1426*30</f>
        <v>3000</v>
      </c>
      <c r="K1426" s="2">
        <v>0</v>
      </c>
      <c r="L1426" s="8">
        <f t="shared" si="2172"/>
        <v>50</v>
      </c>
      <c r="M1426" s="8">
        <f t="shared" si="2173"/>
        <v>5000</v>
      </c>
    </row>
    <row r="1427" spans="1:13" ht="15.75" customHeight="1" x14ac:dyDescent="0.25">
      <c r="A1427" s="24">
        <v>43591</v>
      </c>
      <c r="B1427" s="9" t="s">
        <v>18</v>
      </c>
      <c r="C1427" s="9">
        <v>1000</v>
      </c>
      <c r="D1427" s="9" t="s">
        <v>10</v>
      </c>
      <c r="E1427" s="19">
        <v>431.5</v>
      </c>
      <c r="F1427" s="19">
        <v>433.5</v>
      </c>
      <c r="G1427" s="19">
        <v>0</v>
      </c>
      <c r="H1427" s="15">
        <v>0</v>
      </c>
      <c r="I1427" s="8">
        <f t="shared" si="2174"/>
        <v>2000</v>
      </c>
      <c r="J1427" s="8">
        <v>0</v>
      </c>
      <c r="K1427" s="2">
        <v>0</v>
      </c>
      <c r="L1427" s="8">
        <f t="shared" si="2172"/>
        <v>2</v>
      </c>
      <c r="M1427" s="8">
        <f t="shared" si="2173"/>
        <v>2000</v>
      </c>
    </row>
    <row r="1428" spans="1:13" ht="15.75" customHeight="1" x14ac:dyDescent="0.25">
      <c r="A1428" s="24">
        <v>43588</v>
      </c>
      <c r="B1428" s="9" t="s">
        <v>17</v>
      </c>
      <c r="C1428" s="9">
        <v>5000</v>
      </c>
      <c r="D1428" s="9" t="s">
        <v>11</v>
      </c>
      <c r="E1428" s="19">
        <v>217.5</v>
      </c>
      <c r="F1428" s="19">
        <v>218.5</v>
      </c>
      <c r="G1428" s="19">
        <v>0</v>
      </c>
      <c r="H1428" s="15">
        <v>0</v>
      </c>
      <c r="I1428" s="8">
        <f t="shared" si="2174"/>
        <v>-5000</v>
      </c>
      <c r="J1428" s="8">
        <v>0</v>
      </c>
      <c r="K1428" s="2">
        <v>0</v>
      </c>
      <c r="L1428" s="8">
        <f t="shared" si="2172"/>
        <v>-1</v>
      </c>
      <c r="M1428" s="8">
        <f t="shared" si="2173"/>
        <v>-5000</v>
      </c>
    </row>
    <row r="1429" spans="1:13" ht="15.75" customHeight="1" x14ac:dyDescent="0.25">
      <c r="A1429" s="24">
        <v>43587</v>
      </c>
      <c r="B1429" s="9" t="s">
        <v>34</v>
      </c>
      <c r="C1429" s="9">
        <v>100</v>
      </c>
      <c r="D1429" s="9" t="s">
        <v>11</v>
      </c>
      <c r="E1429" s="19">
        <v>4375</v>
      </c>
      <c r="F1429" s="19">
        <v>4350</v>
      </c>
      <c r="G1429" s="19">
        <v>4320</v>
      </c>
      <c r="H1429" s="15">
        <v>4280</v>
      </c>
      <c r="I1429" s="8">
        <f t="shared" si="2174"/>
        <v>2500</v>
      </c>
      <c r="J1429" s="8">
        <f>C1429*30</f>
        <v>3000</v>
      </c>
      <c r="K1429" s="2">
        <f>C1429*40</f>
        <v>4000</v>
      </c>
      <c r="L1429" s="8">
        <f t="shared" si="2172"/>
        <v>95</v>
      </c>
      <c r="M1429" s="8">
        <f t="shared" si="2173"/>
        <v>9500</v>
      </c>
    </row>
    <row r="1430" spans="1:13" ht="15.75" customHeight="1" x14ac:dyDescent="0.25">
      <c r="A1430" s="24">
        <v>43587</v>
      </c>
      <c r="B1430" s="9" t="s">
        <v>52</v>
      </c>
      <c r="C1430" s="9">
        <v>1250</v>
      </c>
      <c r="D1430" s="9" t="s">
        <v>11</v>
      </c>
      <c r="E1430" s="19">
        <v>181.6</v>
      </c>
      <c r="F1430" s="19">
        <v>180</v>
      </c>
      <c r="G1430" s="19">
        <v>0</v>
      </c>
      <c r="H1430" s="15">
        <v>0</v>
      </c>
      <c r="I1430" s="8">
        <f t="shared" si="2174"/>
        <v>1999.999999999993</v>
      </c>
      <c r="J1430" s="8">
        <v>0</v>
      </c>
      <c r="K1430" s="2">
        <v>0</v>
      </c>
      <c r="L1430" s="8">
        <f t="shared" si="2172"/>
        <v>1.5999999999999943</v>
      </c>
      <c r="M1430" s="8">
        <f t="shared" si="2173"/>
        <v>1999.999999999993</v>
      </c>
    </row>
    <row r="1431" spans="1:13" ht="15.75" customHeight="1" x14ac:dyDescent="0.25">
      <c r="A1431" s="24">
        <v>43587</v>
      </c>
      <c r="B1431" s="9" t="s">
        <v>17</v>
      </c>
      <c r="C1431" s="9">
        <v>5000</v>
      </c>
      <c r="D1431" s="9" t="s">
        <v>10</v>
      </c>
      <c r="E1431" s="19">
        <v>219.3</v>
      </c>
      <c r="F1431" s="19">
        <v>218.5</v>
      </c>
      <c r="G1431" s="19">
        <v>0</v>
      </c>
      <c r="H1431" s="15">
        <v>0</v>
      </c>
      <c r="I1431" s="8">
        <f t="shared" si="2174"/>
        <v>-4000.0000000000568</v>
      </c>
      <c r="J1431" s="8">
        <v>0</v>
      </c>
      <c r="K1431" s="2">
        <v>0</v>
      </c>
      <c r="L1431" s="8">
        <f t="shared" si="2172"/>
        <v>-0.80000000000001137</v>
      </c>
      <c r="M1431" s="8">
        <f t="shared" si="2173"/>
        <v>-4000.0000000000568</v>
      </c>
    </row>
    <row r="1432" spans="1:13" ht="15.75" customHeight="1" x14ac:dyDescent="0.25">
      <c r="A1432" s="24">
        <v>43585</v>
      </c>
      <c r="B1432" s="9" t="s">
        <v>14</v>
      </c>
      <c r="C1432" s="9">
        <v>30</v>
      </c>
      <c r="D1432" s="9" t="s">
        <v>11</v>
      </c>
      <c r="E1432" s="19">
        <v>37260</v>
      </c>
      <c r="F1432" s="19">
        <v>37140</v>
      </c>
      <c r="G1432" s="19">
        <v>0</v>
      </c>
      <c r="H1432" s="15">
        <v>0</v>
      </c>
      <c r="I1432" s="8">
        <f t="shared" si="2174"/>
        <v>3600</v>
      </c>
      <c r="J1432" s="8">
        <v>0</v>
      </c>
      <c r="K1432" s="2">
        <v>0</v>
      </c>
      <c r="L1432" s="8">
        <f t="shared" si="2172"/>
        <v>120</v>
      </c>
      <c r="M1432" s="8">
        <f t="shared" si="2173"/>
        <v>3600</v>
      </c>
    </row>
    <row r="1433" spans="1:13" ht="15.75" customHeight="1" x14ac:dyDescent="0.25">
      <c r="A1433" s="24">
        <v>43585</v>
      </c>
      <c r="B1433" s="9" t="s">
        <v>17</v>
      </c>
      <c r="C1433" s="9">
        <v>5000</v>
      </c>
      <c r="D1433" s="9" t="s">
        <v>10</v>
      </c>
      <c r="E1433" s="19">
        <v>226.65</v>
      </c>
      <c r="F1433" s="19">
        <v>225.9</v>
      </c>
      <c r="G1433" s="19">
        <v>0</v>
      </c>
      <c r="H1433" s="15">
        <v>0</v>
      </c>
      <c r="I1433" s="8">
        <f t="shared" si="2174"/>
        <v>-3750</v>
      </c>
      <c r="J1433" s="8">
        <v>0</v>
      </c>
      <c r="K1433" s="2">
        <v>0</v>
      </c>
      <c r="L1433" s="8">
        <f t="shared" si="2172"/>
        <v>-0.75</v>
      </c>
      <c r="M1433" s="8">
        <f t="shared" si="2173"/>
        <v>-3750</v>
      </c>
    </row>
    <row r="1434" spans="1:13" ht="15.75" customHeight="1" x14ac:dyDescent="0.25">
      <c r="A1434" s="24">
        <v>43581</v>
      </c>
      <c r="B1434" s="9" t="s">
        <v>19</v>
      </c>
      <c r="C1434" s="9">
        <v>100</v>
      </c>
      <c r="D1434" s="9" t="s">
        <v>10</v>
      </c>
      <c r="E1434" s="19">
        <v>31900</v>
      </c>
      <c r="F1434" s="19">
        <v>31950</v>
      </c>
      <c r="G1434" s="19">
        <v>0</v>
      </c>
      <c r="H1434" s="15">
        <v>0</v>
      </c>
      <c r="I1434" s="8">
        <f t="shared" si="2174"/>
        <v>5000</v>
      </c>
      <c r="J1434" s="8">
        <v>0</v>
      </c>
      <c r="K1434" s="2">
        <v>0</v>
      </c>
      <c r="L1434" s="8">
        <f t="shared" si="2172"/>
        <v>50</v>
      </c>
      <c r="M1434" s="8">
        <f t="shared" si="2173"/>
        <v>5000</v>
      </c>
    </row>
    <row r="1435" spans="1:13" ht="15.75" customHeight="1" x14ac:dyDescent="0.25">
      <c r="A1435" s="24">
        <v>43581</v>
      </c>
      <c r="B1435" s="9" t="s">
        <v>14</v>
      </c>
      <c r="C1435" s="9">
        <v>30</v>
      </c>
      <c r="D1435" s="9" t="s">
        <v>10</v>
      </c>
      <c r="E1435" s="19">
        <v>37550</v>
      </c>
      <c r="F1435" s="19">
        <v>37670</v>
      </c>
      <c r="G1435" s="19">
        <v>0</v>
      </c>
      <c r="H1435" s="15">
        <v>0</v>
      </c>
      <c r="I1435" s="8">
        <f t="shared" si="2174"/>
        <v>3600</v>
      </c>
      <c r="J1435" s="8">
        <v>0</v>
      </c>
      <c r="K1435" s="2">
        <v>0</v>
      </c>
      <c r="L1435" s="8">
        <f t="shared" si="2172"/>
        <v>120</v>
      </c>
      <c r="M1435" s="8">
        <f t="shared" si="2173"/>
        <v>3600</v>
      </c>
    </row>
    <row r="1436" spans="1:13" ht="15.75" customHeight="1" x14ac:dyDescent="0.25">
      <c r="A1436" s="24">
        <v>43581</v>
      </c>
      <c r="B1436" s="9" t="s">
        <v>15</v>
      </c>
      <c r="C1436" s="9">
        <v>5000</v>
      </c>
      <c r="D1436" s="9" t="s">
        <v>10</v>
      </c>
      <c r="E1436" s="19">
        <v>135.1</v>
      </c>
      <c r="F1436" s="19">
        <v>135.6</v>
      </c>
      <c r="G1436" s="19">
        <v>0</v>
      </c>
      <c r="H1436" s="15">
        <v>0</v>
      </c>
      <c r="I1436" s="8">
        <f t="shared" si="2174"/>
        <v>2500</v>
      </c>
      <c r="J1436" s="8">
        <v>0</v>
      </c>
      <c r="K1436" s="2">
        <v>0</v>
      </c>
      <c r="L1436" s="8">
        <f t="shared" si="2172"/>
        <v>0.5</v>
      </c>
      <c r="M1436" s="8">
        <f t="shared" si="2173"/>
        <v>2500</v>
      </c>
    </row>
    <row r="1437" spans="1:13" ht="15.75" customHeight="1" x14ac:dyDescent="0.25">
      <c r="A1437" s="24">
        <v>43581</v>
      </c>
      <c r="B1437" s="9" t="s">
        <v>17</v>
      </c>
      <c r="C1437" s="9">
        <v>5000</v>
      </c>
      <c r="D1437" s="9" t="s">
        <v>10</v>
      </c>
      <c r="E1437" s="19">
        <v>232.4</v>
      </c>
      <c r="F1437" s="19">
        <v>231.65</v>
      </c>
      <c r="G1437" s="19">
        <v>0</v>
      </c>
      <c r="H1437" s="15">
        <v>0</v>
      </c>
      <c r="I1437" s="8">
        <f t="shared" si="2174"/>
        <v>-3750</v>
      </c>
      <c r="J1437" s="8">
        <v>0</v>
      </c>
      <c r="K1437" s="2">
        <v>0</v>
      </c>
      <c r="L1437" s="8">
        <f t="shared" si="2172"/>
        <v>-0.75</v>
      </c>
      <c r="M1437" s="8">
        <f t="shared" si="2173"/>
        <v>-3750</v>
      </c>
    </row>
    <row r="1438" spans="1:13" ht="15.75" customHeight="1" x14ac:dyDescent="0.25">
      <c r="A1438" s="24">
        <v>43581</v>
      </c>
      <c r="B1438" s="9" t="s">
        <v>34</v>
      </c>
      <c r="C1438" s="9">
        <v>100</v>
      </c>
      <c r="D1438" s="9" t="s">
        <v>10</v>
      </c>
      <c r="E1438" s="19">
        <v>4564</v>
      </c>
      <c r="F1438" s="19">
        <v>4532</v>
      </c>
      <c r="G1438" s="19">
        <v>0</v>
      </c>
      <c r="H1438" s="15">
        <v>0</v>
      </c>
      <c r="I1438" s="8">
        <f t="shared" si="2174"/>
        <v>-3200</v>
      </c>
      <c r="J1438" s="8">
        <v>0</v>
      </c>
      <c r="K1438" s="2">
        <v>0</v>
      </c>
      <c r="L1438" s="8">
        <f t="shared" si="2172"/>
        <v>-32</v>
      </c>
      <c r="M1438" s="8">
        <f t="shared" si="2173"/>
        <v>-3200</v>
      </c>
    </row>
    <row r="1439" spans="1:13" ht="15.75" customHeight="1" x14ac:dyDescent="0.25">
      <c r="A1439" s="24">
        <v>43580</v>
      </c>
      <c r="B1439" s="9" t="s">
        <v>19</v>
      </c>
      <c r="C1439" s="9">
        <v>100</v>
      </c>
      <c r="D1439" s="9" t="s">
        <v>10</v>
      </c>
      <c r="E1439" s="19">
        <v>31730</v>
      </c>
      <c r="F1439" s="19">
        <v>31780</v>
      </c>
      <c r="G1439" s="19">
        <v>31850</v>
      </c>
      <c r="H1439" s="15">
        <v>0</v>
      </c>
      <c r="I1439" s="8">
        <f t="shared" si="2174"/>
        <v>5000</v>
      </c>
      <c r="J1439" s="8">
        <f>C1439*70</f>
        <v>7000</v>
      </c>
      <c r="K1439" s="2">
        <v>0</v>
      </c>
      <c r="L1439" s="8">
        <f t="shared" si="2172"/>
        <v>120</v>
      </c>
      <c r="M1439" s="8">
        <f t="shared" si="2173"/>
        <v>12000</v>
      </c>
    </row>
    <row r="1440" spans="1:13" ht="15.75" customHeight="1" x14ac:dyDescent="0.25">
      <c r="A1440" s="24">
        <v>43580</v>
      </c>
      <c r="B1440" s="9" t="s">
        <v>14</v>
      </c>
      <c r="C1440" s="9">
        <v>30</v>
      </c>
      <c r="D1440" s="9" t="s">
        <v>10</v>
      </c>
      <c r="E1440" s="19">
        <v>37280</v>
      </c>
      <c r="F1440" s="19">
        <v>37400</v>
      </c>
      <c r="G1440" s="9"/>
      <c r="H1440" s="15">
        <v>0</v>
      </c>
      <c r="I1440" s="8">
        <f t="shared" si="2174"/>
        <v>3600</v>
      </c>
      <c r="J1440" s="8">
        <v>0</v>
      </c>
      <c r="K1440" s="2">
        <v>0</v>
      </c>
      <c r="L1440" s="8">
        <f t="shared" si="2172"/>
        <v>120</v>
      </c>
      <c r="M1440" s="8">
        <f t="shared" si="2173"/>
        <v>3600</v>
      </c>
    </row>
    <row r="1441" spans="1:13" ht="15.75" customHeight="1" x14ac:dyDescent="0.25">
      <c r="A1441" s="24">
        <v>43580</v>
      </c>
      <c r="B1441" s="9" t="s">
        <v>34</v>
      </c>
      <c r="C1441" s="9">
        <v>100</v>
      </c>
      <c r="D1441" s="9" t="s">
        <v>11</v>
      </c>
      <c r="E1441" s="19">
        <v>4627</v>
      </c>
      <c r="F1441" s="19">
        <v>4657</v>
      </c>
      <c r="G1441" s="9">
        <v>0</v>
      </c>
      <c r="H1441" s="15">
        <v>0</v>
      </c>
      <c r="I1441" s="8">
        <f t="shared" si="2174"/>
        <v>-3000</v>
      </c>
      <c r="J1441" s="8">
        <v>0</v>
      </c>
      <c r="K1441" s="2">
        <v>0</v>
      </c>
      <c r="L1441" s="8">
        <f t="shared" si="2172"/>
        <v>-30</v>
      </c>
      <c r="M1441" s="8">
        <f t="shared" si="2173"/>
        <v>-3000</v>
      </c>
    </row>
    <row r="1442" spans="1:13" ht="15.75" customHeight="1" x14ac:dyDescent="0.25">
      <c r="A1442" s="24">
        <v>43580</v>
      </c>
      <c r="B1442" s="9" t="s">
        <v>17</v>
      </c>
      <c r="C1442" s="9">
        <v>5000</v>
      </c>
      <c r="D1442" s="9" t="s">
        <v>11</v>
      </c>
      <c r="E1442" s="19">
        <v>228.3</v>
      </c>
      <c r="F1442" s="19">
        <v>228.9</v>
      </c>
      <c r="G1442" s="9">
        <v>0</v>
      </c>
      <c r="H1442" s="15">
        <v>0</v>
      </c>
      <c r="I1442" s="8">
        <f t="shared" ref="I1442:I1460" si="2175">(IF(D1442="SELL",E1442-F1442,IF(D1442="BUY",F1442-E1442)))*C1442</f>
        <v>-2999.9999999999718</v>
      </c>
      <c r="J1442" s="8">
        <v>0</v>
      </c>
      <c r="K1442" s="2">
        <v>0</v>
      </c>
      <c r="L1442" s="8">
        <f t="shared" si="2172"/>
        <v>-0.59999999999999432</v>
      </c>
      <c r="M1442" s="8">
        <f t="shared" si="2173"/>
        <v>-2999.9999999999718</v>
      </c>
    </row>
    <row r="1443" spans="1:13" ht="15.75" customHeight="1" x14ac:dyDescent="0.25">
      <c r="A1443" s="24">
        <v>43580</v>
      </c>
      <c r="B1443" s="9" t="s">
        <v>15</v>
      </c>
      <c r="C1443" s="9">
        <v>5000</v>
      </c>
      <c r="D1443" s="9" t="s">
        <v>10</v>
      </c>
      <c r="E1443" s="19">
        <v>134.30000000000001</v>
      </c>
      <c r="F1443" s="19">
        <v>133.69999999999999</v>
      </c>
      <c r="G1443" s="9">
        <v>0</v>
      </c>
      <c r="H1443" s="15">
        <v>0</v>
      </c>
      <c r="I1443" s="8">
        <f t="shared" si="2175"/>
        <v>-3000.0000000001137</v>
      </c>
      <c r="J1443" s="8">
        <v>0</v>
      </c>
      <c r="K1443" s="2">
        <v>0</v>
      </c>
      <c r="L1443" s="8">
        <f t="shared" si="2172"/>
        <v>-0.60000000000002274</v>
      </c>
      <c r="M1443" s="8">
        <f t="shared" si="2173"/>
        <v>-3000.0000000001137</v>
      </c>
    </row>
    <row r="1444" spans="1:13" ht="15.75" customHeight="1" x14ac:dyDescent="0.25">
      <c r="A1444" s="24">
        <v>43580</v>
      </c>
      <c r="B1444" s="9" t="s">
        <v>18</v>
      </c>
      <c r="C1444" s="9">
        <v>1000</v>
      </c>
      <c r="D1444" s="9" t="s">
        <v>10</v>
      </c>
      <c r="E1444" s="19">
        <v>449.5</v>
      </c>
      <c r="F1444" s="19">
        <v>446.5</v>
      </c>
      <c r="G1444" s="9">
        <v>0</v>
      </c>
      <c r="H1444" s="15">
        <v>0</v>
      </c>
      <c r="I1444" s="8">
        <f t="shared" si="2175"/>
        <v>-3000</v>
      </c>
      <c r="J1444" s="8">
        <v>0</v>
      </c>
      <c r="K1444" s="2">
        <v>0</v>
      </c>
      <c r="L1444" s="8">
        <f t="shared" si="2172"/>
        <v>-3</v>
      </c>
      <c r="M1444" s="8">
        <f t="shared" si="2173"/>
        <v>-3000</v>
      </c>
    </row>
    <row r="1445" spans="1:13" ht="15.75" customHeight="1" x14ac:dyDescent="0.25">
      <c r="A1445" s="24">
        <v>43579</v>
      </c>
      <c r="B1445" s="9" t="s">
        <v>34</v>
      </c>
      <c r="C1445" s="9">
        <v>100</v>
      </c>
      <c r="D1445" s="9" t="s">
        <v>10</v>
      </c>
      <c r="E1445" s="19">
        <v>4621</v>
      </c>
      <c r="F1445" s="19">
        <v>4641</v>
      </c>
      <c r="G1445" s="9">
        <v>0</v>
      </c>
      <c r="H1445" s="15">
        <v>0</v>
      </c>
      <c r="I1445" s="8">
        <f t="shared" si="2175"/>
        <v>2000</v>
      </c>
      <c r="J1445" s="8">
        <v>0</v>
      </c>
      <c r="K1445" s="2">
        <v>0</v>
      </c>
      <c r="L1445" s="8">
        <f t="shared" si="2172"/>
        <v>20</v>
      </c>
      <c r="M1445" s="8">
        <f t="shared" si="2173"/>
        <v>2000</v>
      </c>
    </row>
    <row r="1446" spans="1:13" ht="15.75" customHeight="1" x14ac:dyDescent="0.25">
      <c r="A1446" s="24">
        <v>43579</v>
      </c>
      <c r="B1446" s="9" t="s">
        <v>19</v>
      </c>
      <c r="C1446" s="9">
        <v>100</v>
      </c>
      <c r="D1446" s="9" t="s">
        <v>11</v>
      </c>
      <c r="E1446" s="19">
        <v>31560</v>
      </c>
      <c r="F1446" s="19">
        <v>31620</v>
      </c>
      <c r="G1446" s="9">
        <v>0</v>
      </c>
      <c r="H1446" s="15">
        <v>0</v>
      </c>
      <c r="I1446" s="8">
        <f t="shared" si="2175"/>
        <v>-6000</v>
      </c>
      <c r="J1446" s="8">
        <v>0</v>
      </c>
      <c r="K1446" s="2">
        <v>0</v>
      </c>
      <c r="L1446" s="8">
        <f t="shared" si="2172"/>
        <v>-60</v>
      </c>
      <c r="M1446" s="8">
        <f t="shared" si="2173"/>
        <v>-6000</v>
      </c>
    </row>
    <row r="1447" spans="1:13" ht="15.75" customHeight="1" x14ac:dyDescent="0.25">
      <c r="A1447" s="24">
        <v>43578</v>
      </c>
      <c r="B1447" s="9" t="s">
        <v>17</v>
      </c>
      <c r="C1447" s="9">
        <v>5000</v>
      </c>
      <c r="D1447" s="9" t="s">
        <v>11</v>
      </c>
      <c r="E1447" s="19">
        <v>223.9</v>
      </c>
      <c r="F1447" s="19">
        <v>223.3</v>
      </c>
      <c r="G1447" s="9">
        <v>0</v>
      </c>
      <c r="H1447" s="15">
        <v>0</v>
      </c>
      <c r="I1447" s="8">
        <f t="shared" si="2175"/>
        <v>2999.9999999999718</v>
      </c>
      <c r="J1447" s="8">
        <v>0</v>
      </c>
      <c r="K1447" s="2">
        <v>0</v>
      </c>
      <c r="L1447" s="8">
        <f t="shared" si="2172"/>
        <v>0.59999999999999432</v>
      </c>
      <c r="M1447" s="8">
        <f t="shared" si="2173"/>
        <v>2999.9999999999718</v>
      </c>
    </row>
    <row r="1448" spans="1:13" ht="15.75" customHeight="1" x14ac:dyDescent="0.25">
      <c r="A1448" s="24">
        <v>43578</v>
      </c>
      <c r="B1448" s="9" t="s">
        <v>52</v>
      </c>
      <c r="C1448" s="9">
        <v>1250</v>
      </c>
      <c r="D1448" s="9" t="s">
        <v>11</v>
      </c>
      <c r="E1448" s="19">
        <v>174</v>
      </c>
      <c r="F1448" s="19">
        <v>172.5</v>
      </c>
      <c r="G1448" s="9">
        <v>0</v>
      </c>
      <c r="H1448" s="15">
        <v>0</v>
      </c>
      <c r="I1448" s="8">
        <f t="shared" si="2175"/>
        <v>1875</v>
      </c>
      <c r="J1448" s="8">
        <v>0</v>
      </c>
      <c r="K1448" s="2">
        <v>0</v>
      </c>
      <c r="L1448" s="8">
        <f t="shared" si="2172"/>
        <v>1.5</v>
      </c>
      <c r="M1448" s="8">
        <f t="shared" si="2173"/>
        <v>1875</v>
      </c>
    </row>
    <row r="1449" spans="1:13" ht="15.75" customHeight="1" x14ac:dyDescent="0.25">
      <c r="A1449" s="24">
        <v>43578</v>
      </c>
      <c r="B1449" s="9" t="s">
        <v>19</v>
      </c>
      <c r="C1449" s="9">
        <v>100</v>
      </c>
      <c r="D1449" s="9" t="s">
        <v>11</v>
      </c>
      <c r="E1449" s="19">
        <v>31510</v>
      </c>
      <c r="F1449" s="19">
        <v>31450</v>
      </c>
      <c r="G1449" s="9">
        <v>0</v>
      </c>
      <c r="H1449" s="15">
        <v>0</v>
      </c>
      <c r="I1449" s="8">
        <f t="shared" si="2175"/>
        <v>6000</v>
      </c>
      <c r="J1449" s="8">
        <v>0</v>
      </c>
      <c r="K1449" s="2">
        <v>0</v>
      </c>
      <c r="L1449" s="8">
        <f t="shared" si="2172"/>
        <v>60</v>
      </c>
      <c r="M1449" s="8">
        <f t="shared" si="2173"/>
        <v>6000</v>
      </c>
    </row>
    <row r="1450" spans="1:13" ht="15.75" customHeight="1" x14ac:dyDescent="0.25">
      <c r="A1450" s="24">
        <v>43578</v>
      </c>
      <c r="B1450" s="9" t="s">
        <v>22</v>
      </c>
      <c r="C1450" s="9">
        <v>5000</v>
      </c>
      <c r="D1450" s="9" t="s">
        <v>11</v>
      </c>
      <c r="E1450" s="19">
        <v>150.05000000000001</v>
      </c>
      <c r="F1450" s="19">
        <v>150.65</v>
      </c>
      <c r="G1450" s="9">
        <v>0</v>
      </c>
      <c r="H1450" s="15">
        <v>0</v>
      </c>
      <c r="I1450" s="8">
        <f t="shared" si="2175"/>
        <v>-2999.9999999999718</v>
      </c>
      <c r="J1450" s="8">
        <v>0</v>
      </c>
      <c r="K1450" s="2">
        <v>0</v>
      </c>
      <c r="L1450" s="8">
        <f t="shared" si="2172"/>
        <v>-0.59999999999999432</v>
      </c>
      <c r="M1450" s="8">
        <f t="shared" si="2173"/>
        <v>-2999.9999999999718</v>
      </c>
    </row>
    <row r="1451" spans="1:13" ht="15.75" customHeight="1" x14ac:dyDescent="0.25">
      <c r="A1451" s="24">
        <v>43578</v>
      </c>
      <c r="B1451" s="9" t="s">
        <v>34</v>
      </c>
      <c r="C1451" s="9">
        <v>100</v>
      </c>
      <c r="D1451" s="9" t="s">
        <v>10</v>
      </c>
      <c r="E1451" s="19">
        <v>4619</v>
      </c>
      <c r="F1451" s="19">
        <v>4590</v>
      </c>
      <c r="G1451" s="9">
        <v>0</v>
      </c>
      <c r="H1451" s="15">
        <v>0</v>
      </c>
      <c r="I1451" s="8">
        <f t="shared" si="2175"/>
        <v>-2900</v>
      </c>
      <c r="J1451" s="8">
        <v>0</v>
      </c>
      <c r="K1451" s="2">
        <v>0</v>
      </c>
      <c r="L1451" s="8">
        <f t="shared" si="2172"/>
        <v>-29</v>
      </c>
      <c r="M1451" s="8">
        <f t="shared" si="2173"/>
        <v>-2900</v>
      </c>
    </row>
    <row r="1452" spans="1:13" ht="15.75" customHeight="1" x14ac:dyDescent="0.25">
      <c r="A1452" s="24">
        <v>43573</v>
      </c>
      <c r="B1452" s="9" t="s">
        <v>18</v>
      </c>
      <c r="C1452" s="9">
        <v>1000</v>
      </c>
      <c r="D1452" s="9" t="s">
        <v>11</v>
      </c>
      <c r="E1452" s="19">
        <v>451.5</v>
      </c>
      <c r="F1452" s="19">
        <v>450</v>
      </c>
      <c r="G1452" s="9">
        <v>447</v>
      </c>
      <c r="H1452" s="15">
        <v>0</v>
      </c>
      <c r="I1452" s="8">
        <f t="shared" si="2175"/>
        <v>1500</v>
      </c>
      <c r="J1452" s="8">
        <f>C1452*3</f>
        <v>3000</v>
      </c>
      <c r="K1452" s="2">
        <v>0</v>
      </c>
      <c r="L1452" s="8">
        <f t="shared" si="2172"/>
        <v>4.5</v>
      </c>
      <c r="M1452" s="8">
        <f t="shared" si="2173"/>
        <v>4500</v>
      </c>
    </row>
    <row r="1453" spans="1:13" ht="15.75" customHeight="1" x14ac:dyDescent="0.25">
      <c r="A1453" s="24">
        <v>43573</v>
      </c>
      <c r="B1453" s="9" t="s">
        <v>17</v>
      </c>
      <c r="C1453" s="9">
        <v>5000</v>
      </c>
      <c r="D1453" s="9" t="s">
        <v>11</v>
      </c>
      <c r="E1453" s="19">
        <v>225.1</v>
      </c>
      <c r="F1453" s="19">
        <v>224.5</v>
      </c>
      <c r="G1453" s="9">
        <v>223.5</v>
      </c>
      <c r="H1453" s="15">
        <v>0</v>
      </c>
      <c r="I1453" s="8">
        <f t="shared" si="2175"/>
        <v>2999.9999999999718</v>
      </c>
      <c r="J1453" s="8">
        <f>C1453*1</f>
        <v>5000</v>
      </c>
      <c r="K1453" s="2">
        <v>0</v>
      </c>
      <c r="L1453" s="8">
        <f t="shared" si="2172"/>
        <v>1.5999999999999943</v>
      </c>
      <c r="M1453" s="8">
        <f t="shared" si="2173"/>
        <v>7999.9999999999718</v>
      </c>
    </row>
    <row r="1454" spans="1:13" ht="15.75" customHeight="1" x14ac:dyDescent="0.25">
      <c r="A1454" s="24">
        <v>43573</v>
      </c>
      <c r="B1454" s="9" t="s">
        <v>19</v>
      </c>
      <c r="C1454" s="9">
        <v>100</v>
      </c>
      <c r="D1454" s="9" t="s">
        <v>10</v>
      </c>
      <c r="E1454" s="19">
        <v>31600</v>
      </c>
      <c r="F1454" s="19">
        <v>31490</v>
      </c>
      <c r="G1454" s="9">
        <v>0</v>
      </c>
      <c r="H1454" s="15">
        <v>0</v>
      </c>
      <c r="I1454" s="8">
        <f t="shared" si="2175"/>
        <v>-11000</v>
      </c>
      <c r="J1454" s="8">
        <v>0</v>
      </c>
      <c r="K1454" s="2">
        <v>0</v>
      </c>
      <c r="L1454" s="8">
        <f t="shared" si="2172"/>
        <v>-110</v>
      </c>
      <c r="M1454" s="8">
        <f t="shared" si="2173"/>
        <v>-11000</v>
      </c>
    </row>
    <row r="1455" spans="1:13" ht="15.75" customHeight="1" x14ac:dyDescent="0.25">
      <c r="A1455" s="24">
        <v>43573</v>
      </c>
      <c r="B1455" s="9" t="s">
        <v>21</v>
      </c>
      <c r="C1455" s="9">
        <v>250</v>
      </c>
      <c r="D1455" s="9" t="s">
        <v>11</v>
      </c>
      <c r="E1455" s="19">
        <v>885</v>
      </c>
      <c r="F1455" s="19">
        <v>881</v>
      </c>
      <c r="G1455" s="9">
        <v>0</v>
      </c>
      <c r="H1455" s="15">
        <v>0</v>
      </c>
      <c r="I1455" s="8">
        <f t="shared" si="2175"/>
        <v>1000</v>
      </c>
      <c r="J1455" s="8">
        <v>0</v>
      </c>
      <c r="K1455" s="2">
        <v>0</v>
      </c>
      <c r="L1455" s="8">
        <f t="shared" si="2172"/>
        <v>4</v>
      </c>
      <c r="M1455" s="8">
        <f t="shared" si="2173"/>
        <v>1000</v>
      </c>
    </row>
    <row r="1456" spans="1:13" ht="15.75" customHeight="1" x14ac:dyDescent="0.25">
      <c r="A1456" s="24">
        <v>43570</v>
      </c>
      <c r="B1456" s="9" t="s">
        <v>17</v>
      </c>
      <c r="C1456" s="9">
        <v>5000</v>
      </c>
      <c r="D1456" s="9" t="s">
        <v>10</v>
      </c>
      <c r="E1456" s="19">
        <v>229.2</v>
      </c>
      <c r="F1456" s="19">
        <v>228.45</v>
      </c>
      <c r="G1456" s="9">
        <v>0</v>
      </c>
      <c r="H1456" s="15">
        <v>0</v>
      </c>
      <c r="I1456" s="8">
        <f t="shared" si="2175"/>
        <v>-3750</v>
      </c>
      <c r="J1456" s="8">
        <v>0</v>
      </c>
      <c r="K1456" s="2">
        <v>0</v>
      </c>
      <c r="L1456" s="8">
        <f t="shared" si="2172"/>
        <v>-0.75</v>
      </c>
      <c r="M1456" s="8">
        <f t="shared" si="2173"/>
        <v>-3750</v>
      </c>
    </row>
    <row r="1457" spans="1:13" ht="15.75" customHeight="1" x14ac:dyDescent="0.25">
      <c r="A1457" s="24">
        <v>43567</v>
      </c>
      <c r="B1457" s="9" t="s">
        <v>18</v>
      </c>
      <c r="C1457" s="9">
        <v>1000</v>
      </c>
      <c r="D1457" s="9" t="s">
        <v>10</v>
      </c>
      <c r="E1457" s="19">
        <v>446</v>
      </c>
      <c r="F1457" s="19">
        <v>447.5</v>
      </c>
      <c r="G1457" s="9">
        <v>450</v>
      </c>
      <c r="H1457" s="15">
        <v>0</v>
      </c>
      <c r="I1457" s="8">
        <f t="shared" si="2175"/>
        <v>1500</v>
      </c>
      <c r="J1457" s="8">
        <f>C1457*2.5</f>
        <v>2500</v>
      </c>
      <c r="K1457" s="2">
        <v>0</v>
      </c>
      <c r="L1457" s="8">
        <f t="shared" si="2172"/>
        <v>4</v>
      </c>
      <c r="M1457" s="8">
        <f t="shared" si="2173"/>
        <v>4000</v>
      </c>
    </row>
    <row r="1458" spans="1:13" ht="15.75" customHeight="1" x14ac:dyDescent="0.25">
      <c r="A1458" s="24">
        <v>43567</v>
      </c>
      <c r="B1458" s="9" t="s">
        <v>19</v>
      </c>
      <c r="C1458" s="9">
        <v>100</v>
      </c>
      <c r="D1458" s="9" t="s">
        <v>10</v>
      </c>
      <c r="E1458" s="19">
        <v>31930</v>
      </c>
      <c r="F1458" s="19">
        <v>31980</v>
      </c>
      <c r="G1458" s="9">
        <v>0</v>
      </c>
      <c r="H1458" s="15">
        <v>0</v>
      </c>
      <c r="I1458" s="8">
        <f t="shared" si="2175"/>
        <v>5000</v>
      </c>
      <c r="J1458" s="8">
        <v>0</v>
      </c>
      <c r="K1458" s="2">
        <v>0</v>
      </c>
      <c r="L1458" s="8">
        <f t="shared" si="2172"/>
        <v>50</v>
      </c>
      <c r="M1458" s="8">
        <f t="shared" si="2173"/>
        <v>5000</v>
      </c>
    </row>
    <row r="1459" spans="1:13" ht="15.75" customHeight="1" x14ac:dyDescent="0.25">
      <c r="A1459" s="24">
        <v>43567</v>
      </c>
      <c r="B1459" s="9" t="s">
        <v>34</v>
      </c>
      <c r="C1459" s="9">
        <v>100</v>
      </c>
      <c r="D1459" s="9" t="s">
        <v>10</v>
      </c>
      <c r="E1459" s="19">
        <v>4428</v>
      </c>
      <c r="F1459" s="19">
        <v>4450</v>
      </c>
      <c r="G1459" s="9">
        <v>0</v>
      </c>
      <c r="H1459" s="15">
        <v>0</v>
      </c>
      <c r="I1459" s="8">
        <f t="shared" si="2175"/>
        <v>2200</v>
      </c>
      <c r="J1459" s="8">
        <v>0</v>
      </c>
      <c r="K1459" s="2">
        <v>0</v>
      </c>
      <c r="L1459" s="8">
        <f t="shared" si="2172"/>
        <v>22</v>
      </c>
      <c r="M1459" s="8">
        <f t="shared" si="2173"/>
        <v>2200</v>
      </c>
    </row>
    <row r="1460" spans="1:13" ht="15.75" customHeight="1" x14ac:dyDescent="0.25">
      <c r="A1460" s="24">
        <v>43566</v>
      </c>
      <c r="B1460" s="9" t="s">
        <v>19</v>
      </c>
      <c r="C1460" s="9">
        <v>100</v>
      </c>
      <c r="D1460" s="9" t="s">
        <v>11</v>
      </c>
      <c r="E1460" s="19">
        <v>31970</v>
      </c>
      <c r="F1460" s="19">
        <v>31930</v>
      </c>
      <c r="G1460" s="9">
        <v>31840</v>
      </c>
      <c r="H1460" s="15">
        <v>31740</v>
      </c>
      <c r="I1460" s="8">
        <f t="shared" si="2175"/>
        <v>4000</v>
      </c>
      <c r="J1460" s="8">
        <f>C1460*90</f>
        <v>9000</v>
      </c>
      <c r="K1460" s="2">
        <f>C1460*100</f>
        <v>10000</v>
      </c>
      <c r="L1460" s="8">
        <f t="shared" si="2172"/>
        <v>230</v>
      </c>
      <c r="M1460" s="8">
        <f t="shared" si="2173"/>
        <v>23000</v>
      </c>
    </row>
    <row r="1461" spans="1:13" ht="15.75" customHeight="1" x14ac:dyDescent="0.25">
      <c r="A1461" s="24">
        <v>43565</v>
      </c>
      <c r="B1461" s="9" t="s">
        <v>18</v>
      </c>
      <c r="C1461" s="9">
        <v>1000</v>
      </c>
      <c r="D1461" s="9" t="s">
        <v>11</v>
      </c>
      <c r="E1461" s="19">
        <v>446.6</v>
      </c>
      <c r="F1461" s="19">
        <v>0</v>
      </c>
      <c r="G1461" s="9">
        <v>0</v>
      </c>
      <c r="H1461" s="15">
        <v>0</v>
      </c>
      <c r="I1461" s="8">
        <v>0</v>
      </c>
      <c r="J1461" s="8">
        <v>0</v>
      </c>
      <c r="K1461" s="2">
        <v>0</v>
      </c>
      <c r="L1461" s="8">
        <f t="shared" si="2172"/>
        <v>0</v>
      </c>
      <c r="M1461" s="8">
        <f t="shared" si="2173"/>
        <v>0</v>
      </c>
    </row>
    <row r="1462" spans="1:13" ht="15.75" customHeight="1" x14ac:dyDescent="0.25">
      <c r="A1462" s="24">
        <v>43565</v>
      </c>
      <c r="B1462" s="9" t="s">
        <v>17</v>
      </c>
      <c r="C1462" s="9">
        <v>5000</v>
      </c>
      <c r="D1462" s="9" t="s">
        <v>11</v>
      </c>
      <c r="E1462" s="19">
        <v>224</v>
      </c>
      <c r="F1462" s="19">
        <v>223.4</v>
      </c>
      <c r="G1462" s="9">
        <v>0</v>
      </c>
      <c r="H1462" s="15">
        <v>0</v>
      </c>
      <c r="I1462" s="8">
        <f t="shared" ref="I1462:I1493" si="2176">(IF(D1462="SELL",E1462-F1462,IF(D1462="BUY",F1462-E1462)))*C1462</f>
        <v>2999.9999999999718</v>
      </c>
      <c r="J1462" s="8">
        <v>0</v>
      </c>
      <c r="K1462" s="2">
        <v>0</v>
      </c>
      <c r="L1462" s="8">
        <f t="shared" si="2172"/>
        <v>0.59999999999999432</v>
      </c>
      <c r="M1462" s="8">
        <f t="shared" si="2173"/>
        <v>2999.9999999999718</v>
      </c>
    </row>
    <row r="1463" spans="1:13" ht="15.75" customHeight="1" x14ac:dyDescent="0.25">
      <c r="A1463" s="24">
        <v>43564</v>
      </c>
      <c r="B1463" s="9" t="s">
        <v>17</v>
      </c>
      <c r="C1463" s="9">
        <v>5000</v>
      </c>
      <c r="D1463" s="9" t="s">
        <v>11</v>
      </c>
      <c r="E1463" s="19">
        <v>226.4</v>
      </c>
      <c r="F1463" s="19">
        <v>225.7</v>
      </c>
      <c r="G1463" s="9">
        <v>224.7</v>
      </c>
      <c r="H1463" s="15">
        <v>0</v>
      </c>
      <c r="I1463" s="8">
        <f t="shared" si="2176"/>
        <v>3500.0000000000855</v>
      </c>
      <c r="J1463" s="8">
        <f>C1463*1</f>
        <v>5000</v>
      </c>
      <c r="K1463" s="2">
        <v>0</v>
      </c>
      <c r="L1463" s="8">
        <f t="shared" si="2172"/>
        <v>1.7000000000000171</v>
      </c>
      <c r="M1463" s="8">
        <f t="shared" si="2173"/>
        <v>8500.0000000000855</v>
      </c>
    </row>
    <row r="1464" spans="1:13" ht="15.75" customHeight="1" x14ac:dyDescent="0.25">
      <c r="A1464" s="24">
        <v>43564</v>
      </c>
      <c r="B1464" s="9" t="s">
        <v>34</v>
      </c>
      <c r="C1464" s="9">
        <v>100</v>
      </c>
      <c r="D1464" s="9" t="s">
        <v>11</v>
      </c>
      <c r="E1464" s="19">
        <v>4480</v>
      </c>
      <c r="F1464" s="19">
        <v>4460</v>
      </c>
      <c r="G1464" s="9">
        <v>4430</v>
      </c>
      <c r="H1464" s="15">
        <v>0</v>
      </c>
      <c r="I1464" s="8">
        <f t="shared" si="2176"/>
        <v>2000</v>
      </c>
      <c r="J1464" s="8">
        <f>C1464*30</f>
        <v>3000</v>
      </c>
      <c r="K1464" s="2">
        <v>0</v>
      </c>
      <c r="L1464" s="8">
        <f t="shared" si="2172"/>
        <v>50</v>
      </c>
      <c r="M1464" s="8">
        <f t="shared" si="2173"/>
        <v>5000</v>
      </c>
    </row>
    <row r="1465" spans="1:13" ht="15.75" customHeight="1" x14ac:dyDescent="0.25">
      <c r="A1465" s="24">
        <v>43564</v>
      </c>
      <c r="B1465" s="9" t="s">
        <v>15</v>
      </c>
      <c r="C1465" s="9">
        <v>5000</v>
      </c>
      <c r="D1465" s="9" t="s">
        <v>11</v>
      </c>
      <c r="E1465" s="19">
        <v>139.30000000000001</v>
      </c>
      <c r="F1465" s="19">
        <v>138.69999999999999</v>
      </c>
      <c r="G1465" s="9">
        <v>137.80000000000001</v>
      </c>
      <c r="H1465" s="15">
        <v>0</v>
      </c>
      <c r="I1465" s="8">
        <f t="shared" si="2176"/>
        <v>3000.0000000001137</v>
      </c>
      <c r="J1465" s="8">
        <f>C1465*0.9</f>
        <v>4500</v>
      </c>
      <c r="K1465" s="2">
        <v>0</v>
      </c>
      <c r="L1465" s="8">
        <f t="shared" si="2172"/>
        <v>1.5000000000000226</v>
      </c>
      <c r="M1465" s="8">
        <f t="shared" si="2173"/>
        <v>7500.0000000001137</v>
      </c>
    </row>
    <row r="1466" spans="1:13" ht="15.75" customHeight="1" x14ac:dyDescent="0.25">
      <c r="A1466" s="24">
        <v>43563</v>
      </c>
      <c r="B1466" s="9" t="s">
        <v>14</v>
      </c>
      <c r="C1466" s="9">
        <v>30</v>
      </c>
      <c r="D1466" s="9" t="s">
        <v>10</v>
      </c>
      <c r="E1466" s="19">
        <v>37960</v>
      </c>
      <c r="F1466" s="19">
        <v>38060</v>
      </c>
      <c r="G1466" s="9">
        <v>0</v>
      </c>
      <c r="H1466" s="15">
        <v>0</v>
      </c>
      <c r="I1466" s="8">
        <f t="shared" si="2176"/>
        <v>3000</v>
      </c>
      <c r="J1466" s="8">
        <v>0</v>
      </c>
      <c r="K1466" s="2">
        <v>0</v>
      </c>
      <c r="L1466" s="8">
        <f t="shared" si="2172"/>
        <v>100</v>
      </c>
      <c r="M1466" s="8">
        <f t="shared" si="2173"/>
        <v>3000</v>
      </c>
    </row>
    <row r="1467" spans="1:13" ht="15.75" customHeight="1" x14ac:dyDescent="0.25">
      <c r="A1467" s="24">
        <v>43563</v>
      </c>
      <c r="B1467" s="9" t="s">
        <v>18</v>
      </c>
      <c r="C1467" s="9">
        <v>1000</v>
      </c>
      <c r="D1467" s="9" t="s">
        <v>10</v>
      </c>
      <c r="E1467" s="19">
        <v>450</v>
      </c>
      <c r="F1467" s="19">
        <v>451.5</v>
      </c>
      <c r="G1467" s="9">
        <v>0</v>
      </c>
      <c r="H1467" s="15">
        <v>0</v>
      </c>
      <c r="I1467" s="8">
        <f t="shared" si="2176"/>
        <v>1500</v>
      </c>
      <c r="J1467" s="8">
        <v>0</v>
      </c>
      <c r="K1467" s="2">
        <v>0</v>
      </c>
      <c r="L1467" s="8">
        <f t="shared" si="2172"/>
        <v>1.5</v>
      </c>
      <c r="M1467" s="8">
        <f t="shared" si="2173"/>
        <v>1500</v>
      </c>
    </row>
    <row r="1468" spans="1:13" ht="15.75" customHeight="1" x14ac:dyDescent="0.25">
      <c r="A1468" s="24">
        <v>43563</v>
      </c>
      <c r="B1468" s="9" t="s">
        <v>52</v>
      </c>
      <c r="C1468" s="9">
        <v>1250</v>
      </c>
      <c r="D1468" s="9" t="s">
        <v>10</v>
      </c>
      <c r="E1468" s="19">
        <v>188.1</v>
      </c>
      <c r="F1468" s="19">
        <v>189.3</v>
      </c>
      <c r="G1468" s="9">
        <v>0</v>
      </c>
      <c r="H1468" s="15">
        <v>0</v>
      </c>
      <c r="I1468" s="8">
        <f t="shared" si="2176"/>
        <v>1500.0000000000214</v>
      </c>
      <c r="J1468" s="8">
        <v>0</v>
      </c>
      <c r="K1468" s="2">
        <v>0</v>
      </c>
      <c r="L1468" s="8">
        <f t="shared" si="2172"/>
        <v>1.2000000000000171</v>
      </c>
      <c r="M1468" s="8">
        <f t="shared" si="2173"/>
        <v>1500.0000000000214</v>
      </c>
    </row>
    <row r="1469" spans="1:13" ht="15.75" customHeight="1" x14ac:dyDescent="0.25">
      <c r="A1469" s="24">
        <v>43563</v>
      </c>
      <c r="B1469" s="9" t="s">
        <v>34</v>
      </c>
      <c r="C1469" s="9">
        <v>100</v>
      </c>
      <c r="D1469" s="9" t="s">
        <v>10</v>
      </c>
      <c r="E1469" s="19">
        <v>4435</v>
      </c>
      <c r="F1469" s="19">
        <v>4455</v>
      </c>
      <c r="G1469" s="9">
        <v>0</v>
      </c>
      <c r="H1469" s="15">
        <v>0</v>
      </c>
      <c r="I1469" s="8">
        <f t="shared" si="2176"/>
        <v>2000</v>
      </c>
      <c r="J1469" s="8">
        <v>0</v>
      </c>
      <c r="K1469" s="2">
        <v>0</v>
      </c>
      <c r="L1469" s="8">
        <f t="shared" si="2172"/>
        <v>20</v>
      </c>
      <c r="M1469" s="8">
        <f t="shared" si="2173"/>
        <v>2000</v>
      </c>
    </row>
    <row r="1470" spans="1:13" ht="15.75" customHeight="1" x14ac:dyDescent="0.25">
      <c r="A1470" s="24">
        <v>43560</v>
      </c>
      <c r="B1470" s="9" t="s">
        <v>17</v>
      </c>
      <c r="C1470" s="9">
        <v>5000</v>
      </c>
      <c r="D1470" s="9" t="s">
        <v>10</v>
      </c>
      <c r="E1470" s="19">
        <v>227</v>
      </c>
      <c r="F1470" s="19">
        <v>225.8</v>
      </c>
      <c r="G1470" s="9">
        <v>0</v>
      </c>
      <c r="H1470" s="15">
        <v>0</v>
      </c>
      <c r="I1470" s="8">
        <f t="shared" si="2176"/>
        <v>-5999.9999999999436</v>
      </c>
      <c r="J1470" s="8">
        <v>0</v>
      </c>
      <c r="K1470" s="2">
        <v>0</v>
      </c>
      <c r="L1470" s="8">
        <f t="shared" si="2172"/>
        <v>-1.1999999999999886</v>
      </c>
      <c r="M1470" s="8">
        <f t="shared" si="2173"/>
        <v>-5999.9999999999436</v>
      </c>
    </row>
    <row r="1471" spans="1:13" ht="15.75" customHeight="1" x14ac:dyDescent="0.25">
      <c r="A1471" s="24">
        <v>43560</v>
      </c>
      <c r="B1471" s="9" t="s">
        <v>34</v>
      </c>
      <c r="C1471" s="9">
        <v>100</v>
      </c>
      <c r="D1471" s="9" t="s">
        <v>10</v>
      </c>
      <c r="E1471" s="19">
        <v>4308</v>
      </c>
      <c r="F1471" s="19">
        <v>4330</v>
      </c>
      <c r="G1471" s="9">
        <v>4360</v>
      </c>
      <c r="H1471" s="15">
        <v>0</v>
      </c>
      <c r="I1471" s="8">
        <f t="shared" si="2176"/>
        <v>2200</v>
      </c>
      <c r="J1471" s="8">
        <f>C1471*30</f>
        <v>3000</v>
      </c>
      <c r="K1471" s="2">
        <v>0</v>
      </c>
      <c r="L1471" s="8">
        <f t="shared" ref="L1471:L1534" si="2177">(J1471+I1471+K1471)/C1471</f>
        <v>52</v>
      </c>
      <c r="M1471" s="8">
        <f t="shared" ref="M1471:M1534" si="2178">L1471*C1471</f>
        <v>5200</v>
      </c>
    </row>
    <row r="1472" spans="1:13" ht="15.75" customHeight="1" x14ac:dyDescent="0.25">
      <c r="A1472" s="24">
        <v>43560</v>
      </c>
      <c r="B1472" s="9" t="s">
        <v>21</v>
      </c>
      <c r="C1472" s="9">
        <v>250</v>
      </c>
      <c r="D1472" s="9" t="s">
        <v>10</v>
      </c>
      <c r="E1472" s="19">
        <v>915</v>
      </c>
      <c r="F1472" s="19">
        <v>919</v>
      </c>
      <c r="G1472" s="9">
        <v>0</v>
      </c>
      <c r="H1472" s="15">
        <v>0</v>
      </c>
      <c r="I1472" s="8">
        <f t="shared" si="2176"/>
        <v>1000</v>
      </c>
      <c r="J1472" s="8">
        <v>0</v>
      </c>
      <c r="K1472" s="2">
        <v>0</v>
      </c>
      <c r="L1472" s="8">
        <f t="shared" si="2177"/>
        <v>4</v>
      </c>
      <c r="M1472" s="8">
        <f t="shared" si="2178"/>
        <v>1000</v>
      </c>
    </row>
    <row r="1473" spans="1:13" ht="15.75" customHeight="1" x14ac:dyDescent="0.25">
      <c r="A1473" s="24">
        <v>43559</v>
      </c>
      <c r="B1473" s="9" t="s">
        <v>22</v>
      </c>
      <c r="C1473" s="9">
        <v>5000</v>
      </c>
      <c r="D1473" s="9" t="s">
        <v>10</v>
      </c>
      <c r="E1473" s="19">
        <v>147.55000000000001</v>
      </c>
      <c r="F1473" s="19">
        <v>148.1</v>
      </c>
      <c r="G1473" s="9">
        <v>0</v>
      </c>
      <c r="H1473" s="15">
        <v>0</v>
      </c>
      <c r="I1473" s="8">
        <f t="shared" si="2176"/>
        <v>2749.9999999999145</v>
      </c>
      <c r="J1473" s="8">
        <v>0</v>
      </c>
      <c r="K1473" s="2">
        <v>0</v>
      </c>
      <c r="L1473" s="8">
        <f t="shared" si="2177"/>
        <v>0.54999999999998295</v>
      </c>
      <c r="M1473" s="8">
        <f t="shared" si="2178"/>
        <v>2749.9999999999145</v>
      </c>
    </row>
    <row r="1474" spans="1:13" ht="15.75" customHeight="1" x14ac:dyDescent="0.25">
      <c r="A1474" s="24">
        <v>43559</v>
      </c>
      <c r="B1474" s="9" t="s">
        <v>14</v>
      </c>
      <c r="C1474" s="9">
        <v>30</v>
      </c>
      <c r="D1474" s="9" t="s">
        <v>11</v>
      </c>
      <c r="E1474" s="19">
        <v>37110</v>
      </c>
      <c r="F1474" s="19">
        <v>37010</v>
      </c>
      <c r="G1474" s="9">
        <v>0</v>
      </c>
      <c r="H1474" s="15">
        <v>0</v>
      </c>
      <c r="I1474" s="8">
        <f t="shared" si="2176"/>
        <v>3000</v>
      </c>
      <c r="J1474" s="8">
        <v>0</v>
      </c>
      <c r="K1474" s="2">
        <v>0</v>
      </c>
      <c r="L1474" s="8">
        <f t="shared" si="2177"/>
        <v>100</v>
      </c>
      <c r="M1474" s="8">
        <f t="shared" si="2178"/>
        <v>3000</v>
      </c>
    </row>
    <row r="1475" spans="1:13" ht="15.75" customHeight="1" x14ac:dyDescent="0.25">
      <c r="A1475" s="24">
        <v>43559</v>
      </c>
      <c r="B1475" s="9" t="s">
        <v>34</v>
      </c>
      <c r="C1475" s="9">
        <v>100</v>
      </c>
      <c r="D1475" s="9" t="s">
        <v>10</v>
      </c>
      <c r="E1475" s="19">
        <v>4310</v>
      </c>
      <c r="F1475" s="19">
        <v>4330</v>
      </c>
      <c r="G1475" s="9">
        <v>0</v>
      </c>
      <c r="H1475" s="15">
        <v>0</v>
      </c>
      <c r="I1475" s="8">
        <f t="shared" si="2176"/>
        <v>2000</v>
      </c>
      <c r="J1475" s="8">
        <v>0</v>
      </c>
      <c r="K1475" s="2">
        <v>0</v>
      </c>
      <c r="L1475" s="8">
        <f t="shared" si="2177"/>
        <v>20</v>
      </c>
      <c r="M1475" s="8">
        <f t="shared" si="2178"/>
        <v>2000</v>
      </c>
    </row>
    <row r="1476" spans="1:13" ht="15.75" customHeight="1" x14ac:dyDescent="0.25">
      <c r="A1476" s="24">
        <v>43559</v>
      </c>
      <c r="B1476" s="9" t="s">
        <v>18</v>
      </c>
      <c r="C1476" s="9">
        <v>1000</v>
      </c>
      <c r="D1476" s="9" t="s">
        <v>10</v>
      </c>
      <c r="E1476" s="19">
        <v>449.5</v>
      </c>
      <c r="F1476" s="19">
        <v>446</v>
      </c>
      <c r="G1476" s="9">
        <v>0</v>
      </c>
      <c r="H1476" s="15">
        <v>0</v>
      </c>
      <c r="I1476" s="8">
        <f t="shared" si="2176"/>
        <v>-3500</v>
      </c>
      <c r="J1476" s="8">
        <v>0</v>
      </c>
      <c r="K1476" s="2">
        <v>0</v>
      </c>
      <c r="L1476" s="8">
        <f t="shared" si="2177"/>
        <v>-3.5</v>
      </c>
      <c r="M1476" s="8">
        <f t="shared" si="2178"/>
        <v>-3500</v>
      </c>
    </row>
    <row r="1477" spans="1:13" ht="15.75" customHeight="1" x14ac:dyDescent="0.25">
      <c r="A1477" s="24">
        <v>43558</v>
      </c>
      <c r="B1477" s="9" t="s">
        <v>17</v>
      </c>
      <c r="C1477" s="9">
        <v>5000</v>
      </c>
      <c r="D1477" s="9" t="s">
        <v>10</v>
      </c>
      <c r="E1477" s="19">
        <v>223.4</v>
      </c>
      <c r="F1477" s="19">
        <v>224</v>
      </c>
      <c r="G1477" s="9">
        <v>225</v>
      </c>
      <c r="H1477" s="15">
        <v>226.5</v>
      </c>
      <c r="I1477" s="8">
        <f t="shared" si="2176"/>
        <v>2999.9999999999718</v>
      </c>
      <c r="J1477" s="8">
        <f>C1477*1</f>
        <v>5000</v>
      </c>
      <c r="K1477" s="2">
        <f>C1477*1.5</f>
        <v>7500</v>
      </c>
      <c r="L1477" s="8">
        <f t="shared" si="2177"/>
        <v>3.0999999999999943</v>
      </c>
      <c r="M1477" s="8">
        <f t="shared" si="2178"/>
        <v>15499.999999999971</v>
      </c>
    </row>
    <row r="1478" spans="1:13" ht="15.75" customHeight="1" x14ac:dyDescent="0.25">
      <c r="A1478" s="24">
        <v>43558</v>
      </c>
      <c r="B1478" s="9" t="s">
        <v>21</v>
      </c>
      <c r="C1478" s="9">
        <v>250</v>
      </c>
      <c r="D1478" s="9" t="s">
        <v>10</v>
      </c>
      <c r="E1478" s="19">
        <v>917</v>
      </c>
      <c r="F1478" s="19">
        <v>921</v>
      </c>
      <c r="G1478" s="9">
        <v>0</v>
      </c>
      <c r="H1478" s="15">
        <v>0</v>
      </c>
      <c r="I1478" s="8">
        <f t="shared" si="2176"/>
        <v>1000</v>
      </c>
      <c r="J1478" s="8">
        <v>0</v>
      </c>
      <c r="K1478" s="2">
        <v>0</v>
      </c>
      <c r="L1478" s="8">
        <f t="shared" si="2177"/>
        <v>4</v>
      </c>
      <c r="M1478" s="8">
        <f t="shared" si="2178"/>
        <v>1000</v>
      </c>
    </row>
    <row r="1479" spans="1:13" ht="15.75" customHeight="1" x14ac:dyDescent="0.25">
      <c r="A1479" s="24">
        <v>43558</v>
      </c>
      <c r="B1479" s="9" t="s">
        <v>14</v>
      </c>
      <c r="C1479" s="9">
        <v>30</v>
      </c>
      <c r="D1479" s="9" t="s">
        <v>11</v>
      </c>
      <c r="E1479" s="19">
        <v>37310</v>
      </c>
      <c r="F1479" s="19">
        <v>37220</v>
      </c>
      <c r="G1479" s="9">
        <v>0</v>
      </c>
      <c r="H1479" s="15">
        <v>0</v>
      </c>
      <c r="I1479" s="8">
        <f t="shared" si="2176"/>
        <v>2700</v>
      </c>
      <c r="J1479" s="8">
        <v>0</v>
      </c>
      <c r="K1479" s="2">
        <v>0</v>
      </c>
      <c r="L1479" s="8">
        <f t="shared" si="2177"/>
        <v>90</v>
      </c>
      <c r="M1479" s="8">
        <f t="shared" si="2178"/>
        <v>2700</v>
      </c>
    </row>
    <row r="1480" spans="1:13" ht="15.75" customHeight="1" x14ac:dyDescent="0.25">
      <c r="A1480" s="24">
        <v>43557</v>
      </c>
      <c r="B1480" s="9" t="s">
        <v>21</v>
      </c>
      <c r="C1480" s="9">
        <v>250</v>
      </c>
      <c r="D1480" s="9" t="s">
        <v>11</v>
      </c>
      <c r="E1480" s="19">
        <v>905</v>
      </c>
      <c r="F1480" s="19">
        <v>901</v>
      </c>
      <c r="G1480" s="9">
        <v>0</v>
      </c>
      <c r="H1480" s="15">
        <v>0</v>
      </c>
      <c r="I1480" s="8">
        <f t="shared" si="2176"/>
        <v>1000</v>
      </c>
      <c r="J1480" s="8">
        <v>0</v>
      </c>
      <c r="K1480" s="2">
        <v>0</v>
      </c>
      <c r="L1480" s="8">
        <f t="shared" si="2177"/>
        <v>4</v>
      </c>
      <c r="M1480" s="8">
        <f t="shared" si="2178"/>
        <v>1000</v>
      </c>
    </row>
    <row r="1481" spans="1:13" ht="15.75" customHeight="1" x14ac:dyDescent="0.25">
      <c r="A1481" s="24">
        <v>43557</v>
      </c>
      <c r="B1481" s="9" t="s">
        <v>14</v>
      </c>
      <c r="C1481" s="9">
        <v>30</v>
      </c>
      <c r="D1481" s="9" t="s">
        <v>11</v>
      </c>
      <c r="E1481" s="19">
        <v>37450</v>
      </c>
      <c r="F1481" s="19">
        <v>37350</v>
      </c>
      <c r="G1481" s="9">
        <v>37100</v>
      </c>
      <c r="H1481" s="15">
        <v>0</v>
      </c>
      <c r="I1481" s="8">
        <f t="shared" si="2176"/>
        <v>3000</v>
      </c>
      <c r="J1481" s="8">
        <f>C1481*250</f>
        <v>7500</v>
      </c>
      <c r="K1481" s="2">
        <v>0</v>
      </c>
      <c r="L1481" s="8">
        <f t="shared" si="2177"/>
        <v>350</v>
      </c>
      <c r="M1481" s="8">
        <f t="shared" si="2178"/>
        <v>10500</v>
      </c>
    </row>
    <row r="1482" spans="1:13" ht="15.75" customHeight="1" x14ac:dyDescent="0.25">
      <c r="A1482" s="24">
        <v>43557</v>
      </c>
      <c r="B1482" s="9" t="s">
        <v>34</v>
      </c>
      <c r="C1482" s="9">
        <v>100</v>
      </c>
      <c r="D1482" s="9" t="s">
        <v>10</v>
      </c>
      <c r="E1482" s="19">
        <v>4292</v>
      </c>
      <c r="F1482" s="19">
        <v>4310</v>
      </c>
      <c r="G1482" s="9">
        <v>0</v>
      </c>
      <c r="H1482" s="15">
        <v>0</v>
      </c>
      <c r="I1482" s="8">
        <f t="shared" si="2176"/>
        <v>1800</v>
      </c>
      <c r="J1482" s="8">
        <v>0</v>
      </c>
      <c r="K1482" s="2">
        <v>0</v>
      </c>
      <c r="L1482" s="8">
        <f t="shared" si="2177"/>
        <v>18</v>
      </c>
      <c r="M1482" s="8">
        <f t="shared" si="2178"/>
        <v>1800</v>
      </c>
    </row>
    <row r="1483" spans="1:13" ht="15.75" customHeight="1" x14ac:dyDescent="0.25">
      <c r="A1483" s="24">
        <v>43556</v>
      </c>
      <c r="B1483" s="9" t="s">
        <v>34</v>
      </c>
      <c r="C1483" s="9">
        <v>100</v>
      </c>
      <c r="D1483" s="9" t="s">
        <v>10</v>
      </c>
      <c r="E1483" s="19">
        <v>4215</v>
      </c>
      <c r="F1483" s="19">
        <v>4235</v>
      </c>
      <c r="G1483" s="9">
        <v>4260</v>
      </c>
      <c r="H1483" s="15">
        <v>0</v>
      </c>
      <c r="I1483" s="8">
        <f t="shared" si="2176"/>
        <v>2000</v>
      </c>
      <c r="J1483" s="8">
        <f>C1483*25</f>
        <v>2500</v>
      </c>
      <c r="K1483" s="2">
        <v>0</v>
      </c>
      <c r="L1483" s="8">
        <f t="shared" si="2177"/>
        <v>45</v>
      </c>
      <c r="M1483" s="8">
        <f t="shared" si="2178"/>
        <v>4500</v>
      </c>
    </row>
    <row r="1484" spans="1:13" ht="15.75" customHeight="1" x14ac:dyDescent="0.25">
      <c r="A1484" s="24">
        <v>43556</v>
      </c>
      <c r="B1484" s="9" t="s">
        <v>22</v>
      </c>
      <c r="C1484" s="9">
        <v>5000</v>
      </c>
      <c r="D1484" s="9" t="s">
        <v>10</v>
      </c>
      <c r="E1484" s="19">
        <v>150</v>
      </c>
      <c r="F1484" s="19">
        <v>149.25</v>
      </c>
      <c r="G1484" s="9">
        <v>0</v>
      </c>
      <c r="H1484" s="15">
        <v>0</v>
      </c>
      <c r="I1484" s="8">
        <f t="shared" si="2176"/>
        <v>-3750</v>
      </c>
      <c r="J1484" s="8">
        <v>0</v>
      </c>
      <c r="K1484" s="2">
        <v>0</v>
      </c>
      <c r="L1484" s="8">
        <f t="shared" si="2177"/>
        <v>-0.75</v>
      </c>
      <c r="M1484" s="8">
        <f t="shared" si="2178"/>
        <v>-3750</v>
      </c>
    </row>
    <row r="1485" spans="1:13" ht="15.75" customHeight="1" x14ac:dyDescent="0.25">
      <c r="A1485" s="24">
        <v>43552</v>
      </c>
      <c r="B1485" s="9" t="s">
        <v>18</v>
      </c>
      <c r="C1485" s="9">
        <v>1000</v>
      </c>
      <c r="D1485" s="9" t="s">
        <v>10</v>
      </c>
      <c r="E1485" s="19">
        <v>445.5</v>
      </c>
      <c r="F1485" s="19">
        <v>447.5</v>
      </c>
      <c r="G1485" s="9">
        <v>451</v>
      </c>
      <c r="H1485" s="15">
        <v>0</v>
      </c>
      <c r="I1485" s="8">
        <f t="shared" si="2176"/>
        <v>2000</v>
      </c>
      <c r="J1485" s="8">
        <f>C1485*3.5</f>
        <v>3500</v>
      </c>
      <c r="K1485" s="2">
        <v>0</v>
      </c>
      <c r="L1485" s="8">
        <f t="shared" si="2177"/>
        <v>5.5</v>
      </c>
      <c r="M1485" s="8">
        <f t="shared" si="2178"/>
        <v>5500</v>
      </c>
    </row>
    <row r="1486" spans="1:13" ht="15.75" customHeight="1" x14ac:dyDescent="0.25">
      <c r="A1486" s="24">
        <v>43552</v>
      </c>
      <c r="B1486" s="9" t="s">
        <v>17</v>
      </c>
      <c r="C1486" s="9">
        <v>5000</v>
      </c>
      <c r="D1486" s="9" t="s">
        <v>10</v>
      </c>
      <c r="E1486" s="19">
        <v>203.4</v>
      </c>
      <c r="F1486" s="19">
        <v>204</v>
      </c>
      <c r="G1486" s="9">
        <v>0</v>
      </c>
      <c r="H1486" s="15">
        <v>0</v>
      </c>
      <c r="I1486" s="8">
        <f t="shared" si="2176"/>
        <v>2999.9999999999718</v>
      </c>
      <c r="J1486" s="8">
        <v>0</v>
      </c>
      <c r="K1486" s="2">
        <v>0</v>
      </c>
      <c r="L1486" s="8">
        <f t="shared" si="2177"/>
        <v>0.59999999999999432</v>
      </c>
      <c r="M1486" s="8">
        <f t="shared" si="2178"/>
        <v>2999.9999999999718</v>
      </c>
    </row>
    <row r="1487" spans="1:13" ht="15.75" customHeight="1" x14ac:dyDescent="0.25">
      <c r="A1487" s="24">
        <v>43552</v>
      </c>
      <c r="B1487" s="9" t="s">
        <v>34</v>
      </c>
      <c r="C1487" s="9">
        <v>100</v>
      </c>
      <c r="D1487" s="9" t="s">
        <v>11</v>
      </c>
      <c r="E1487" s="19">
        <v>4090</v>
      </c>
      <c r="F1487" s="19">
        <v>4070</v>
      </c>
      <c r="G1487" s="9">
        <v>0</v>
      </c>
      <c r="H1487" s="15">
        <v>0</v>
      </c>
      <c r="I1487" s="8">
        <f t="shared" si="2176"/>
        <v>2000</v>
      </c>
      <c r="J1487" s="8">
        <v>0</v>
      </c>
      <c r="K1487" s="2">
        <v>0</v>
      </c>
      <c r="L1487" s="8">
        <f t="shared" si="2177"/>
        <v>20</v>
      </c>
      <c r="M1487" s="8">
        <f t="shared" si="2178"/>
        <v>2000</v>
      </c>
    </row>
    <row r="1488" spans="1:13" ht="15.75" customHeight="1" x14ac:dyDescent="0.25">
      <c r="A1488" s="24">
        <v>43543</v>
      </c>
      <c r="B1488" s="9" t="s">
        <v>19</v>
      </c>
      <c r="C1488" s="9">
        <v>100</v>
      </c>
      <c r="D1488" s="9" t="s">
        <v>10</v>
      </c>
      <c r="E1488" s="19">
        <v>31740</v>
      </c>
      <c r="F1488" s="19">
        <v>31800</v>
      </c>
      <c r="G1488" s="9">
        <v>31880</v>
      </c>
      <c r="H1488" s="15">
        <v>0</v>
      </c>
      <c r="I1488" s="8">
        <f t="shared" si="2176"/>
        <v>6000</v>
      </c>
      <c r="J1488" s="8">
        <f>C1488*80</f>
        <v>8000</v>
      </c>
      <c r="K1488" s="2">
        <v>0</v>
      </c>
      <c r="L1488" s="8">
        <f t="shared" si="2177"/>
        <v>140</v>
      </c>
      <c r="M1488" s="8">
        <f t="shared" si="2178"/>
        <v>14000</v>
      </c>
    </row>
    <row r="1489" spans="1:13" ht="15.75" customHeight="1" x14ac:dyDescent="0.25">
      <c r="A1489" s="24">
        <v>43539</v>
      </c>
      <c r="B1489" s="9" t="s">
        <v>19</v>
      </c>
      <c r="C1489" s="9">
        <v>100</v>
      </c>
      <c r="D1489" s="9" t="s">
        <v>11</v>
      </c>
      <c r="E1489" s="19">
        <v>31870</v>
      </c>
      <c r="F1489" s="19">
        <v>31820</v>
      </c>
      <c r="G1489" s="9">
        <v>31750</v>
      </c>
      <c r="H1489" s="15">
        <v>0</v>
      </c>
      <c r="I1489" s="8">
        <f t="shared" si="2176"/>
        <v>5000</v>
      </c>
      <c r="J1489" s="8">
        <f>C1489*70</f>
        <v>7000</v>
      </c>
      <c r="K1489" s="2">
        <v>0</v>
      </c>
      <c r="L1489" s="8">
        <f t="shared" si="2177"/>
        <v>120</v>
      </c>
      <c r="M1489" s="8">
        <f t="shared" si="2178"/>
        <v>12000</v>
      </c>
    </row>
    <row r="1490" spans="1:13" ht="15.75" customHeight="1" x14ac:dyDescent="0.25">
      <c r="A1490" s="24">
        <v>43539</v>
      </c>
      <c r="B1490" s="9" t="s">
        <v>18</v>
      </c>
      <c r="C1490" s="9">
        <v>1000</v>
      </c>
      <c r="D1490" s="9" t="s">
        <v>11</v>
      </c>
      <c r="E1490" s="19">
        <v>447</v>
      </c>
      <c r="F1490" s="19">
        <v>445</v>
      </c>
      <c r="G1490" s="9">
        <v>0</v>
      </c>
      <c r="H1490" s="15">
        <v>0</v>
      </c>
      <c r="I1490" s="8">
        <f t="shared" si="2176"/>
        <v>2000</v>
      </c>
      <c r="J1490" s="8">
        <v>0</v>
      </c>
      <c r="K1490" s="2">
        <v>0</v>
      </c>
      <c r="L1490" s="8">
        <f t="shared" si="2177"/>
        <v>2</v>
      </c>
      <c r="M1490" s="8">
        <f t="shared" si="2178"/>
        <v>2000</v>
      </c>
    </row>
    <row r="1491" spans="1:13" ht="15.75" customHeight="1" x14ac:dyDescent="0.25">
      <c r="A1491" s="24">
        <v>43538</v>
      </c>
      <c r="B1491" s="9" t="s">
        <v>19</v>
      </c>
      <c r="C1491" s="9">
        <v>100</v>
      </c>
      <c r="D1491" s="9" t="s">
        <v>11</v>
      </c>
      <c r="E1491" s="19">
        <v>32095</v>
      </c>
      <c r="F1491" s="19">
        <v>32040</v>
      </c>
      <c r="G1491" s="9">
        <v>31970</v>
      </c>
      <c r="H1491" s="15">
        <v>0</v>
      </c>
      <c r="I1491" s="8">
        <f t="shared" si="2176"/>
        <v>5500</v>
      </c>
      <c r="J1491" s="8">
        <f>C1491*70</f>
        <v>7000</v>
      </c>
      <c r="K1491" s="2">
        <v>0</v>
      </c>
      <c r="L1491" s="8">
        <f t="shared" si="2177"/>
        <v>125</v>
      </c>
      <c r="M1491" s="8">
        <f t="shared" si="2178"/>
        <v>12500</v>
      </c>
    </row>
    <row r="1492" spans="1:13" ht="15.75" customHeight="1" x14ac:dyDescent="0.25">
      <c r="A1492" s="24">
        <v>43538</v>
      </c>
      <c r="B1492" s="9" t="s">
        <v>17</v>
      </c>
      <c r="C1492" s="9">
        <v>5000</v>
      </c>
      <c r="D1492" s="9" t="s">
        <v>10</v>
      </c>
      <c r="E1492" s="19">
        <v>200.2</v>
      </c>
      <c r="F1492" s="19">
        <v>200.7</v>
      </c>
      <c r="G1492" s="9">
        <v>0</v>
      </c>
      <c r="H1492" s="15">
        <v>0</v>
      </c>
      <c r="I1492" s="8">
        <f t="shared" si="2176"/>
        <v>2500</v>
      </c>
      <c r="J1492" s="8">
        <v>0</v>
      </c>
      <c r="K1492" s="2">
        <v>0</v>
      </c>
      <c r="L1492" s="8">
        <f t="shared" si="2177"/>
        <v>0.5</v>
      </c>
      <c r="M1492" s="8">
        <f t="shared" si="2178"/>
        <v>2500</v>
      </c>
    </row>
    <row r="1493" spans="1:13" ht="15.75" customHeight="1" x14ac:dyDescent="0.25">
      <c r="A1493" s="24">
        <v>43538</v>
      </c>
      <c r="B1493" s="9" t="s">
        <v>14</v>
      </c>
      <c r="C1493" s="9">
        <v>30</v>
      </c>
      <c r="D1493" s="9" t="s">
        <v>11</v>
      </c>
      <c r="E1493" s="19">
        <v>38550</v>
      </c>
      <c r="F1493" s="19">
        <v>38300</v>
      </c>
      <c r="G1493" s="9">
        <v>38100</v>
      </c>
      <c r="H1493" s="15">
        <v>0</v>
      </c>
      <c r="I1493" s="8">
        <f t="shared" si="2176"/>
        <v>7500</v>
      </c>
      <c r="J1493" s="8">
        <f>C1493*200</f>
        <v>6000</v>
      </c>
      <c r="K1493" s="2">
        <v>0</v>
      </c>
      <c r="L1493" s="8">
        <f t="shared" si="2177"/>
        <v>450</v>
      </c>
      <c r="M1493" s="8">
        <f t="shared" si="2178"/>
        <v>13500</v>
      </c>
    </row>
    <row r="1494" spans="1:13" ht="15.75" customHeight="1" x14ac:dyDescent="0.25">
      <c r="A1494" s="24">
        <v>43538</v>
      </c>
      <c r="B1494" s="9" t="s">
        <v>34</v>
      </c>
      <c r="C1494" s="9">
        <v>100</v>
      </c>
      <c r="D1494" s="9" t="s">
        <v>10</v>
      </c>
      <c r="E1494" s="19">
        <v>4080</v>
      </c>
      <c r="F1494" s="19">
        <v>4040</v>
      </c>
      <c r="G1494" s="9">
        <v>0</v>
      </c>
      <c r="H1494" s="15">
        <v>0</v>
      </c>
      <c r="I1494" s="8">
        <f t="shared" ref="I1494:I1525" si="2179">(IF(D1494="SELL",E1494-F1494,IF(D1494="BUY",F1494-E1494)))*C1494</f>
        <v>-4000</v>
      </c>
      <c r="J1494" s="8">
        <v>0</v>
      </c>
      <c r="K1494" s="2">
        <v>0</v>
      </c>
      <c r="L1494" s="8">
        <f t="shared" si="2177"/>
        <v>-40</v>
      </c>
      <c r="M1494" s="8">
        <f t="shared" si="2178"/>
        <v>-4000</v>
      </c>
    </row>
    <row r="1495" spans="1:13" ht="15.75" customHeight="1" x14ac:dyDescent="0.25">
      <c r="A1495" s="24">
        <v>43536</v>
      </c>
      <c r="B1495" s="9" t="s">
        <v>18</v>
      </c>
      <c r="C1495" s="9">
        <v>1000</v>
      </c>
      <c r="D1495" s="9" t="s">
        <v>10</v>
      </c>
      <c r="E1495" s="19">
        <v>453.8</v>
      </c>
      <c r="F1495" s="19">
        <v>455.3</v>
      </c>
      <c r="G1495" s="9">
        <v>0</v>
      </c>
      <c r="H1495" s="15">
        <v>0</v>
      </c>
      <c r="I1495" s="8">
        <f t="shared" si="2179"/>
        <v>1500</v>
      </c>
      <c r="J1495" s="8">
        <v>0</v>
      </c>
      <c r="K1495" s="2">
        <v>0</v>
      </c>
      <c r="L1495" s="8">
        <f t="shared" si="2177"/>
        <v>1.5</v>
      </c>
      <c r="M1495" s="8">
        <f t="shared" si="2178"/>
        <v>1500</v>
      </c>
    </row>
    <row r="1496" spans="1:13" ht="15.75" customHeight="1" x14ac:dyDescent="0.25">
      <c r="A1496" s="24">
        <v>43536</v>
      </c>
      <c r="B1496" s="9" t="s">
        <v>34</v>
      </c>
      <c r="C1496" s="9">
        <v>100</v>
      </c>
      <c r="D1496" s="9" t="s">
        <v>10</v>
      </c>
      <c r="E1496" s="19">
        <v>3975</v>
      </c>
      <c r="F1496" s="19">
        <v>3995</v>
      </c>
      <c r="G1496" s="9">
        <v>0</v>
      </c>
      <c r="H1496" s="15">
        <v>0</v>
      </c>
      <c r="I1496" s="8">
        <f t="shared" si="2179"/>
        <v>2000</v>
      </c>
      <c r="J1496" s="8">
        <v>0</v>
      </c>
      <c r="K1496" s="2">
        <v>0</v>
      </c>
      <c r="L1496" s="8">
        <f t="shared" si="2177"/>
        <v>20</v>
      </c>
      <c r="M1496" s="8">
        <f t="shared" si="2178"/>
        <v>2000</v>
      </c>
    </row>
    <row r="1497" spans="1:13" ht="15.75" customHeight="1" x14ac:dyDescent="0.25">
      <c r="A1497" s="24">
        <v>43536</v>
      </c>
      <c r="B1497" s="9" t="s">
        <v>19</v>
      </c>
      <c r="C1497" s="9">
        <v>100</v>
      </c>
      <c r="D1497" s="9" t="s">
        <v>11</v>
      </c>
      <c r="E1497" s="19">
        <v>31950</v>
      </c>
      <c r="F1497" s="19">
        <v>31880</v>
      </c>
      <c r="G1497" s="9">
        <v>0</v>
      </c>
      <c r="H1497" s="15">
        <v>0</v>
      </c>
      <c r="I1497" s="8">
        <f t="shared" si="2179"/>
        <v>7000</v>
      </c>
      <c r="J1497" s="8">
        <v>0</v>
      </c>
      <c r="K1497" s="2">
        <v>0</v>
      </c>
      <c r="L1497" s="8">
        <f t="shared" si="2177"/>
        <v>70</v>
      </c>
      <c r="M1497" s="8">
        <f t="shared" si="2178"/>
        <v>7000</v>
      </c>
    </row>
    <row r="1498" spans="1:13" ht="15.75" customHeight="1" x14ac:dyDescent="0.25">
      <c r="A1498" s="24">
        <v>43535</v>
      </c>
      <c r="B1498" s="9" t="s">
        <v>21</v>
      </c>
      <c r="C1498" s="9">
        <v>250</v>
      </c>
      <c r="D1498" s="9" t="s">
        <v>11</v>
      </c>
      <c r="E1498" s="19">
        <v>910</v>
      </c>
      <c r="F1498" s="19">
        <v>905</v>
      </c>
      <c r="G1498" s="9">
        <v>899</v>
      </c>
      <c r="H1498" s="15">
        <v>0</v>
      </c>
      <c r="I1498" s="8">
        <f t="shared" si="2179"/>
        <v>1250</v>
      </c>
      <c r="J1498" s="8">
        <f>C1498*6</f>
        <v>1500</v>
      </c>
      <c r="K1498" s="2">
        <v>0</v>
      </c>
      <c r="L1498" s="8">
        <f t="shared" si="2177"/>
        <v>11</v>
      </c>
      <c r="M1498" s="8">
        <f t="shared" si="2178"/>
        <v>2750</v>
      </c>
    </row>
    <row r="1499" spans="1:13" ht="15.75" customHeight="1" x14ac:dyDescent="0.25">
      <c r="A1499" s="24">
        <v>43535</v>
      </c>
      <c r="B1499" s="9" t="s">
        <v>19</v>
      </c>
      <c r="C1499" s="9">
        <v>100</v>
      </c>
      <c r="D1499" s="9" t="s">
        <v>11</v>
      </c>
      <c r="E1499" s="19">
        <v>32115</v>
      </c>
      <c r="F1499" s="19">
        <v>32065</v>
      </c>
      <c r="G1499" s="9">
        <v>0</v>
      </c>
      <c r="H1499" s="15">
        <v>0</v>
      </c>
      <c r="I1499" s="8">
        <f t="shared" si="2179"/>
        <v>5000</v>
      </c>
      <c r="J1499" s="8">
        <v>0</v>
      </c>
      <c r="K1499" s="2">
        <v>0</v>
      </c>
      <c r="L1499" s="8">
        <f t="shared" si="2177"/>
        <v>50</v>
      </c>
      <c r="M1499" s="8">
        <f t="shared" si="2178"/>
        <v>5000</v>
      </c>
    </row>
    <row r="1500" spans="1:13" ht="15.75" customHeight="1" x14ac:dyDescent="0.25">
      <c r="A1500" s="24">
        <v>43535</v>
      </c>
      <c r="B1500" s="9" t="s">
        <v>22</v>
      </c>
      <c r="C1500" s="9">
        <v>5000</v>
      </c>
      <c r="D1500" s="9" t="s">
        <v>10</v>
      </c>
      <c r="E1500" s="19">
        <v>144.80000000000001</v>
      </c>
      <c r="F1500" s="19">
        <v>144.05000000000001</v>
      </c>
      <c r="G1500" s="9">
        <v>0</v>
      </c>
      <c r="H1500" s="15">
        <v>0</v>
      </c>
      <c r="I1500" s="8">
        <f t="shared" si="2179"/>
        <v>-3750</v>
      </c>
      <c r="J1500" s="8">
        <v>0</v>
      </c>
      <c r="K1500" s="2">
        <v>0</v>
      </c>
      <c r="L1500" s="8">
        <f t="shared" si="2177"/>
        <v>-0.75</v>
      </c>
      <c r="M1500" s="8">
        <f t="shared" si="2178"/>
        <v>-3750</v>
      </c>
    </row>
    <row r="1501" spans="1:13" ht="15.75" customHeight="1" x14ac:dyDescent="0.25">
      <c r="A1501" s="24">
        <v>43535</v>
      </c>
      <c r="B1501" s="9" t="s">
        <v>15</v>
      </c>
      <c r="C1501" s="9">
        <v>5000</v>
      </c>
      <c r="D1501" s="9" t="s">
        <v>10</v>
      </c>
      <c r="E1501" s="19">
        <v>147.6</v>
      </c>
      <c r="F1501" s="19">
        <v>146.85</v>
      </c>
      <c r="G1501" s="9">
        <v>0</v>
      </c>
      <c r="H1501" s="15">
        <v>0</v>
      </c>
      <c r="I1501" s="8">
        <f t="shared" si="2179"/>
        <v>-3750</v>
      </c>
      <c r="J1501" s="8">
        <v>0</v>
      </c>
      <c r="K1501" s="2">
        <v>0</v>
      </c>
      <c r="L1501" s="8">
        <f t="shared" si="2177"/>
        <v>-0.75</v>
      </c>
      <c r="M1501" s="8">
        <f t="shared" si="2178"/>
        <v>-3750</v>
      </c>
    </row>
    <row r="1502" spans="1:13" ht="15.75" customHeight="1" x14ac:dyDescent="0.25">
      <c r="A1502" s="24">
        <v>43531</v>
      </c>
      <c r="B1502" s="9" t="s">
        <v>18</v>
      </c>
      <c r="C1502" s="9">
        <v>1000</v>
      </c>
      <c r="D1502" s="9" t="s">
        <v>11</v>
      </c>
      <c r="E1502" s="19">
        <v>453.5</v>
      </c>
      <c r="F1502" s="19">
        <v>452</v>
      </c>
      <c r="G1502" s="9">
        <v>0</v>
      </c>
      <c r="H1502" s="15">
        <v>0</v>
      </c>
      <c r="I1502" s="8">
        <f t="shared" si="2179"/>
        <v>1500</v>
      </c>
      <c r="J1502" s="8">
        <v>0</v>
      </c>
      <c r="K1502" s="2">
        <v>0</v>
      </c>
      <c r="L1502" s="8">
        <f t="shared" si="2177"/>
        <v>1.5</v>
      </c>
      <c r="M1502" s="8">
        <f t="shared" si="2178"/>
        <v>1500</v>
      </c>
    </row>
    <row r="1503" spans="1:13" ht="15.75" customHeight="1" x14ac:dyDescent="0.25">
      <c r="A1503" s="24">
        <v>43531</v>
      </c>
      <c r="B1503" s="9" t="s">
        <v>17</v>
      </c>
      <c r="C1503" s="9">
        <v>5000</v>
      </c>
      <c r="D1503" s="9" t="s">
        <v>10</v>
      </c>
      <c r="E1503" s="19">
        <v>196.8</v>
      </c>
      <c r="F1503" s="19">
        <v>195.8</v>
      </c>
      <c r="G1503" s="9">
        <v>0</v>
      </c>
      <c r="H1503" s="15">
        <v>0</v>
      </c>
      <c r="I1503" s="8">
        <f t="shared" si="2179"/>
        <v>-5000</v>
      </c>
      <c r="J1503" s="8">
        <v>0</v>
      </c>
      <c r="K1503" s="2">
        <v>0</v>
      </c>
      <c r="L1503" s="8">
        <f t="shared" si="2177"/>
        <v>-1</v>
      </c>
      <c r="M1503" s="8">
        <f t="shared" si="2178"/>
        <v>-5000</v>
      </c>
    </row>
    <row r="1504" spans="1:13" ht="15.75" customHeight="1" x14ac:dyDescent="0.25">
      <c r="A1504" s="24">
        <v>43530</v>
      </c>
      <c r="B1504" s="9" t="s">
        <v>17</v>
      </c>
      <c r="C1504" s="9">
        <v>5000</v>
      </c>
      <c r="D1504" s="9" t="s">
        <v>10</v>
      </c>
      <c r="E1504" s="19">
        <v>197.8</v>
      </c>
      <c r="F1504" s="19">
        <v>198.4</v>
      </c>
      <c r="G1504" s="9">
        <v>0</v>
      </c>
      <c r="H1504" s="15">
        <v>0</v>
      </c>
      <c r="I1504" s="8">
        <f t="shared" si="2179"/>
        <v>2999.9999999999718</v>
      </c>
      <c r="J1504" s="8">
        <v>0</v>
      </c>
      <c r="K1504" s="2">
        <v>0</v>
      </c>
      <c r="L1504" s="8">
        <f t="shared" si="2177"/>
        <v>0.59999999999999432</v>
      </c>
      <c r="M1504" s="8">
        <f t="shared" si="2178"/>
        <v>2999.9999999999718</v>
      </c>
    </row>
    <row r="1505" spans="1:13" ht="15.75" customHeight="1" x14ac:dyDescent="0.25">
      <c r="A1505" s="24">
        <v>43530</v>
      </c>
      <c r="B1505" s="9" t="s">
        <v>34</v>
      </c>
      <c r="C1505" s="9">
        <v>100</v>
      </c>
      <c r="D1505" s="9" t="s">
        <v>11</v>
      </c>
      <c r="E1505" s="19">
        <v>3960</v>
      </c>
      <c r="F1505" s="19">
        <v>3940</v>
      </c>
      <c r="G1505" s="9">
        <v>0</v>
      </c>
      <c r="H1505" s="15">
        <v>0</v>
      </c>
      <c r="I1505" s="8">
        <f t="shared" si="2179"/>
        <v>2000</v>
      </c>
      <c r="J1505" s="8">
        <v>0</v>
      </c>
      <c r="K1505" s="2">
        <v>0</v>
      </c>
      <c r="L1505" s="8">
        <f t="shared" si="2177"/>
        <v>20</v>
      </c>
      <c r="M1505" s="8">
        <f t="shared" si="2178"/>
        <v>2000</v>
      </c>
    </row>
    <row r="1506" spans="1:13" ht="15.75" customHeight="1" x14ac:dyDescent="0.25">
      <c r="A1506" s="24">
        <v>43529</v>
      </c>
      <c r="B1506" s="9" t="s">
        <v>34</v>
      </c>
      <c r="C1506" s="9">
        <v>100</v>
      </c>
      <c r="D1506" s="9" t="s">
        <v>11</v>
      </c>
      <c r="E1506" s="19">
        <v>3975</v>
      </c>
      <c r="F1506" s="19">
        <v>4010</v>
      </c>
      <c r="G1506" s="9">
        <v>0</v>
      </c>
      <c r="H1506" s="15">
        <v>0</v>
      </c>
      <c r="I1506" s="8">
        <f t="shared" si="2179"/>
        <v>-3500</v>
      </c>
      <c r="J1506" s="8">
        <v>0</v>
      </c>
      <c r="K1506" s="2">
        <v>0</v>
      </c>
      <c r="L1506" s="8">
        <f t="shared" si="2177"/>
        <v>-35</v>
      </c>
      <c r="M1506" s="8">
        <f t="shared" si="2178"/>
        <v>-3500</v>
      </c>
    </row>
    <row r="1507" spans="1:13" ht="15.75" customHeight="1" x14ac:dyDescent="0.25">
      <c r="A1507" s="24">
        <v>43529</v>
      </c>
      <c r="B1507" s="9" t="s">
        <v>14</v>
      </c>
      <c r="C1507" s="9">
        <v>30</v>
      </c>
      <c r="D1507" s="9" t="s">
        <v>11</v>
      </c>
      <c r="E1507" s="19">
        <v>38600</v>
      </c>
      <c r="F1507" s="19">
        <v>38450</v>
      </c>
      <c r="G1507" s="9">
        <v>0</v>
      </c>
      <c r="H1507" s="15">
        <v>0</v>
      </c>
      <c r="I1507" s="8">
        <f t="shared" si="2179"/>
        <v>4500</v>
      </c>
      <c r="J1507" s="8">
        <v>0</v>
      </c>
      <c r="K1507" s="2">
        <v>0</v>
      </c>
      <c r="L1507" s="8">
        <f t="shared" si="2177"/>
        <v>150</v>
      </c>
      <c r="M1507" s="8">
        <f t="shared" si="2178"/>
        <v>4500</v>
      </c>
    </row>
    <row r="1508" spans="1:13" ht="15.75" customHeight="1" x14ac:dyDescent="0.25">
      <c r="A1508" s="24">
        <v>43525</v>
      </c>
      <c r="B1508" s="9" t="s">
        <v>17</v>
      </c>
      <c r="C1508" s="9">
        <v>5000</v>
      </c>
      <c r="D1508" s="9" t="s">
        <v>10</v>
      </c>
      <c r="E1508" s="19">
        <v>198.1</v>
      </c>
      <c r="F1508" s="19">
        <v>198.75</v>
      </c>
      <c r="G1508" s="9">
        <v>199.7</v>
      </c>
      <c r="H1508" s="15">
        <v>0</v>
      </c>
      <c r="I1508" s="8">
        <f t="shared" si="2179"/>
        <v>3250.0000000000282</v>
      </c>
      <c r="J1508" s="8">
        <f>C1508*0.95</f>
        <v>4750</v>
      </c>
      <c r="K1508" s="2">
        <v>0</v>
      </c>
      <c r="L1508" s="8">
        <f t="shared" si="2177"/>
        <v>1.6000000000000056</v>
      </c>
      <c r="M1508" s="8">
        <f t="shared" si="2178"/>
        <v>8000.0000000000282</v>
      </c>
    </row>
    <row r="1509" spans="1:13" ht="15.75" customHeight="1" x14ac:dyDescent="0.25">
      <c r="A1509" s="24">
        <v>43525</v>
      </c>
      <c r="B1509" s="9" t="s">
        <v>21</v>
      </c>
      <c r="C1509" s="9">
        <v>250</v>
      </c>
      <c r="D1509" s="9" t="s">
        <v>10</v>
      </c>
      <c r="E1509" s="19">
        <v>933</v>
      </c>
      <c r="F1509" s="19">
        <v>937</v>
      </c>
      <c r="G1509" s="9">
        <v>0</v>
      </c>
      <c r="H1509" s="15">
        <v>0</v>
      </c>
      <c r="I1509" s="8">
        <f t="shared" si="2179"/>
        <v>1000</v>
      </c>
      <c r="J1509" s="8">
        <v>0</v>
      </c>
      <c r="K1509" s="2">
        <v>0</v>
      </c>
      <c r="L1509" s="8">
        <f t="shared" si="2177"/>
        <v>4</v>
      </c>
      <c r="M1509" s="8">
        <f t="shared" si="2178"/>
        <v>1000</v>
      </c>
    </row>
    <row r="1510" spans="1:13" ht="15.75" customHeight="1" x14ac:dyDescent="0.25">
      <c r="A1510" s="24">
        <v>43525</v>
      </c>
      <c r="B1510" s="9" t="s">
        <v>18</v>
      </c>
      <c r="C1510" s="9">
        <v>1000</v>
      </c>
      <c r="D1510" s="9" t="s">
        <v>10</v>
      </c>
      <c r="E1510" s="19">
        <v>465</v>
      </c>
      <c r="F1510" s="19">
        <v>466.5</v>
      </c>
      <c r="G1510" s="9">
        <v>0</v>
      </c>
      <c r="H1510" s="15">
        <v>0</v>
      </c>
      <c r="I1510" s="8">
        <f t="shared" si="2179"/>
        <v>1500</v>
      </c>
      <c r="J1510" s="8">
        <v>0</v>
      </c>
      <c r="K1510" s="2">
        <v>0</v>
      </c>
      <c r="L1510" s="8">
        <f t="shared" si="2177"/>
        <v>1.5</v>
      </c>
      <c r="M1510" s="8">
        <f t="shared" si="2178"/>
        <v>1500</v>
      </c>
    </row>
    <row r="1511" spans="1:13" ht="15.75" customHeight="1" x14ac:dyDescent="0.25">
      <c r="A1511" s="24">
        <v>43524</v>
      </c>
      <c r="B1511" s="9" t="s">
        <v>17</v>
      </c>
      <c r="C1511" s="9">
        <v>5000</v>
      </c>
      <c r="D1511" s="9" t="s">
        <v>10</v>
      </c>
      <c r="E1511" s="19">
        <v>197.7</v>
      </c>
      <c r="F1511" s="19">
        <v>198.4</v>
      </c>
      <c r="G1511" s="9">
        <v>0</v>
      </c>
      <c r="H1511" s="15">
        <v>0</v>
      </c>
      <c r="I1511" s="8">
        <f t="shared" si="2179"/>
        <v>3500.0000000000855</v>
      </c>
      <c r="J1511" s="8">
        <v>0</v>
      </c>
      <c r="K1511" s="2">
        <v>0</v>
      </c>
      <c r="L1511" s="8">
        <f t="shared" si="2177"/>
        <v>0.70000000000001705</v>
      </c>
      <c r="M1511" s="8">
        <f t="shared" si="2178"/>
        <v>3500.0000000000855</v>
      </c>
    </row>
    <row r="1512" spans="1:13" ht="15.75" customHeight="1" x14ac:dyDescent="0.25">
      <c r="A1512" s="24">
        <v>43523</v>
      </c>
      <c r="B1512" s="9" t="s">
        <v>22</v>
      </c>
      <c r="C1512" s="9">
        <v>5000</v>
      </c>
      <c r="D1512" s="9" t="s">
        <v>10</v>
      </c>
      <c r="E1512" s="19">
        <v>135.1</v>
      </c>
      <c r="F1512" s="19">
        <v>135.69999999999999</v>
      </c>
      <c r="G1512" s="9">
        <v>0</v>
      </c>
      <c r="H1512" s="15">
        <v>0</v>
      </c>
      <c r="I1512" s="8">
        <f t="shared" si="2179"/>
        <v>2999.9999999999718</v>
      </c>
      <c r="J1512" s="8">
        <v>0</v>
      </c>
      <c r="K1512" s="2">
        <v>0</v>
      </c>
      <c r="L1512" s="8">
        <f t="shared" si="2177"/>
        <v>0.59999999999999432</v>
      </c>
      <c r="M1512" s="8">
        <f t="shared" si="2178"/>
        <v>2999.9999999999718</v>
      </c>
    </row>
    <row r="1513" spans="1:13" ht="15.75" customHeight="1" x14ac:dyDescent="0.25">
      <c r="A1513" s="24">
        <v>43523</v>
      </c>
      <c r="B1513" s="9" t="s">
        <v>18</v>
      </c>
      <c r="C1513" s="9">
        <v>1000</v>
      </c>
      <c r="D1513" s="9" t="s">
        <v>10</v>
      </c>
      <c r="E1513" s="19">
        <v>463</v>
      </c>
      <c r="F1513" s="19">
        <v>464.5</v>
      </c>
      <c r="G1513" s="9">
        <v>0</v>
      </c>
      <c r="H1513" s="15">
        <v>0</v>
      </c>
      <c r="I1513" s="8">
        <f t="shared" si="2179"/>
        <v>1500</v>
      </c>
      <c r="J1513" s="8">
        <v>0</v>
      </c>
      <c r="K1513" s="2">
        <v>0</v>
      </c>
      <c r="L1513" s="8">
        <f t="shared" si="2177"/>
        <v>1.5</v>
      </c>
      <c r="M1513" s="8">
        <f t="shared" si="2178"/>
        <v>1500</v>
      </c>
    </row>
    <row r="1514" spans="1:13" ht="15.75" customHeight="1" x14ac:dyDescent="0.25">
      <c r="A1514" s="24">
        <v>43523</v>
      </c>
      <c r="B1514" s="9" t="s">
        <v>62</v>
      </c>
      <c r="C1514" s="9">
        <v>100</v>
      </c>
      <c r="D1514" s="9" t="s">
        <v>10</v>
      </c>
      <c r="E1514" s="19">
        <v>4008</v>
      </c>
      <c r="F1514" s="19">
        <v>4027</v>
      </c>
      <c r="G1514" s="9">
        <v>4057</v>
      </c>
      <c r="H1514" s="15">
        <v>0</v>
      </c>
      <c r="I1514" s="8">
        <f t="shared" si="2179"/>
        <v>1900</v>
      </c>
      <c r="J1514" s="8">
        <f>C1514*30</f>
        <v>3000</v>
      </c>
      <c r="K1514" s="2">
        <v>0</v>
      </c>
      <c r="L1514" s="8">
        <f t="shared" si="2177"/>
        <v>49</v>
      </c>
      <c r="M1514" s="8">
        <f t="shared" si="2178"/>
        <v>4900</v>
      </c>
    </row>
    <row r="1515" spans="1:13" ht="15.75" customHeight="1" x14ac:dyDescent="0.25">
      <c r="A1515" s="24">
        <v>43523</v>
      </c>
      <c r="B1515" s="9" t="s">
        <v>15</v>
      </c>
      <c r="C1515" s="9">
        <v>5000</v>
      </c>
      <c r="D1515" s="9" t="s">
        <v>10</v>
      </c>
      <c r="E1515" s="19">
        <v>147.9</v>
      </c>
      <c r="F1515" s="19">
        <v>148.5</v>
      </c>
      <c r="G1515" s="9">
        <v>149.1</v>
      </c>
      <c r="H1515" s="15">
        <v>150</v>
      </c>
      <c r="I1515" s="8">
        <f t="shared" si="2179"/>
        <v>2999.9999999999718</v>
      </c>
      <c r="J1515" s="8">
        <f>C1515*0.6</f>
        <v>3000</v>
      </c>
      <c r="K1515" s="2">
        <f>C1515*0.9</f>
        <v>4500</v>
      </c>
      <c r="L1515" s="8">
        <f t="shared" si="2177"/>
        <v>2.0999999999999943</v>
      </c>
      <c r="M1515" s="8">
        <f t="shared" si="2178"/>
        <v>10499.999999999971</v>
      </c>
    </row>
    <row r="1516" spans="1:13" ht="15.75" customHeight="1" x14ac:dyDescent="0.25">
      <c r="A1516" s="24">
        <v>43523</v>
      </c>
      <c r="B1516" s="9" t="s">
        <v>17</v>
      </c>
      <c r="C1516" s="9">
        <v>5000</v>
      </c>
      <c r="D1516" s="9" t="s">
        <v>10</v>
      </c>
      <c r="E1516" s="19">
        <v>197</v>
      </c>
      <c r="F1516" s="19">
        <v>197.6</v>
      </c>
      <c r="G1516" s="9">
        <v>0</v>
      </c>
      <c r="H1516" s="15">
        <v>0</v>
      </c>
      <c r="I1516" s="8">
        <f t="shared" si="2179"/>
        <v>2999.9999999999718</v>
      </c>
      <c r="J1516" s="8">
        <v>0</v>
      </c>
      <c r="K1516" s="2">
        <v>0</v>
      </c>
      <c r="L1516" s="8">
        <f t="shared" si="2177"/>
        <v>0.59999999999999432</v>
      </c>
      <c r="M1516" s="8">
        <f t="shared" si="2178"/>
        <v>2999.9999999999718</v>
      </c>
    </row>
    <row r="1517" spans="1:13" ht="15.75" customHeight="1" x14ac:dyDescent="0.25">
      <c r="A1517" s="24">
        <v>43522</v>
      </c>
      <c r="B1517" s="9" t="s">
        <v>22</v>
      </c>
      <c r="C1517" s="9">
        <v>5000</v>
      </c>
      <c r="D1517" s="9" t="s">
        <v>11</v>
      </c>
      <c r="E1517" s="19">
        <v>133</v>
      </c>
      <c r="F1517" s="19">
        <v>133.85</v>
      </c>
      <c r="G1517" s="9">
        <v>0</v>
      </c>
      <c r="H1517" s="15">
        <v>0</v>
      </c>
      <c r="I1517" s="8">
        <f t="shared" si="2179"/>
        <v>-4249.9999999999718</v>
      </c>
      <c r="J1517" s="8">
        <v>0</v>
      </c>
      <c r="K1517" s="2">
        <v>0</v>
      </c>
      <c r="L1517" s="8">
        <f t="shared" si="2177"/>
        <v>-0.84999999999999432</v>
      </c>
      <c r="M1517" s="8">
        <f t="shared" si="2178"/>
        <v>-4249.9999999999718</v>
      </c>
    </row>
    <row r="1518" spans="1:13" ht="15.75" customHeight="1" x14ac:dyDescent="0.25">
      <c r="A1518" s="24">
        <v>43521</v>
      </c>
      <c r="B1518" s="9" t="s">
        <v>34</v>
      </c>
      <c r="C1518" s="9">
        <v>100</v>
      </c>
      <c r="D1518" s="9" t="s">
        <v>10</v>
      </c>
      <c r="E1518" s="19">
        <v>4085</v>
      </c>
      <c r="F1518" s="19">
        <v>4054</v>
      </c>
      <c r="G1518" s="9">
        <v>0</v>
      </c>
      <c r="H1518" s="15">
        <v>0</v>
      </c>
      <c r="I1518" s="8">
        <f t="shared" si="2179"/>
        <v>-3100</v>
      </c>
      <c r="J1518" s="8">
        <v>0</v>
      </c>
      <c r="K1518" s="2">
        <v>0</v>
      </c>
      <c r="L1518" s="8">
        <f t="shared" si="2177"/>
        <v>-31</v>
      </c>
      <c r="M1518" s="8">
        <f t="shared" si="2178"/>
        <v>-3100</v>
      </c>
    </row>
    <row r="1519" spans="1:13" ht="15.75" customHeight="1" x14ac:dyDescent="0.25">
      <c r="A1519" s="24">
        <v>43518</v>
      </c>
      <c r="B1519" s="9" t="s">
        <v>21</v>
      </c>
      <c r="C1519" s="9">
        <v>250</v>
      </c>
      <c r="D1519" s="9" t="s">
        <v>10</v>
      </c>
      <c r="E1519" s="19">
        <v>917</v>
      </c>
      <c r="F1519" s="19">
        <v>923</v>
      </c>
      <c r="G1519" s="9">
        <v>0</v>
      </c>
      <c r="H1519" s="15">
        <v>0</v>
      </c>
      <c r="I1519" s="8">
        <f t="shared" si="2179"/>
        <v>1500</v>
      </c>
      <c r="J1519" s="8">
        <v>0</v>
      </c>
      <c r="K1519" s="2">
        <v>0</v>
      </c>
      <c r="L1519" s="8">
        <f t="shared" si="2177"/>
        <v>6</v>
      </c>
      <c r="M1519" s="8">
        <f t="shared" si="2178"/>
        <v>1500</v>
      </c>
    </row>
    <row r="1520" spans="1:13" ht="15.75" customHeight="1" x14ac:dyDescent="0.25">
      <c r="A1520" s="24">
        <v>43517</v>
      </c>
      <c r="B1520" s="9" t="s">
        <v>19</v>
      </c>
      <c r="C1520" s="9">
        <v>100</v>
      </c>
      <c r="D1520" s="9" t="s">
        <v>11</v>
      </c>
      <c r="E1520" s="19">
        <v>33665</v>
      </c>
      <c r="F1520" s="19">
        <v>33610</v>
      </c>
      <c r="G1520" s="9">
        <v>0</v>
      </c>
      <c r="H1520" s="15">
        <v>0</v>
      </c>
      <c r="I1520" s="8">
        <f t="shared" si="2179"/>
        <v>5500</v>
      </c>
      <c r="J1520" s="8">
        <v>0</v>
      </c>
      <c r="K1520" s="2">
        <v>0</v>
      </c>
      <c r="L1520" s="8">
        <f t="shared" si="2177"/>
        <v>55</v>
      </c>
      <c r="M1520" s="8">
        <f t="shared" si="2178"/>
        <v>5500</v>
      </c>
    </row>
    <row r="1521" spans="1:13" ht="15.75" customHeight="1" x14ac:dyDescent="0.25">
      <c r="A1521" s="24">
        <v>43517</v>
      </c>
      <c r="B1521" s="9" t="s">
        <v>34</v>
      </c>
      <c r="C1521" s="9">
        <v>100</v>
      </c>
      <c r="D1521" s="9" t="s">
        <v>11</v>
      </c>
      <c r="E1521" s="19">
        <v>4080</v>
      </c>
      <c r="F1521" s="19">
        <v>4102</v>
      </c>
      <c r="G1521" s="9">
        <v>0</v>
      </c>
      <c r="H1521" s="15">
        <v>0</v>
      </c>
      <c r="I1521" s="8">
        <f t="shared" si="2179"/>
        <v>-2200</v>
      </c>
      <c r="J1521" s="8">
        <v>0</v>
      </c>
      <c r="K1521" s="2">
        <v>0</v>
      </c>
      <c r="L1521" s="8">
        <f t="shared" si="2177"/>
        <v>-22</v>
      </c>
      <c r="M1521" s="8">
        <f t="shared" si="2178"/>
        <v>-2200</v>
      </c>
    </row>
    <row r="1522" spans="1:13" ht="15.75" customHeight="1" x14ac:dyDescent="0.25">
      <c r="A1522" s="24">
        <v>43517</v>
      </c>
      <c r="B1522" s="9" t="s">
        <v>14</v>
      </c>
      <c r="C1522" s="9">
        <v>30</v>
      </c>
      <c r="D1522" s="9" t="s">
        <v>11</v>
      </c>
      <c r="E1522" s="19">
        <v>40310</v>
      </c>
      <c r="F1522" s="19">
        <v>40200</v>
      </c>
      <c r="G1522" s="9">
        <v>0</v>
      </c>
      <c r="H1522" s="15">
        <v>0</v>
      </c>
      <c r="I1522" s="8">
        <f t="shared" si="2179"/>
        <v>3300</v>
      </c>
      <c r="J1522" s="8">
        <v>0</v>
      </c>
      <c r="K1522" s="2">
        <v>0</v>
      </c>
      <c r="L1522" s="8">
        <f t="shared" si="2177"/>
        <v>110</v>
      </c>
      <c r="M1522" s="8">
        <f t="shared" si="2178"/>
        <v>3300</v>
      </c>
    </row>
    <row r="1523" spans="1:13" ht="15.75" customHeight="1" x14ac:dyDescent="0.25">
      <c r="A1523" s="24">
        <v>43517</v>
      </c>
      <c r="B1523" s="9" t="s">
        <v>52</v>
      </c>
      <c r="C1523" s="9">
        <v>1250</v>
      </c>
      <c r="D1523" s="9" t="s">
        <v>10</v>
      </c>
      <c r="E1523" s="19">
        <v>189.8</v>
      </c>
      <c r="F1523" s="19">
        <v>191</v>
      </c>
      <c r="G1523" s="9">
        <v>0</v>
      </c>
      <c r="H1523" s="15">
        <v>0</v>
      </c>
      <c r="I1523" s="8">
        <f t="shared" si="2179"/>
        <v>1499.9999999999859</v>
      </c>
      <c r="J1523" s="8">
        <v>0</v>
      </c>
      <c r="K1523" s="2">
        <v>0</v>
      </c>
      <c r="L1523" s="8">
        <f t="shared" si="2177"/>
        <v>1.1999999999999886</v>
      </c>
      <c r="M1523" s="8">
        <f t="shared" si="2178"/>
        <v>1499.9999999999859</v>
      </c>
    </row>
    <row r="1524" spans="1:13" ht="15.75" customHeight="1" x14ac:dyDescent="0.25">
      <c r="A1524" s="24">
        <v>43516</v>
      </c>
      <c r="B1524" s="9" t="s">
        <v>34</v>
      </c>
      <c r="C1524" s="9">
        <v>100</v>
      </c>
      <c r="D1524" s="9" t="s">
        <v>11</v>
      </c>
      <c r="E1524" s="19">
        <v>4015</v>
      </c>
      <c r="F1524" s="19">
        <v>3990</v>
      </c>
      <c r="G1524" s="9">
        <v>0</v>
      </c>
      <c r="H1524" s="15">
        <v>0</v>
      </c>
      <c r="I1524" s="8">
        <f t="shared" si="2179"/>
        <v>2500</v>
      </c>
      <c r="J1524" s="8">
        <v>0</v>
      </c>
      <c r="K1524" s="2">
        <v>0</v>
      </c>
      <c r="L1524" s="8">
        <f t="shared" si="2177"/>
        <v>25</v>
      </c>
      <c r="M1524" s="8">
        <f t="shared" si="2178"/>
        <v>2500</v>
      </c>
    </row>
    <row r="1525" spans="1:13" ht="15.75" customHeight="1" x14ac:dyDescent="0.25">
      <c r="A1525" s="24">
        <v>43516</v>
      </c>
      <c r="B1525" s="9" t="s">
        <v>17</v>
      </c>
      <c r="C1525" s="9">
        <v>5000</v>
      </c>
      <c r="D1525" s="9" t="s">
        <v>10</v>
      </c>
      <c r="E1525" s="19">
        <v>191.7</v>
      </c>
      <c r="F1525" s="19">
        <v>192.4</v>
      </c>
      <c r="G1525" s="9">
        <v>193.1</v>
      </c>
      <c r="H1525" s="15">
        <v>0</v>
      </c>
      <c r="I1525" s="8">
        <f t="shared" si="2179"/>
        <v>3500.0000000000855</v>
      </c>
      <c r="J1525" s="8">
        <f>C1525*0.7</f>
        <v>3500</v>
      </c>
      <c r="K1525" s="2">
        <v>0</v>
      </c>
      <c r="L1525" s="8">
        <f t="shared" si="2177"/>
        <v>1.400000000000017</v>
      </c>
      <c r="M1525" s="8">
        <f t="shared" si="2178"/>
        <v>7000.0000000000855</v>
      </c>
    </row>
    <row r="1526" spans="1:13" ht="15.75" customHeight="1" x14ac:dyDescent="0.25">
      <c r="A1526" s="24">
        <v>43515</v>
      </c>
      <c r="B1526" s="9" t="s">
        <v>19</v>
      </c>
      <c r="C1526" s="9">
        <v>100</v>
      </c>
      <c r="D1526" s="9" t="s">
        <v>10</v>
      </c>
      <c r="E1526" s="19">
        <v>33620</v>
      </c>
      <c r="F1526" s="19">
        <v>33670</v>
      </c>
      <c r="G1526" s="9">
        <v>33740</v>
      </c>
      <c r="H1526" s="15">
        <v>0</v>
      </c>
      <c r="I1526" s="8">
        <f t="shared" ref="I1526:I1552" si="2180">(IF(D1526="SELL",E1526-F1526,IF(D1526="BUY",F1526-E1526)))*C1526</f>
        <v>5000</v>
      </c>
      <c r="J1526" s="8">
        <f>C1526*70</f>
        <v>7000</v>
      </c>
      <c r="K1526" s="2">
        <v>0</v>
      </c>
      <c r="L1526" s="8">
        <f t="shared" si="2177"/>
        <v>120</v>
      </c>
      <c r="M1526" s="8">
        <f t="shared" si="2178"/>
        <v>12000</v>
      </c>
    </row>
    <row r="1527" spans="1:13" ht="15.75" customHeight="1" x14ac:dyDescent="0.25">
      <c r="A1527" s="24">
        <v>43515</v>
      </c>
      <c r="B1527" s="9" t="s">
        <v>17</v>
      </c>
      <c r="C1527" s="9">
        <v>5000</v>
      </c>
      <c r="D1527" s="9" t="s">
        <v>10</v>
      </c>
      <c r="E1527" s="19">
        <v>190</v>
      </c>
      <c r="F1527" s="19">
        <v>190.5</v>
      </c>
      <c r="G1527" s="9">
        <v>191</v>
      </c>
      <c r="H1527" s="15">
        <v>0</v>
      </c>
      <c r="I1527" s="8">
        <f t="shared" si="2180"/>
        <v>2500</v>
      </c>
      <c r="J1527" s="8">
        <f>C1527*0.5</f>
        <v>2500</v>
      </c>
      <c r="K1527" s="2">
        <v>0</v>
      </c>
      <c r="L1527" s="8">
        <f t="shared" si="2177"/>
        <v>1</v>
      </c>
      <c r="M1527" s="8">
        <f t="shared" si="2178"/>
        <v>5000</v>
      </c>
    </row>
    <row r="1528" spans="1:13" ht="15.75" customHeight="1" x14ac:dyDescent="0.25">
      <c r="A1528" s="24">
        <v>43514</v>
      </c>
      <c r="B1528" s="9" t="s">
        <v>34</v>
      </c>
      <c r="C1528" s="9">
        <v>100</v>
      </c>
      <c r="D1528" s="9" t="s">
        <v>10</v>
      </c>
      <c r="E1528" s="19">
        <v>3990</v>
      </c>
      <c r="F1528" s="19">
        <v>4015</v>
      </c>
      <c r="G1528" s="9">
        <v>0</v>
      </c>
      <c r="H1528" s="15">
        <v>0</v>
      </c>
      <c r="I1528" s="8">
        <f t="shared" si="2180"/>
        <v>2500</v>
      </c>
      <c r="J1528" s="8">
        <v>0</v>
      </c>
      <c r="K1528" s="2">
        <v>0</v>
      </c>
      <c r="L1528" s="8">
        <f t="shared" si="2177"/>
        <v>25</v>
      </c>
      <c r="M1528" s="8">
        <f t="shared" si="2178"/>
        <v>2500</v>
      </c>
    </row>
    <row r="1529" spans="1:13" ht="15.75" customHeight="1" x14ac:dyDescent="0.25">
      <c r="A1529" s="24">
        <v>43514</v>
      </c>
      <c r="B1529" s="9" t="s">
        <v>18</v>
      </c>
      <c r="C1529" s="9">
        <v>1000</v>
      </c>
      <c r="D1529" s="9" t="s">
        <v>10</v>
      </c>
      <c r="E1529" s="19">
        <v>446.5</v>
      </c>
      <c r="F1529" s="19">
        <v>448.5</v>
      </c>
      <c r="G1529" s="9">
        <v>0</v>
      </c>
      <c r="H1529" s="15">
        <v>0</v>
      </c>
      <c r="I1529" s="8">
        <f t="shared" si="2180"/>
        <v>2000</v>
      </c>
      <c r="J1529" s="8">
        <v>0</v>
      </c>
      <c r="K1529" s="2">
        <v>0</v>
      </c>
      <c r="L1529" s="8">
        <f t="shared" si="2177"/>
        <v>2</v>
      </c>
      <c r="M1529" s="8">
        <f t="shared" si="2178"/>
        <v>2000</v>
      </c>
    </row>
    <row r="1530" spans="1:13" ht="15.75" customHeight="1" x14ac:dyDescent="0.25">
      <c r="A1530" s="24">
        <v>43514</v>
      </c>
      <c r="B1530" s="9" t="s">
        <v>19</v>
      </c>
      <c r="C1530" s="9">
        <v>100</v>
      </c>
      <c r="D1530" s="9" t="s">
        <v>10</v>
      </c>
      <c r="E1530" s="19">
        <v>33525</v>
      </c>
      <c r="F1530" s="19">
        <v>33580</v>
      </c>
      <c r="G1530" s="9">
        <v>0</v>
      </c>
      <c r="H1530" s="15">
        <v>0</v>
      </c>
      <c r="I1530" s="8">
        <f t="shared" si="2180"/>
        <v>5500</v>
      </c>
      <c r="J1530" s="8">
        <v>0</v>
      </c>
      <c r="K1530" s="2">
        <v>0</v>
      </c>
      <c r="L1530" s="8">
        <f t="shared" si="2177"/>
        <v>55</v>
      </c>
      <c r="M1530" s="8">
        <f t="shared" si="2178"/>
        <v>5500</v>
      </c>
    </row>
    <row r="1531" spans="1:13" ht="15.75" customHeight="1" x14ac:dyDescent="0.25">
      <c r="A1531" s="24">
        <v>43511</v>
      </c>
      <c r="B1531" s="9" t="s">
        <v>34</v>
      </c>
      <c r="C1531" s="9">
        <v>100</v>
      </c>
      <c r="D1531" s="9" t="s">
        <v>10</v>
      </c>
      <c r="E1531" s="19">
        <v>3897</v>
      </c>
      <c r="F1531" s="19">
        <v>3920</v>
      </c>
      <c r="G1531" s="9">
        <v>3950</v>
      </c>
      <c r="H1531" s="15">
        <v>0</v>
      </c>
      <c r="I1531" s="8">
        <f t="shared" si="2180"/>
        <v>2300</v>
      </c>
      <c r="J1531" s="8">
        <f>C1531*30</f>
        <v>3000</v>
      </c>
      <c r="K1531" s="2">
        <v>0</v>
      </c>
      <c r="L1531" s="8">
        <f t="shared" si="2177"/>
        <v>53</v>
      </c>
      <c r="M1531" s="8">
        <f t="shared" si="2178"/>
        <v>5300</v>
      </c>
    </row>
    <row r="1532" spans="1:13" ht="15.75" customHeight="1" x14ac:dyDescent="0.25">
      <c r="A1532" s="24">
        <v>43511</v>
      </c>
      <c r="B1532" s="9" t="s">
        <v>19</v>
      </c>
      <c r="C1532" s="9">
        <v>100</v>
      </c>
      <c r="D1532" s="9" t="s">
        <v>10</v>
      </c>
      <c r="E1532" s="19">
        <v>33230</v>
      </c>
      <c r="F1532" s="19">
        <v>33280</v>
      </c>
      <c r="G1532" s="9">
        <v>0</v>
      </c>
      <c r="H1532" s="15">
        <v>0</v>
      </c>
      <c r="I1532" s="8">
        <f t="shared" si="2180"/>
        <v>5000</v>
      </c>
      <c r="J1532" s="8">
        <v>0</v>
      </c>
      <c r="K1532" s="2">
        <v>0</v>
      </c>
      <c r="L1532" s="8">
        <f t="shared" si="2177"/>
        <v>50</v>
      </c>
      <c r="M1532" s="8">
        <f t="shared" si="2178"/>
        <v>5000</v>
      </c>
    </row>
    <row r="1533" spans="1:13" ht="15.75" customHeight="1" x14ac:dyDescent="0.25">
      <c r="A1533" s="24">
        <v>43511</v>
      </c>
      <c r="B1533" s="9" t="s">
        <v>18</v>
      </c>
      <c r="C1533" s="9">
        <v>1000</v>
      </c>
      <c r="D1533" s="9" t="s">
        <v>10</v>
      </c>
      <c r="E1533" s="19">
        <v>436.5</v>
      </c>
      <c r="F1533" s="19">
        <v>438</v>
      </c>
      <c r="G1533" s="9">
        <v>440</v>
      </c>
      <c r="H1533" s="15">
        <v>0</v>
      </c>
      <c r="I1533" s="8">
        <f t="shared" si="2180"/>
        <v>1500</v>
      </c>
      <c r="J1533" s="8">
        <f>C1533*2</f>
        <v>2000</v>
      </c>
      <c r="K1533" s="2">
        <v>0</v>
      </c>
      <c r="L1533" s="8">
        <f t="shared" si="2177"/>
        <v>3.5</v>
      </c>
      <c r="M1533" s="8">
        <f t="shared" si="2178"/>
        <v>3500</v>
      </c>
    </row>
    <row r="1534" spans="1:13" ht="15.75" customHeight="1" x14ac:dyDescent="0.25">
      <c r="A1534" s="24">
        <v>43508</v>
      </c>
      <c r="B1534" s="9" t="s">
        <v>34</v>
      </c>
      <c r="C1534" s="9">
        <v>100</v>
      </c>
      <c r="D1534" s="9" t="s">
        <v>10</v>
      </c>
      <c r="E1534" s="19">
        <v>3770</v>
      </c>
      <c r="F1534" s="19">
        <v>3790</v>
      </c>
      <c r="G1534" s="9">
        <v>3820</v>
      </c>
      <c r="H1534" s="15">
        <v>0</v>
      </c>
      <c r="I1534" s="8">
        <f t="shared" si="2180"/>
        <v>2000</v>
      </c>
      <c r="J1534" s="8">
        <f>C1534*30</f>
        <v>3000</v>
      </c>
      <c r="K1534" s="2">
        <v>0</v>
      </c>
      <c r="L1534" s="8">
        <f t="shared" si="2177"/>
        <v>50</v>
      </c>
      <c r="M1534" s="8">
        <f t="shared" si="2178"/>
        <v>5000</v>
      </c>
    </row>
    <row r="1535" spans="1:13" ht="15.75" customHeight="1" x14ac:dyDescent="0.25">
      <c r="A1535" s="24">
        <v>43508</v>
      </c>
      <c r="B1535" s="9" t="s">
        <v>18</v>
      </c>
      <c r="C1535" s="9">
        <v>1000</v>
      </c>
      <c r="D1535" s="9" t="s">
        <v>11</v>
      </c>
      <c r="E1535" s="19">
        <v>437</v>
      </c>
      <c r="F1535" s="19">
        <v>435.5</v>
      </c>
      <c r="G1535" s="9">
        <v>433.5</v>
      </c>
      <c r="H1535" s="15">
        <v>0</v>
      </c>
      <c r="I1535" s="8">
        <f t="shared" si="2180"/>
        <v>1500</v>
      </c>
      <c r="J1535" s="8">
        <f>C1535*2</f>
        <v>2000</v>
      </c>
      <c r="K1535" s="2">
        <v>0</v>
      </c>
      <c r="L1535" s="8">
        <f t="shared" ref="L1535:L1552" si="2181">(J1535+I1535+K1535)/C1535</f>
        <v>3.5</v>
      </c>
      <c r="M1535" s="8">
        <f t="shared" ref="M1535:M1552" si="2182">L1535*C1535</f>
        <v>3500</v>
      </c>
    </row>
    <row r="1536" spans="1:13" ht="15.75" customHeight="1" x14ac:dyDescent="0.25">
      <c r="A1536" s="24">
        <v>43508</v>
      </c>
      <c r="B1536" s="9" t="s">
        <v>21</v>
      </c>
      <c r="C1536" s="9">
        <v>250</v>
      </c>
      <c r="D1536" s="9" t="s">
        <v>11</v>
      </c>
      <c r="E1536" s="19">
        <v>877</v>
      </c>
      <c r="F1536" s="19">
        <v>873</v>
      </c>
      <c r="G1536" s="9">
        <v>0</v>
      </c>
      <c r="H1536" s="15">
        <v>0</v>
      </c>
      <c r="I1536" s="8">
        <f t="shared" si="2180"/>
        <v>1000</v>
      </c>
      <c r="J1536" s="8">
        <v>0</v>
      </c>
      <c r="K1536" s="2">
        <v>0</v>
      </c>
      <c r="L1536" s="8">
        <f t="shared" si="2181"/>
        <v>4</v>
      </c>
      <c r="M1536" s="8">
        <f t="shared" si="2182"/>
        <v>1000</v>
      </c>
    </row>
    <row r="1537" spans="1:13" ht="15.75" customHeight="1" x14ac:dyDescent="0.25">
      <c r="A1537" s="24">
        <v>43508</v>
      </c>
      <c r="B1537" s="9" t="s">
        <v>17</v>
      </c>
      <c r="C1537" s="9">
        <v>5000</v>
      </c>
      <c r="D1537" s="9" t="s">
        <v>11</v>
      </c>
      <c r="E1537" s="19">
        <v>187.5</v>
      </c>
      <c r="F1537" s="19">
        <v>187</v>
      </c>
      <c r="G1537" s="9">
        <v>186</v>
      </c>
      <c r="H1537" s="15">
        <v>0</v>
      </c>
      <c r="I1537" s="8">
        <f t="shared" si="2180"/>
        <v>2500</v>
      </c>
      <c r="J1537" s="8">
        <f>C1537*1</f>
        <v>5000</v>
      </c>
      <c r="K1537" s="2">
        <v>0</v>
      </c>
      <c r="L1537" s="8">
        <f t="shared" si="2181"/>
        <v>1.5</v>
      </c>
      <c r="M1537" s="8">
        <f t="shared" si="2182"/>
        <v>7500</v>
      </c>
    </row>
    <row r="1538" spans="1:13" ht="15.75" customHeight="1" x14ac:dyDescent="0.25">
      <c r="A1538" s="24">
        <v>43503</v>
      </c>
      <c r="B1538" s="9" t="s">
        <v>19</v>
      </c>
      <c r="C1538" s="9">
        <v>100</v>
      </c>
      <c r="D1538" s="9" t="s">
        <v>11</v>
      </c>
      <c r="E1538" s="19">
        <v>33160</v>
      </c>
      <c r="F1538" s="19">
        <v>33120</v>
      </c>
      <c r="G1538" s="9">
        <v>0</v>
      </c>
      <c r="H1538" s="15">
        <v>0</v>
      </c>
      <c r="I1538" s="8">
        <f t="shared" si="2180"/>
        <v>4000</v>
      </c>
      <c r="J1538" s="8">
        <v>0</v>
      </c>
      <c r="K1538" s="2">
        <v>0</v>
      </c>
      <c r="L1538" s="8">
        <f t="shared" si="2181"/>
        <v>40</v>
      </c>
      <c r="M1538" s="8">
        <f t="shared" si="2182"/>
        <v>4000</v>
      </c>
    </row>
    <row r="1539" spans="1:13" ht="15.75" customHeight="1" x14ac:dyDescent="0.25">
      <c r="A1539" s="24">
        <v>43497</v>
      </c>
      <c r="B1539" s="9" t="s">
        <v>17</v>
      </c>
      <c r="C1539" s="9">
        <v>5000</v>
      </c>
      <c r="D1539" s="9" t="s">
        <v>10</v>
      </c>
      <c r="E1539" s="19">
        <v>194.8</v>
      </c>
      <c r="F1539" s="19">
        <v>195.5</v>
      </c>
      <c r="G1539" s="9">
        <v>0</v>
      </c>
      <c r="H1539" s="15">
        <v>0</v>
      </c>
      <c r="I1539" s="8">
        <f t="shared" si="2180"/>
        <v>3499.9999999999432</v>
      </c>
      <c r="J1539" s="8">
        <v>0</v>
      </c>
      <c r="K1539" s="2">
        <v>0</v>
      </c>
      <c r="L1539" s="8">
        <f t="shared" si="2181"/>
        <v>0.69999999999998863</v>
      </c>
      <c r="M1539" s="8">
        <f t="shared" si="2182"/>
        <v>3499.9999999999432</v>
      </c>
    </row>
    <row r="1540" spans="1:13" ht="15.75" customHeight="1" x14ac:dyDescent="0.25">
      <c r="A1540" s="24">
        <v>43496</v>
      </c>
      <c r="B1540" s="9" t="s">
        <v>52</v>
      </c>
      <c r="C1540" s="9">
        <v>1250</v>
      </c>
      <c r="D1540" s="9" t="s">
        <v>10</v>
      </c>
      <c r="E1540" s="19">
        <v>207.5</v>
      </c>
      <c r="F1540" s="19">
        <v>204.5</v>
      </c>
      <c r="G1540" s="9">
        <v>0</v>
      </c>
      <c r="H1540" s="15">
        <v>0</v>
      </c>
      <c r="I1540" s="8">
        <f t="shared" si="2180"/>
        <v>-3750</v>
      </c>
      <c r="J1540" s="8">
        <v>0</v>
      </c>
      <c r="K1540" s="2">
        <v>0</v>
      </c>
      <c r="L1540" s="8">
        <f t="shared" si="2181"/>
        <v>-3</v>
      </c>
      <c r="M1540" s="8">
        <f t="shared" si="2182"/>
        <v>-3750</v>
      </c>
    </row>
    <row r="1541" spans="1:13" ht="15.75" customHeight="1" x14ac:dyDescent="0.25">
      <c r="A1541" s="24">
        <v>43496</v>
      </c>
      <c r="B1541" s="9" t="s">
        <v>17</v>
      </c>
      <c r="C1541" s="9">
        <v>5000</v>
      </c>
      <c r="D1541" s="9" t="s">
        <v>10</v>
      </c>
      <c r="E1541" s="19">
        <v>192.25</v>
      </c>
      <c r="F1541" s="19">
        <v>192.8</v>
      </c>
      <c r="G1541" s="9">
        <v>193.7</v>
      </c>
      <c r="H1541" s="15">
        <v>0</v>
      </c>
      <c r="I1541" s="8">
        <f t="shared" si="2180"/>
        <v>2750.0000000000568</v>
      </c>
      <c r="J1541" s="8">
        <f>C1541*0.9</f>
        <v>4500</v>
      </c>
      <c r="K1541" s="2">
        <v>0</v>
      </c>
      <c r="L1541" s="8">
        <f t="shared" si="2181"/>
        <v>1.4500000000000113</v>
      </c>
      <c r="M1541" s="8">
        <f t="shared" si="2182"/>
        <v>7250.0000000000564</v>
      </c>
    </row>
    <row r="1542" spans="1:13" ht="15.75" customHeight="1" x14ac:dyDescent="0.25">
      <c r="A1542" s="24">
        <v>43495</v>
      </c>
      <c r="B1542" s="9" t="s">
        <v>18</v>
      </c>
      <c r="C1542" s="9">
        <v>1000</v>
      </c>
      <c r="D1542" s="9" t="s">
        <v>10</v>
      </c>
      <c r="E1542" s="19">
        <v>434.5</v>
      </c>
      <c r="F1542" s="19">
        <v>436</v>
      </c>
      <c r="G1542" s="9">
        <v>0</v>
      </c>
      <c r="H1542" s="15">
        <v>0</v>
      </c>
      <c r="I1542" s="8">
        <f t="shared" si="2180"/>
        <v>1500</v>
      </c>
      <c r="J1542" s="8">
        <v>0</v>
      </c>
      <c r="K1542" s="2">
        <v>0</v>
      </c>
      <c r="L1542" s="8">
        <f t="shared" si="2181"/>
        <v>1.5</v>
      </c>
      <c r="M1542" s="8">
        <f t="shared" si="2182"/>
        <v>1500</v>
      </c>
    </row>
    <row r="1543" spans="1:13" ht="15.75" customHeight="1" x14ac:dyDescent="0.25">
      <c r="A1543" s="24">
        <v>43495</v>
      </c>
      <c r="B1543" s="9" t="s">
        <v>34</v>
      </c>
      <c r="C1543" s="9">
        <v>100</v>
      </c>
      <c r="D1543" s="9" t="s">
        <v>10</v>
      </c>
      <c r="E1543" s="19">
        <v>3824</v>
      </c>
      <c r="F1543" s="19">
        <v>3844</v>
      </c>
      <c r="G1543" s="9">
        <v>0</v>
      </c>
      <c r="H1543" s="15">
        <v>0</v>
      </c>
      <c r="I1543" s="8">
        <f t="shared" si="2180"/>
        <v>2000</v>
      </c>
      <c r="J1543" s="8">
        <v>0</v>
      </c>
      <c r="K1543" s="2">
        <v>0</v>
      </c>
      <c r="L1543" s="8">
        <f t="shared" si="2181"/>
        <v>20</v>
      </c>
      <c r="M1543" s="8">
        <f t="shared" si="2182"/>
        <v>2000</v>
      </c>
    </row>
    <row r="1544" spans="1:13" ht="15.75" customHeight="1" x14ac:dyDescent="0.25">
      <c r="A1544" s="24">
        <v>43490</v>
      </c>
      <c r="B1544" s="9" t="s">
        <v>29</v>
      </c>
      <c r="C1544" s="9">
        <v>1000</v>
      </c>
      <c r="D1544" s="9" t="s">
        <v>10</v>
      </c>
      <c r="E1544" s="19">
        <v>420.5</v>
      </c>
      <c r="F1544" s="19">
        <v>422</v>
      </c>
      <c r="G1544" s="9">
        <v>424</v>
      </c>
      <c r="H1544" s="15">
        <v>426.5</v>
      </c>
      <c r="I1544" s="8">
        <f t="shared" si="2180"/>
        <v>1500</v>
      </c>
      <c r="J1544" s="8">
        <f>(IF(D1544="SELL",IF(G1544="",0,F1544-G1544),IF(D1544="BUY",IF(G1544="",0,G1544-F1544))))*C1544</f>
        <v>2000</v>
      </c>
      <c r="K1544" s="2">
        <f>C1544*2.5</f>
        <v>2500</v>
      </c>
      <c r="L1544" s="8">
        <f t="shared" si="2181"/>
        <v>6</v>
      </c>
      <c r="M1544" s="8">
        <f t="shared" si="2182"/>
        <v>6000</v>
      </c>
    </row>
    <row r="1545" spans="1:13" ht="15.75" customHeight="1" x14ac:dyDescent="0.25">
      <c r="A1545" s="24">
        <v>43489</v>
      </c>
      <c r="B1545" s="9" t="s">
        <v>18</v>
      </c>
      <c r="C1545" s="9">
        <v>1000</v>
      </c>
      <c r="D1545" s="9" t="s">
        <v>11</v>
      </c>
      <c r="E1545" s="19">
        <v>419</v>
      </c>
      <c r="F1545" s="19">
        <v>417.5</v>
      </c>
      <c r="G1545" s="9">
        <v>0</v>
      </c>
      <c r="H1545" s="15">
        <v>0</v>
      </c>
      <c r="I1545" s="8">
        <f t="shared" si="2180"/>
        <v>1500</v>
      </c>
      <c r="J1545" s="8">
        <v>0</v>
      </c>
      <c r="K1545" s="2">
        <v>0</v>
      </c>
      <c r="L1545" s="8">
        <f t="shared" si="2181"/>
        <v>1.5</v>
      </c>
      <c r="M1545" s="8">
        <f t="shared" si="2182"/>
        <v>1500</v>
      </c>
    </row>
    <row r="1546" spans="1:13" ht="15.75" customHeight="1" x14ac:dyDescent="0.25">
      <c r="A1546" s="24">
        <v>43487</v>
      </c>
      <c r="B1546" s="9" t="s">
        <v>17</v>
      </c>
      <c r="C1546" s="9">
        <v>5000</v>
      </c>
      <c r="D1546" s="9" t="s">
        <v>10</v>
      </c>
      <c r="E1546" s="19">
        <v>186.2</v>
      </c>
      <c r="F1546" s="19">
        <v>186.7</v>
      </c>
      <c r="G1546" s="9">
        <v>0</v>
      </c>
      <c r="H1546" s="15">
        <v>0</v>
      </c>
      <c r="I1546" s="8">
        <f t="shared" si="2180"/>
        <v>2500</v>
      </c>
      <c r="J1546" s="8">
        <v>0</v>
      </c>
      <c r="K1546" s="2">
        <v>0</v>
      </c>
      <c r="L1546" s="8">
        <f t="shared" si="2181"/>
        <v>0.5</v>
      </c>
      <c r="M1546" s="8">
        <f t="shared" si="2182"/>
        <v>2500</v>
      </c>
    </row>
    <row r="1547" spans="1:13" ht="15.75" customHeight="1" x14ac:dyDescent="0.25">
      <c r="A1547" s="24">
        <v>43483</v>
      </c>
      <c r="B1547" s="9" t="s">
        <v>17</v>
      </c>
      <c r="C1547" s="9">
        <v>5000</v>
      </c>
      <c r="D1547" s="9" t="s">
        <v>10</v>
      </c>
      <c r="E1547" s="19">
        <v>184</v>
      </c>
      <c r="F1547" s="19">
        <v>184.7</v>
      </c>
      <c r="G1547" s="9">
        <v>0</v>
      </c>
      <c r="H1547" s="15">
        <v>0</v>
      </c>
      <c r="I1547" s="8">
        <f t="shared" si="2180"/>
        <v>3499.9999999999432</v>
      </c>
      <c r="J1547" s="8">
        <v>0</v>
      </c>
      <c r="K1547" s="2">
        <v>0</v>
      </c>
      <c r="L1547" s="8">
        <f t="shared" si="2181"/>
        <v>0.69999999999998863</v>
      </c>
      <c r="M1547" s="8">
        <f t="shared" si="2182"/>
        <v>3499.9999999999432</v>
      </c>
    </row>
    <row r="1548" spans="1:13" ht="15.75" customHeight="1" x14ac:dyDescent="0.25">
      <c r="A1548" s="24">
        <v>43483</v>
      </c>
      <c r="B1548" s="9" t="s">
        <v>52</v>
      </c>
      <c r="C1548" s="9">
        <v>1250</v>
      </c>
      <c r="D1548" s="9" t="s">
        <v>11</v>
      </c>
      <c r="E1548" s="19">
        <v>241.7</v>
      </c>
      <c r="F1548" s="19">
        <v>239</v>
      </c>
      <c r="G1548" s="9">
        <v>0</v>
      </c>
      <c r="H1548" s="15">
        <v>0</v>
      </c>
      <c r="I1548" s="8">
        <f t="shared" si="2180"/>
        <v>3374.9999999999859</v>
      </c>
      <c r="J1548" s="8">
        <v>0</v>
      </c>
      <c r="K1548" s="2">
        <v>0</v>
      </c>
      <c r="L1548" s="8">
        <f t="shared" si="2181"/>
        <v>2.6999999999999886</v>
      </c>
      <c r="M1548" s="8">
        <f t="shared" si="2182"/>
        <v>3374.9999999999859</v>
      </c>
    </row>
    <row r="1549" spans="1:13" ht="15.75" customHeight="1" x14ac:dyDescent="0.25">
      <c r="A1549" s="24">
        <v>43481</v>
      </c>
      <c r="B1549" s="9" t="s">
        <v>18</v>
      </c>
      <c r="C1549" s="9">
        <v>1000</v>
      </c>
      <c r="D1549" s="9" t="s">
        <v>10</v>
      </c>
      <c r="E1549" s="19">
        <v>419.5</v>
      </c>
      <c r="F1549" s="19">
        <v>421.5</v>
      </c>
      <c r="G1549" s="9">
        <v>0</v>
      </c>
      <c r="H1549" s="15">
        <v>0</v>
      </c>
      <c r="I1549" s="8">
        <f t="shared" si="2180"/>
        <v>2000</v>
      </c>
      <c r="J1549" s="8">
        <v>0</v>
      </c>
      <c r="K1549" s="2">
        <v>0</v>
      </c>
      <c r="L1549" s="8">
        <f t="shared" si="2181"/>
        <v>2</v>
      </c>
      <c r="M1549" s="8">
        <f t="shared" si="2182"/>
        <v>2000</v>
      </c>
    </row>
    <row r="1550" spans="1:13" ht="15.75" customHeight="1" x14ac:dyDescent="0.25">
      <c r="A1550" s="24">
        <v>43481</v>
      </c>
      <c r="B1550" s="9" t="s">
        <v>17</v>
      </c>
      <c r="C1550" s="9">
        <v>5000</v>
      </c>
      <c r="D1550" s="9" t="s">
        <v>10</v>
      </c>
      <c r="E1550" s="19">
        <v>177.4</v>
      </c>
      <c r="F1550" s="19">
        <v>178</v>
      </c>
      <c r="G1550" s="9">
        <v>0</v>
      </c>
      <c r="H1550" s="15">
        <v>0</v>
      </c>
      <c r="I1550" s="8">
        <f t="shared" si="2180"/>
        <v>2999.9999999999718</v>
      </c>
      <c r="J1550" s="8">
        <v>0</v>
      </c>
      <c r="K1550" s="2">
        <v>0</v>
      </c>
      <c r="L1550" s="8">
        <f t="shared" si="2181"/>
        <v>0.59999999999999432</v>
      </c>
      <c r="M1550" s="8">
        <f t="shared" si="2182"/>
        <v>2999.9999999999718</v>
      </c>
    </row>
    <row r="1551" spans="1:13" ht="15.75" customHeight="1" x14ac:dyDescent="0.25">
      <c r="A1551" s="24">
        <v>43480</v>
      </c>
      <c r="B1551" s="9" t="s">
        <v>52</v>
      </c>
      <c r="C1551" s="9">
        <v>1250</v>
      </c>
      <c r="D1551" s="9" t="s">
        <v>10</v>
      </c>
      <c r="E1551" s="19">
        <v>262</v>
      </c>
      <c r="F1551" s="19">
        <v>257</v>
      </c>
      <c r="G1551" s="9">
        <v>0</v>
      </c>
      <c r="H1551" s="15">
        <v>0</v>
      </c>
      <c r="I1551" s="8">
        <f t="shared" si="2180"/>
        <v>-6250</v>
      </c>
      <c r="J1551" s="8">
        <v>0</v>
      </c>
      <c r="K1551" s="2">
        <v>0</v>
      </c>
      <c r="L1551" s="8">
        <f t="shared" si="2181"/>
        <v>-5</v>
      </c>
      <c r="M1551" s="8">
        <f t="shared" si="2182"/>
        <v>-6250</v>
      </c>
    </row>
    <row r="1552" spans="1:13" ht="15.75" customHeight="1" x14ac:dyDescent="0.25">
      <c r="A1552" s="24">
        <v>43479</v>
      </c>
      <c r="B1552" s="9" t="s">
        <v>52</v>
      </c>
      <c r="C1552" s="9">
        <v>1250</v>
      </c>
      <c r="D1552" s="9" t="s">
        <v>10</v>
      </c>
      <c r="E1552" s="19">
        <v>233.5</v>
      </c>
      <c r="F1552" s="19">
        <v>235.2</v>
      </c>
      <c r="G1552" s="9">
        <v>0</v>
      </c>
      <c r="H1552" s="15">
        <v>0</v>
      </c>
      <c r="I1552" s="8">
        <f t="shared" si="2180"/>
        <v>2124.9999999999859</v>
      </c>
      <c r="J1552" s="8">
        <v>0</v>
      </c>
      <c r="K1552" s="2">
        <v>0</v>
      </c>
      <c r="L1552" s="8">
        <f t="shared" si="2181"/>
        <v>1.6999999999999886</v>
      </c>
      <c r="M1552" s="8">
        <f t="shared" si="2182"/>
        <v>2124.9999999999859</v>
      </c>
    </row>
    <row r="1553" spans="1:13" ht="15.75" customHeight="1" x14ac:dyDescent="0.25">
      <c r="A1553" s="24">
        <v>43476</v>
      </c>
      <c r="B1553" s="9" t="s">
        <v>34</v>
      </c>
      <c r="C1553" s="9">
        <v>100</v>
      </c>
      <c r="D1553" s="9" t="s">
        <v>10</v>
      </c>
      <c r="E1553" s="19">
        <v>3715</v>
      </c>
      <c r="F1553" s="19">
        <v>3735</v>
      </c>
      <c r="G1553" s="9">
        <v>0</v>
      </c>
      <c r="H1553" s="15">
        <v>0</v>
      </c>
      <c r="I1553" s="8">
        <f t="shared" ref="I1553:I1558" si="2183">(IF(D1553="SELL",E1553-F1553,IF(D1553="BUY",F1553-E1553)))*C1553</f>
        <v>2000</v>
      </c>
      <c r="J1553" s="8">
        <v>0</v>
      </c>
      <c r="K1553" s="2">
        <v>0</v>
      </c>
      <c r="L1553" s="8">
        <f t="shared" ref="L1553:L1558" si="2184">(J1553+I1553+K1553)/C1553</f>
        <v>20</v>
      </c>
      <c r="M1553" s="8">
        <f t="shared" ref="M1553:M1558" si="2185">L1553*C1553</f>
        <v>2000</v>
      </c>
    </row>
    <row r="1554" spans="1:13" ht="15.75" customHeight="1" x14ac:dyDescent="0.25">
      <c r="A1554" s="24">
        <v>43474</v>
      </c>
      <c r="B1554" s="9" t="s">
        <v>18</v>
      </c>
      <c r="C1554" s="9">
        <v>1000</v>
      </c>
      <c r="D1554" s="9" t="s">
        <v>10</v>
      </c>
      <c r="E1554" s="19">
        <v>417.5</v>
      </c>
      <c r="F1554" s="19">
        <v>419</v>
      </c>
      <c r="G1554" s="9">
        <v>0</v>
      </c>
      <c r="H1554" s="15">
        <v>0</v>
      </c>
      <c r="I1554" s="8">
        <f t="shared" si="2183"/>
        <v>1500</v>
      </c>
      <c r="J1554" s="8">
        <v>0</v>
      </c>
      <c r="K1554" s="2">
        <v>0</v>
      </c>
      <c r="L1554" s="8">
        <f t="shared" si="2184"/>
        <v>1.5</v>
      </c>
      <c r="M1554" s="8">
        <f t="shared" si="2185"/>
        <v>1500</v>
      </c>
    </row>
    <row r="1555" spans="1:13" ht="15.75" customHeight="1" x14ac:dyDescent="0.25">
      <c r="A1555" s="24">
        <v>43474</v>
      </c>
      <c r="B1555" s="9" t="s">
        <v>34</v>
      </c>
      <c r="C1555" s="9">
        <v>100</v>
      </c>
      <c r="D1555" s="9" t="s">
        <v>10</v>
      </c>
      <c r="E1555" s="19">
        <v>3565</v>
      </c>
      <c r="F1555" s="19">
        <v>3585</v>
      </c>
      <c r="G1555" s="9">
        <v>0</v>
      </c>
      <c r="H1555" s="15">
        <v>0</v>
      </c>
      <c r="I1555" s="8">
        <f t="shared" si="2183"/>
        <v>2000</v>
      </c>
      <c r="J1555" s="8">
        <v>0</v>
      </c>
      <c r="K1555" s="2">
        <v>0</v>
      </c>
      <c r="L1555" s="8">
        <f t="shared" si="2184"/>
        <v>20</v>
      </c>
      <c r="M1555" s="8">
        <f t="shared" si="2185"/>
        <v>2000</v>
      </c>
    </row>
    <row r="1556" spans="1:13" ht="15.75" customHeight="1" x14ac:dyDescent="0.25">
      <c r="A1556" s="24">
        <v>43474</v>
      </c>
      <c r="B1556" s="9" t="s">
        <v>17</v>
      </c>
      <c r="C1556" s="9">
        <v>5000</v>
      </c>
      <c r="D1556" s="9" t="s">
        <v>10</v>
      </c>
      <c r="E1556" s="19">
        <v>177.7</v>
      </c>
      <c r="F1556" s="19">
        <v>178.3</v>
      </c>
      <c r="G1556" s="9">
        <v>0</v>
      </c>
      <c r="H1556" s="15">
        <v>0</v>
      </c>
      <c r="I1556" s="8">
        <f t="shared" si="2183"/>
        <v>3000.0000000001137</v>
      </c>
      <c r="J1556" s="8">
        <v>0</v>
      </c>
      <c r="K1556" s="2">
        <v>0</v>
      </c>
      <c r="L1556" s="8">
        <f t="shared" si="2184"/>
        <v>0.60000000000002274</v>
      </c>
      <c r="M1556" s="8">
        <f t="shared" si="2185"/>
        <v>3000.0000000001137</v>
      </c>
    </row>
    <row r="1557" spans="1:13" ht="15.75" customHeight="1" x14ac:dyDescent="0.25">
      <c r="A1557" s="24">
        <v>43473</v>
      </c>
      <c r="B1557" s="9" t="s">
        <v>34</v>
      </c>
      <c r="C1557" s="9">
        <v>100</v>
      </c>
      <c r="D1557" s="9" t="s">
        <v>10</v>
      </c>
      <c r="E1557" s="19">
        <v>3450</v>
      </c>
      <c r="F1557" s="19">
        <v>3470</v>
      </c>
      <c r="G1557" s="9">
        <v>0</v>
      </c>
      <c r="H1557" s="15">
        <v>0</v>
      </c>
      <c r="I1557" s="8">
        <f t="shared" si="2183"/>
        <v>2000</v>
      </c>
      <c r="J1557" s="8">
        <v>0</v>
      </c>
      <c r="K1557" s="2">
        <v>0</v>
      </c>
      <c r="L1557" s="8">
        <f t="shared" si="2184"/>
        <v>20</v>
      </c>
      <c r="M1557" s="8">
        <f t="shared" si="2185"/>
        <v>2000</v>
      </c>
    </row>
    <row r="1558" spans="1:13" ht="15.75" customHeight="1" x14ac:dyDescent="0.25">
      <c r="A1558" s="24">
        <v>43473</v>
      </c>
      <c r="B1558" s="9" t="s">
        <v>52</v>
      </c>
      <c r="C1558" s="9">
        <v>1250</v>
      </c>
      <c r="D1558" s="9" t="s">
        <v>10</v>
      </c>
      <c r="E1558" s="19">
        <v>210</v>
      </c>
      <c r="F1558" s="19">
        <v>211.5</v>
      </c>
      <c r="G1558" s="9">
        <v>0</v>
      </c>
      <c r="H1558" s="15">
        <v>0</v>
      </c>
      <c r="I1558" s="8">
        <f t="shared" si="2183"/>
        <v>1875</v>
      </c>
      <c r="J1558" s="8">
        <v>0</v>
      </c>
      <c r="K1558" s="2">
        <v>0</v>
      </c>
      <c r="L1558" s="8">
        <f t="shared" si="2184"/>
        <v>1.5</v>
      </c>
      <c r="M1558" s="8">
        <f t="shared" si="2185"/>
        <v>1875</v>
      </c>
    </row>
    <row r="1559" spans="1:13" ht="15.75" customHeight="1" x14ac:dyDescent="0.25">
      <c r="A1559" s="24">
        <v>43468</v>
      </c>
      <c r="B1559" s="9" t="s">
        <v>52</v>
      </c>
      <c r="C1559" s="9">
        <v>1250</v>
      </c>
      <c r="D1559" s="9" t="s">
        <v>11</v>
      </c>
      <c r="E1559" s="19">
        <v>207.5</v>
      </c>
      <c r="F1559" s="19">
        <v>206</v>
      </c>
      <c r="G1559" s="9">
        <v>203</v>
      </c>
      <c r="H1559" s="15">
        <v>0</v>
      </c>
      <c r="I1559" s="8">
        <f t="shared" ref="I1559:I1565" si="2186">(IF(D1559="SELL",E1559-F1559,IF(D1559="BUY",F1559-E1559)))*C1559</f>
        <v>1875</v>
      </c>
      <c r="J1559" s="8">
        <f>1250*3</f>
        <v>3750</v>
      </c>
      <c r="K1559" s="2">
        <v>0</v>
      </c>
      <c r="L1559" s="8">
        <f t="shared" ref="L1559:L1565" si="2187">(J1559+I1559+K1559)/C1559</f>
        <v>4.5</v>
      </c>
      <c r="M1559" s="8">
        <f t="shared" ref="M1559:M1565" si="2188">L1559*C1559</f>
        <v>5625</v>
      </c>
    </row>
    <row r="1560" spans="1:13" ht="15.75" customHeight="1" x14ac:dyDescent="0.25">
      <c r="A1560" s="24">
        <v>43468</v>
      </c>
      <c r="B1560" s="9" t="s">
        <v>15</v>
      </c>
      <c r="C1560" s="9">
        <v>5000</v>
      </c>
      <c r="D1560" s="9" t="s">
        <v>10</v>
      </c>
      <c r="E1560" s="19">
        <v>138.4</v>
      </c>
      <c r="F1560" s="19">
        <v>137.4</v>
      </c>
      <c r="G1560" s="9">
        <v>0</v>
      </c>
      <c r="H1560" s="15">
        <v>0</v>
      </c>
      <c r="I1560" s="8">
        <f t="shared" si="2186"/>
        <v>-5000</v>
      </c>
      <c r="J1560" s="8">
        <v>0</v>
      </c>
      <c r="K1560" s="2">
        <v>0</v>
      </c>
      <c r="L1560" s="8">
        <f t="shared" si="2187"/>
        <v>-1</v>
      </c>
      <c r="M1560" s="8">
        <f t="shared" si="2188"/>
        <v>-5000</v>
      </c>
    </row>
    <row r="1561" spans="1:13" ht="15.75" customHeight="1" x14ac:dyDescent="0.25">
      <c r="A1561" s="24">
        <v>43468</v>
      </c>
      <c r="B1561" s="9" t="s">
        <v>34</v>
      </c>
      <c r="C1561" s="9">
        <v>100</v>
      </c>
      <c r="D1561" s="9" t="s">
        <v>10</v>
      </c>
      <c r="E1561" s="19">
        <v>3270</v>
      </c>
      <c r="F1561" s="19">
        <v>3283</v>
      </c>
      <c r="G1561" s="9">
        <v>3310</v>
      </c>
      <c r="H1561" s="15">
        <v>0</v>
      </c>
      <c r="I1561" s="8">
        <f t="shared" si="2186"/>
        <v>1300</v>
      </c>
      <c r="J1561" s="8">
        <f>100*27</f>
        <v>2700</v>
      </c>
      <c r="K1561" s="2">
        <v>0</v>
      </c>
      <c r="L1561" s="8">
        <f t="shared" si="2187"/>
        <v>40</v>
      </c>
      <c r="M1561" s="8">
        <f t="shared" si="2188"/>
        <v>4000</v>
      </c>
    </row>
    <row r="1562" spans="1:13" ht="15.75" customHeight="1" x14ac:dyDescent="0.25">
      <c r="A1562" s="24">
        <v>43467</v>
      </c>
      <c r="B1562" s="9" t="s">
        <v>18</v>
      </c>
      <c r="C1562" s="9">
        <v>1000</v>
      </c>
      <c r="D1562" s="9" t="s">
        <v>11</v>
      </c>
      <c r="E1562" s="19">
        <v>408.5</v>
      </c>
      <c r="F1562" s="19">
        <v>406.5</v>
      </c>
      <c r="G1562" s="9">
        <v>0</v>
      </c>
      <c r="H1562" s="15">
        <v>0</v>
      </c>
      <c r="I1562" s="8">
        <f t="shared" si="2186"/>
        <v>2000</v>
      </c>
      <c r="J1562" s="8">
        <v>0</v>
      </c>
      <c r="K1562" s="2">
        <v>0</v>
      </c>
      <c r="L1562" s="8">
        <f t="shared" si="2187"/>
        <v>2</v>
      </c>
      <c r="M1562" s="8">
        <f t="shared" si="2188"/>
        <v>2000</v>
      </c>
    </row>
    <row r="1563" spans="1:13" ht="15.75" customHeight="1" x14ac:dyDescent="0.25">
      <c r="A1563" s="24">
        <v>43467</v>
      </c>
      <c r="B1563" s="9" t="s">
        <v>34</v>
      </c>
      <c r="C1563" s="9">
        <v>100</v>
      </c>
      <c r="D1563" s="9" t="s">
        <v>11</v>
      </c>
      <c r="E1563" s="19">
        <v>3150</v>
      </c>
      <c r="F1563" s="19">
        <v>3130</v>
      </c>
      <c r="G1563" s="9">
        <v>0</v>
      </c>
      <c r="H1563" s="15">
        <v>0</v>
      </c>
      <c r="I1563" s="8">
        <f t="shared" si="2186"/>
        <v>2000</v>
      </c>
      <c r="J1563" s="8">
        <v>0</v>
      </c>
      <c r="K1563" s="2">
        <v>0</v>
      </c>
      <c r="L1563" s="8">
        <f t="shared" si="2187"/>
        <v>20</v>
      </c>
      <c r="M1563" s="8">
        <f t="shared" si="2188"/>
        <v>2000</v>
      </c>
    </row>
    <row r="1564" spans="1:13" ht="15.75" customHeight="1" x14ac:dyDescent="0.25">
      <c r="A1564" s="24">
        <v>43467</v>
      </c>
      <c r="B1564" s="9" t="s">
        <v>15</v>
      </c>
      <c r="C1564" s="9">
        <v>5000</v>
      </c>
      <c r="D1564" s="9" t="s">
        <v>11</v>
      </c>
      <c r="E1564" s="19">
        <v>140.6</v>
      </c>
      <c r="F1564" s="19">
        <v>140.1</v>
      </c>
      <c r="G1564" s="9">
        <v>139.4</v>
      </c>
      <c r="H1564" s="15">
        <v>0</v>
      </c>
      <c r="I1564" s="8">
        <f t="shared" si="2186"/>
        <v>2500</v>
      </c>
      <c r="J1564" s="8">
        <f>5000*0.7</f>
        <v>3500</v>
      </c>
      <c r="K1564" s="2">
        <v>0</v>
      </c>
      <c r="L1564" s="8">
        <f t="shared" si="2187"/>
        <v>1.2</v>
      </c>
      <c r="M1564" s="8">
        <f t="shared" si="2188"/>
        <v>6000</v>
      </c>
    </row>
    <row r="1565" spans="1:13" ht="15.75" customHeight="1" x14ac:dyDescent="0.25">
      <c r="A1565" s="24">
        <v>43467</v>
      </c>
      <c r="B1565" s="9" t="s">
        <v>17</v>
      </c>
      <c r="C1565" s="9">
        <v>5000</v>
      </c>
      <c r="D1565" s="9" t="s">
        <v>11</v>
      </c>
      <c r="E1565" s="19">
        <v>171.85</v>
      </c>
      <c r="F1565" s="19">
        <v>171.2</v>
      </c>
      <c r="G1565" s="9">
        <v>170.3</v>
      </c>
      <c r="H1565" s="15">
        <v>0</v>
      </c>
      <c r="I1565" s="8">
        <f t="shared" si="2186"/>
        <v>3250.0000000000282</v>
      </c>
      <c r="J1565" s="8">
        <f>5000*0.9</f>
        <v>4500</v>
      </c>
      <c r="K1565" s="2">
        <v>0</v>
      </c>
      <c r="L1565" s="8">
        <f t="shared" si="2187"/>
        <v>1.5500000000000056</v>
      </c>
      <c r="M1565" s="8">
        <f t="shared" si="2188"/>
        <v>7750.0000000000282</v>
      </c>
    </row>
    <row r="1566" spans="1:13" ht="15.75" customHeight="1" x14ac:dyDescent="0.25">
      <c r="A1566" s="24">
        <v>43466</v>
      </c>
      <c r="B1566" s="9" t="s">
        <v>34</v>
      </c>
      <c r="C1566" s="9">
        <v>100</v>
      </c>
      <c r="D1566" s="9" t="s">
        <v>11</v>
      </c>
      <c r="E1566" s="19">
        <v>3192</v>
      </c>
      <c r="F1566" s="19">
        <v>3172</v>
      </c>
      <c r="G1566" s="9">
        <v>0</v>
      </c>
      <c r="H1566" s="15">
        <v>0</v>
      </c>
      <c r="I1566" s="8">
        <f t="shared" ref="I1566:I1571" si="2189">(IF(D1566="SELL",E1566-F1566,IF(D1566="BUY",F1566-E1566)))*C1566</f>
        <v>2000</v>
      </c>
      <c r="J1566" s="8">
        <v>0</v>
      </c>
      <c r="K1566" s="2">
        <v>0</v>
      </c>
      <c r="L1566" s="8">
        <f t="shared" ref="L1566:L1571" si="2190">(J1566+I1566+K1566)/C1566</f>
        <v>20</v>
      </c>
      <c r="M1566" s="8">
        <f t="shared" ref="M1566:M1571" si="2191">L1566*C1566</f>
        <v>2000</v>
      </c>
    </row>
    <row r="1567" spans="1:13" ht="15.75" customHeight="1" x14ac:dyDescent="0.25">
      <c r="A1567" s="24">
        <v>43462</v>
      </c>
      <c r="B1567" s="9" t="s">
        <v>17</v>
      </c>
      <c r="C1567" s="9">
        <v>5000</v>
      </c>
      <c r="D1567" s="9" t="s">
        <v>11</v>
      </c>
      <c r="E1567" s="19">
        <v>177.8</v>
      </c>
      <c r="F1567" s="19">
        <v>177.2</v>
      </c>
      <c r="G1567" s="9">
        <v>176.3</v>
      </c>
      <c r="H1567" s="15">
        <v>0</v>
      </c>
      <c r="I1567" s="8">
        <f t="shared" si="2189"/>
        <v>3000.0000000001137</v>
      </c>
      <c r="J1567" s="8">
        <f>5000*0.9</f>
        <v>4500</v>
      </c>
      <c r="K1567" s="2">
        <v>0</v>
      </c>
      <c r="L1567" s="8">
        <f t="shared" si="2190"/>
        <v>1.5000000000000226</v>
      </c>
      <c r="M1567" s="8">
        <f t="shared" si="2191"/>
        <v>7500.0000000001137</v>
      </c>
    </row>
    <row r="1568" spans="1:13" ht="15.75" customHeight="1" x14ac:dyDescent="0.25">
      <c r="A1568" s="24">
        <v>43462</v>
      </c>
      <c r="B1568" s="9" t="s">
        <v>34</v>
      </c>
      <c r="C1568" s="9">
        <v>100</v>
      </c>
      <c r="D1568" s="9" t="s">
        <v>11</v>
      </c>
      <c r="E1568" s="19">
        <v>3175</v>
      </c>
      <c r="F1568" s="19">
        <v>3145</v>
      </c>
      <c r="G1568" s="9">
        <v>0</v>
      </c>
      <c r="H1568" s="15">
        <v>0</v>
      </c>
      <c r="I1568" s="8">
        <f t="shared" si="2189"/>
        <v>3000</v>
      </c>
      <c r="J1568" s="8">
        <v>0</v>
      </c>
      <c r="K1568" s="2">
        <v>0</v>
      </c>
      <c r="L1568" s="8">
        <f t="shared" si="2190"/>
        <v>30</v>
      </c>
      <c r="M1568" s="8">
        <f t="shared" si="2191"/>
        <v>3000</v>
      </c>
    </row>
    <row r="1569" spans="1:13" ht="15.75" customHeight="1" x14ac:dyDescent="0.25">
      <c r="A1569" s="24">
        <v>43462</v>
      </c>
      <c r="B1569" s="9" t="s">
        <v>52</v>
      </c>
      <c r="C1569" s="9">
        <v>1250</v>
      </c>
      <c r="D1569" s="9" t="s">
        <v>11</v>
      </c>
      <c r="E1569" s="19">
        <v>243.5</v>
      </c>
      <c r="F1569" s="19">
        <v>242.2</v>
      </c>
      <c r="G1569" s="9">
        <v>240</v>
      </c>
      <c r="H1569" s="15">
        <v>236</v>
      </c>
      <c r="I1569" s="8">
        <f t="shared" si="2189"/>
        <v>1625.0000000000141</v>
      </c>
      <c r="J1569" s="8">
        <f>1250*2.2</f>
        <v>2750</v>
      </c>
      <c r="K1569" s="2">
        <f>1250*4</f>
        <v>5000</v>
      </c>
      <c r="L1569" s="8">
        <f t="shared" si="2190"/>
        <v>7.5000000000000115</v>
      </c>
      <c r="M1569" s="8">
        <f t="shared" si="2191"/>
        <v>9375.0000000000146</v>
      </c>
    </row>
    <row r="1570" spans="1:13" ht="15.75" customHeight="1" x14ac:dyDescent="0.25">
      <c r="A1570" s="24">
        <v>43461</v>
      </c>
      <c r="B1570" s="9" t="s">
        <v>19</v>
      </c>
      <c r="C1570" s="9">
        <v>100</v>
      </c>
      <c r="D1570" s="9" t="s">
        <v>10</v>
      </c>
      <c r="E1570" s="19">
        <v>31610</v>
      </c>
      <c r="F1570" s="19">
        <v>31660</v>
      </c>
      <c r="G1570" s="9">
        <v>0</v>
      </c>
      <c r="H1570" s="15">
        <v>0</v>
      </c>
      <c r="I1570" s="8">
        <f t="shared" si="2189"/>
        <v>5000</v>
      </c>
      <c r="J1570" s="8">
        <v>0</v>
      </c>
      <c r="K1570" s="2">
        <v>0</v>
      </c>
      <c r="L1570" s="8">
        <f t="shared" si="2190"/>
        <v>50</v>
      </c>
      <c r="M1570" s="8">
        <f t="shared" si="2191"/>
        <v>5000</v>
      </c>
    </row>
    <row r="1571" spans="1:13" ht="15.75" customHeight="1" x14ac:dyDescent="0.25">
      <c r="A1571" s="24">
        <v>43461</v>
      </c>
      <c r="B1571" s="9" t="s">
        <v>52</v>
      </c>
      <c r="C1571" s="9">
        <v>1250</v>
      </c>
      <c r="D1571" s="9" t="s">
        <v>11</v>
      </c>
      <c r="E1571" s="19">
        <v>239.2</v>
      </c>
      <c r="F1571" s="19">
        <v>238</v>
      </c>
      <c r="G1571" s="9">
        <v>0</v>
      </c>
      <c r="H1571" s="15">
        <v>0</v>
      </c>
      <c r="I1571" s="8">
        <f t="shared" si="2189"/>
        <v>1499.9999999999859</v>
      </c>
      <c r="J1571" s="8">
        <v>0</v>
      </c>
      <c r="K1571" s="2">
        <v>0</v>
      </c>
      <c r="L1571" s="8">
        <f t="shared" si="2190"/>
        <v>1.1999999999999886</v>
      </c>
      <c r="M1571" s="8">
        <f t="shared" si="2191"/>
        <v>1499.9999999999859</v>
      </c>
    </row>
    <row r="1572" spans="1:13" ht="15.75" customHeight="1" x14ac:dyDescent="0.25">
      <c r="A1572" s="24">
        <v>43460</v>
      </c>
      <c r="B1572" s="9" t="s">
        <v>14</v>
      </c>
      <c r="C1572" s="9">
        <v>30</v>
      </c>
      <c r="D1572" s="9" t="s">
        <v>10</v>
      </c>
      <c r="E1572" s="19">
        <v>37700</v>
      </c>
      <c r="F1572" s="19">
        <v>37850</v>
      </c>
      <c r="G1572" s="9">
        <v>38005</v>
      </c>
      <c r="H1572" s="15">
        <v>0</v>
      </c>
      <c r="I1572" s="8">
        <f>(IF(D1572="SELL",E1572-F1572,IF(D1572="BUY",F1572-E1572)))*C1572</f>
        <v>4500</v>
      </c>
      <c r="J1572" s="8">
        <f>155*30</f>
        <v>4650</v>
      </c>
      <c r="K1572" s="2">
        <v>0</v>
      </c>
      <c r="L1572" s="8">
        <f>(J1572+I1572+K1572)/C1572</f>
        <v>305</v>
      </c>
      <c r="M1572" s="8">
        <f>L1572*C1572</f>
        <v>9150</v>
      </c>
    </row>
    <row r="1573" spans="1:13" ht="15.75" customHeight="1" x14ac:dyDescent="0.25">
      <c r="A1573" s="24">
        <v>43460</v>
      </c>
      <c r="B1573" s="9" t="s">
        <v>17</v>
      </c>
      <c r="C1573" s="9">
        <v>5000</v>
      </c>
      <c r="D1573" s="9" t="s">
        <v>11</v>
      </c>
      <c r="E1573" s="19">
        <v>175.75</v>
      </c>
      <c r="F1573" s="19">
        <v>177.25</v>
      </c>
      <c r="G1573" s="9">
        <v>0</v>
      </c>
      <c r="H1573" s="15">
        <v>0</v>
      </c>
      <c r="I1573" s="8">
        <f t="shared" ref="I1573:I1584" si="2192">(IF(D1573="SELL",E1573-F1573,IF(D1573="BUY",F1573-E1573)))*C1573</f>
        <v>-7500</v>
      </c>
      <c r="J1573" s="8">
        <v>0</v>
      </c>
      <c r="K1573" s="2">
        <v>0</v>
      </c>
      <c r="L1573" s="8">
        <f t="shared" ref="L1573:L1584" si="2193">(J1573+I1573+K1573)/C1573</f>
        <v>-1.5</v>
      </c>
      <c r="M1573" s="8">
        <f t="shared" ref="M1573:M1584" si="2194">L1573*C1573</f>
        <v>-7500</v>
      </c>
    </row>
    <row r="1574" spans="1:13" ht="15.75" customHeight="1" x14ac:dyDescent="0.25">
      <c r="A1574" s="24">
        <v>43460</v>
      </c>
      <c r="B1574" s="9" t="s">
        <v>19</v>
      </c>
      <c r="C1574" s="9">
        <v>100</v>
      </c>
      <c r="D1574" s="9" t="s">
        <v>10</v>
      </c>
      <c r="E1574" s="19">
        <v>31540</v>
      </c>
      <c r="F1574" s="19">
        <v>31599</v>
      </c>
      <c r="G1574" s="9">
        <v>0</v>
      </c>
      <c r="H1574" s="15">
        <v>0</v>
      </c>
      <c r="I1574" s="8">
        <f t="shared" si="2192"/>
        <v>5900</v>
      </c>
      <c r="J1574" s="8">
        <v>0</v>
      </c>
      <c r="K1574" s="2">
        <v>0</v>
      </c>
      <c r="L1574" s="8">
        <f t="shared" si="2193"/>
        <v>59</v>
      </c>
      <c r="M1574" s="8">
        <f t="shared" si="2194"/>
        <v>5900</v>
      </c>
    </row>
    <row r="1575" spans="1:13" ht="15.75" customHeight="1" x14ac:dyDescent="0.25">
      <c r="A1575" s="24">
        <v>43458</v>
      </c>
      <c r="B1575" s="9" t="s">
        <v>52</v>
      </c>
      <c r="C1575" s="9">
        <v>1250</v>
      </c>
      <c r="D1575" s="9" t="s">
        <v>11</v>
      </c>
      <c r="E1575" s="19">
        <v>263.10000000000002</v>
      </c>
      <c r="F1575" s="19">
        <v>262</v>
      </c>
      <c r="G1575" s="9">
        <v>260</v>
      </c>
      <c r="H1575" s="15">
        <v>256</v>
      </c>
      <c r="I1575" s="8">
        <f t="shared" si="2192"/>
        <v>1375.0000000000284</v>
      </c>
      <c r="J1575" s="13">
        <f>1250*2</f>
        <v>2500</v>
      </c>
      <c r="K1575" s="2">
        <f>1250*4</f>
        <v>5000</v>
      </c>
      <c r="L1575" s="8">
        <f t="shared" si="2193"/>
        <v>7.1000000000000236</v>
      </c>
      <c r="M1575" s="8">
        <f t="shared" si="2194"/>
        <v>8875.0000000000291</v>
      </c>
    </row>
    <row r="1576" spans="1:13" ht="15.75" customHeight="1" x14ac:dyDescent="0.25">
      <c r="A1576" s="24">
        <v>43458</v>
      </c>
      <c r="B1576" s="9" t="s">
        <v>19</v>
      </c>
      <c r="C1576" s="9">
        <v>100</v>
      </c>
      <c r="D1576" s="9" t="s">
        <v>10</v>
      </c>
      <c r="E1576" s="19">
        <v>31400</v>
      </c>
      <c r="F1576" s="19">
        <v>31450</v>
      </c>
      <c r="G1576" s="9">
        <v>0</v>
      </c>
      <c r="H1576" s="15">
        <v>0</v>
      </c>
      <c r="I1576" s="8">
        <f t="shared" si="2192"/>
        <v>5000</v>
      </c>
      <c r="J1576" s="8">
        <v>0</v>
      </c>
      <c r="K1576" s="2">
        <v>0</v>
      </c>
      <c r="L1576" s="8">
        <f t="shared" si="2193"/>
        <v>50</v>
      </c>
      <c r="M1576" s="8">
        <f t="shared" si="2194"/>
        <v>5000</v>
      </c>
    </row>
    <row r="1577" spans="1:13" ht="15.75" customHeight="1" x14ac:dyDescent="0.25">
      <c r="A1577" s="24">
        <v>43454</v>
      </c>
      <c r="B1577" s="9" t="s">
        <v>18</v>
      </c>
      <c r="C1577" s="9">
        <v>1000</v>
      </c>
      <c r="D1577" s="9" t="s">
        <v>10</v>
      </c>
      <c r="E1577" s="19">
        <v>420.2</v>
      </c>
      <c r="F1577" s="19">
        <v>421.5</v>
      </c>
      <c r="G1577" s="9">
        <v>0</v>
      </c>
      <c r="H1577" s="15">
        <v>0</v>
      </c>
      <c r="I1577" s="8">
        <f t="shared" si="2192"/>
        <v>1300.0000000000114</v>
      </c>
      <c r="J1577" s="8">
        <v>0</v>
      </c>
      <c r="K1577" s="2">
        <v>0</v>
      </c>
      <c r="L1577" s="8">
        <f t="shared" si="2193"/>
        <v>1.3000000000000114</v>
      </c>
      <c r="M1577" s="8">
        <f t="shared" si="2194"/>
        <v>1300.0000000000114</v>
      </c>
    </row>
    <row r="1578" spans="1:13" ht="15.75" customHeight="1" x14ac:dyDescent="0.25">
      <c r="A1578" s="24">
        <v>43454</v>
      </c>
      <c r="B1578" s="9" t="s">
        <v>21</v>
      </c>
      <c r="C1578" s="9">
        <v>250</v>
      </c>
      <c r="D1578" s="9" t="s">
        <v>10</v>
      </c>
      <c r="E1578" s="19">
        <v>763.3</v>
      </c>
      <c r="F1578" s="19">
        <v>0</v>
      </c>
      <c r="G1578" s="9">
        <v>0</v>
      </c>
      <c r="H1578" s="15">
        <v>0</v>
      </c>
      <c r="I1578" s="8">
        <v>0</v>
      </c>
      <c r="J1578" s="8">
        <v>0</v>
      </c>
      <c r="K1578" s="2">
        <v>0</v>
      </c>
      <c r="L1578" s="8">
        <f t="shared" si="2193"/>
        <v>0</v>
      </c>
      <c r="M1578" s="8">
        <f t="shared" si="2194"/>
        <v>0</v>
      </c>
    </row>
    <row r="1579" spans="1:13" ht="15.75" customHeight="1" x14ac:dyDescent="0.25">
      <c r="A1579" s="24">
        <v>43454</v>
      </c>
      <c r="B1579" s="9" t="s">
        <v>34</v>
      </c>
      <c r="C1579" s="9">
        <v>100</v>
      </c>
      <c r="D1579" s="9" t="s">
        <v>11</v>
      </c>
      <c r="E1579" s="19">
        <v>3265</v>
      </c>
      <c r="F1579" s="19">
        <v>3245</v>
      </c>
      <c r="G1579" s="9">
        <v>0</v>
      </c>
      <c r="H1579" s="15">
        <v>0</v>
      </c>
      <c r="I1579" s="8">
        <f t="shared" si="2192"/>
        <v>2000</v>
      </c>
      <c r="J1579" s="8">
        <v>0</v>
      </c>
      <c r="K1579" s="2">
        <v>0</v>
      </c>
      <c r="L1579" s="8">
        <f t="shared" si="2193"/>
        <v>20</v>
      </c>
      <c r="M1579" s="8">
        <f t="shared" si="2194"/>
        <v>2000</v>
      </c>
    </row>
    <row r="1580" spans="1:13" ht="15.75" customHeight="1" x14ac:dyDescent="0.25">
      <c r="A1580" s="24">
        <v>43453</v>
      </c>
      <c r="B1580" s="9" t="s">
        <v>52</v>
      </c>
      <c r="C1580" s="9">
        <v>1250</v>
      </c>
      <c r="D1580" s="9" t="s">
        <v>10</v>
      </c>
      <c r="E1580" s="19">
        <v>270.10000000000002</v>
      </c>
      <c r="F1580" s="19">
        <v>0</v>
      </c>
      <c r="G1580" s="9">
        <v>0</v>
      </c>
      <c r="H1580" s="15">
        <v>0</v>
      </c>
      <c r="I1580" s="8">
        <v>0</v>
      </c>
      <c r="J1580" s="8">
        <v>0</v>
      </c>
      <c r="K1580" s="2">
        <v>0</v>
      </c>
      <c r="L1580" s="8">
        <f t="shared" si="2193"/>
        <v>0</v>
      </c>
      <c r="M1580" s="8">
        <f t="shared" si="2194"/>
        <v>0</v>
      </c>
    </row>
    <row r="1581" spans="1:13" ht="15.75" customHeight="1" x14ac:dyDescent="0.25">
      <c r="A1581" s="24">
        <v>43452</v>
      </c>
      <c r="B1581" s="9" t="s">
        <v>17</v>
      </c>
      <c r="C1581" s="9">
        <v>5000</v>
      </c>
      <c r="D1581" s="9" t="s">
        <v>11</v>
      </c>
      <c r="E1581" s="19">
        <v>181.2</v>
      </c>
      <c r="F1581" s="19">
        <v>180.6</v>
      </c>
      <c r="G1581" s="9">
        <v>0</v>
      </c>
      <c r="H1581" s="15">
        <v>0</v>
      </c>
      <c r="I1581" s="8">
        <f t="shared" si="2192"/>
        <v>2999.9999999999718</v>
      </c>
      <c r="J1581" s="8">
        <v>0</v>
      </c>
      <c r="K1581" s="2">
        <v>0</v>
      </c>
      <c r="L1581" s="8">
        <f t="shared" si="2193"/>
        <v>0.59999999999999432</v>
      </c>
      <c r="M1581" s="8">
        <f t="shared" si="2194"/>
        <v>2999.9999999999718</v>
      </c>
    </row>
    <row r="1582" spans="1:13" ht="15.75" customHeight="1" x14ac:dyDescent="0.25">
      <c r="A1582" s="24">
        <v>43451</v>
      </c>
      <c r="B1582" s="9" t="s">
        <v>18</v>
      </c>
      <c r="C1582" s="9">
        <v>1000</v>
      </c>
      <c r="D1582" s="9" t="s">
        <v>11</v>
      </c>
      <c r="E1582" s="19">
        <v>439</v>
      </c>
      <c r="F1582" s="19">
        <v>438</v>
      </c>
      <c r="G1582" s="9">
        <v>0</v>
      </c>
      <c r="H1582" s="15">
        <v>0</v>
      </c>
      <c r="I1582" s="8">
        <f t="shared" si="2192"/>
        <v>1000</v>
      </c>
      <c r="J1582" s="8">
        <v>0</v>
      </c>
      <c r="K1582" s="2">
        <v>0</v>
      </c>
      <c r="L1582" s="8">
        <f t="shared" si="2193"/>
        <v>1</v>
      </c>
      <c r="M1582" s="8">
        <f t="shared" si="2194"/>
        <v>1000</v>
      </c>
    </row>
    <row r="1583" spans="1:13" ht="15.75" customHeight="1" x14ac:dyDescent="0.25">
      <c r="A1583" s="24">
        <v>43451</v>
      </c>
      <c r="B1583" s="9" t="s">
        <v>17</v>
      </c>
      <c r="C1583" s="9">
        <v>5000</v>
      </c>
      <c r="D1583" s="9" t="s">
        <v>11</v>
      </c>
      <c r="E1583" s="19">
        <v>184.5</v>
      </c>
      <c r="F1583" s="19">
        <v>183.9</v>
      </c>
      <c r="G1583" s="9">
        <v>0</v>
      </c>
      <c r="H1583" s="15">
        <v>0</v>
      </c>
      <c r="I1583" s="8">
        <f t="shared" si="2192"/>
        <v>2999.9999999999718</v>
      </c>
      <c r="J1583" s="8">
        <v>0</v>
      </c>
      <c r="K1583" s="2">
        <v>0</v>
      </c>
      <c r="L1583" s="8">
        <f t="shared" si="2193"/>
        <v>0.59999999999999432</v>
      </c>
      <c r="M1583" s="8">
        <f t="shared" si="2194"/>
        <v>2999.9999999999718</v>
      </c>
    </row>
    <row r="1584" spans="1:13" ht="15.75" customHeight="1" x14ac:dyDescent="0.25">
      <c r="A1584" s="24">
        <v>43451</v>
      </c>
      <c r="B1584" s="9" t="s">
        <v>52</v>
      </c>
      <c r="C1584" s="9">
        <v>1250</v>
      </c>
      <c r="D1584" s="9" t="s">
        <v>11</v>
      </c>
      <c r="E1584" s="19">
        <v>260.8</v>
      </c>
      <c r="F1584" s="19">
        <v>259.5</v>
      </c>
      <c r="G1584" s="9">
        <v>0</v>
      </c>
      <c r="H1584" s="15">
        <v>0</v>
      </c>
      <c r="I1584" s="8">
        <f t="shared" si="2192"/>
        <v>1625.0000000000141</v>
      </c>
      <c r="J1584" s="8">
        <v>0</v>
      </c>
      <c r="K1584" s="2">
        <v>0</v>
      </c>
      <c r="L1584" s="8">
        <f t="shared" si="2193"/>
        <v>1.3000000000000114</v>
      </c>
      <c r="M1584" s="8">
        <f t="shared" si="2194"/>
        <v>1625.0000000000141</v>
      </c>
    </row>
    <row r="1585" spans="1:13" ht="15.75" customHeight="1" x14ac:dyDescent="0.25">
      <c r="A1585" s="24">
        <v>43448</v>
      </c>
      <c r="B1585" s="9" t="s">
        <v>34</v>
      </c>
      <c r="C1585" s="9">
        <v>100</v>
      </c>
      <c r="D1585" s="9" t="s">
        <v>10</v>
      </c>
      <c r="E1585" s="19">
        <v>3773</v>
      </c>
      <c r="F1585" s="19">
        <v>3793</v>
      </c>
      <c r="G1585" s="9">
        <v>0</v>
      </c>
      <c r="H1585" s="15">
        <v>0</v>
      </c>
      <c r="I1585" s="8">
        <f>(IF(D1585="SELL",E1585-F1585,IF(D1585="BUY",F1585-E1585)))*C1585</f>
        <v>2000</v>
      </c>
      <c r="J1585" s="8">
        <v>0</v>
      </c>
      <c r="K1585" s="2">
        <v>0</v>
      </c>
      <c r="L1585" s="8">
        <f>(J1585+I1585+K1585)/C1585</f>
        <v>20</v>
      </c>
      <c r="M1585" s="8">
        <f>L1585*C1585</f>
        <v>2000</v>
      </c>
    </row>
    <row r="1586" spans="1:13" ht="15.75" customHeight="1" x14ac:dyDescent="0.25">
      <c r="A1586" s="24">
        <v>43448</v>
      </c>
      <c r="B1586" s="9" t="s">
        <v>17</v>
      </c>
      <c r="C1586" s="9">
        <v>5000</v>
      </c>
      <c r="D1586" s="9" t="s">
        <v>11</v>
      </c>
      <c r="E1586" s="19">
        <v>184.8</v>
      </c>
      <c r="F1586" s="19">
        <v>184.2</v>
      </c>
      <c r="G1586" s="9">
        <v>0</v>
      </c>
      <c r="H1586" s="15">
        <v>0</v>
      </c>
      <c r="I1586" s="8">
        <f t="shared" ref="I1586:I1594" si="2195">(IF(D1586="SELL",E1586-F1586,IF(D1586="BUY",F1586-E1586)))*C1586</f>
        <v>3000.0000000001137</v>
      </c>
      <c r="J1586" s="8">
        <v>0</v>
      </c>
      <c r="K1586" s="2">
        <v>0</v>
      </c>
      <c r="L1586" s="8">
        <f t="shared" ref="L1586:L1593" si="2196">(J1586+I1586+K1586)/C1586</f>
        <v>0.60000000000002274</v>
      </c>
      <c r="M1586" s="8">
        <f t="shared" ref="M1586:M1594" si="2197">L1586*C1586</f>
        <v>3000.0000000001137</v>
      </c>
    </row>
    <row r="1587" spans="1:13" ht="15.75" customHeight="1" x14ac:dyDescent="0.25">
      <c r="A1587" s="24">
        <v>43447</v>
      </c>
      <c r="B1587" s="9" t="s">
        <v>52</v>
      </c>
      <c r="C1587" s="9">
        <v>1250</v>
      </c>
      <c r="D1587" s="9" t="s">
        <v>10</v>
      </c>
      <c r="E1587" s="19">
        <v>296</v>
      </c>
      <c r="F1587" s="19">
        <v>297</v>
      </c>
      <c r="G1587" s="9">
        <v>299</v>
      </c>
      <c r="H1587" s="15">
        <v>0</v>
      </c>
      <c r="I1587" s="8">
        <f t="shared" si="2195"/>
        <v>1250</v>
      </c>
      <c r="J1587" s="8">
        <v>2500</v>
      </c>
      <c r="K1587" s="2">
        <v>0</v>
      </c>
      <c r="L1587" s="8">
        <f t="shared" si="2196"/>
        <v>3</v>
      </c>
      <c r="M1587" s="8">
        <f t="shared" si="2197"/>
        <v>3750</v>
      </c>
    </row>
    <row r="1588" spans="1:13" ht="15.75" customHeight="1" x14ac:dyDescent="0.25">
      <c r="A1588" s="24">
        <v>43447</v>
      </c>
      <c r="B1588" s="9" t="s">
        <v>34</v>
      </c>
      <c r="C1588" s="9">
        <v>100</v>
      </c>
      <c r="D1588" s="9" t="s">
        <v>11</v>
      </c>
      <c r="E1588" s="19">
        <v>3680</v>
      </c>
      <c r="F1588" s="19">
        <v>3660</v>
      </c>
      <c r="G1588" s="9">
        <v>3630</v>
      </c>
      <c r="H1588" s="15">
        <v>0</v>
      </c>
      <c r="I1588" s="8">
        <f t="shared" si="2195"/>
        <v>2000</v>
      </c>
      <c r="J1588" s="8">
        <v>3000</v>
      </c>
      <c r="K1588" s="2">
        <v>0</v>
      </c>
      <c r="L1588" s="8">
        <f t="shared" si="2196"/>
        <v>50</v>
      </c>
      <c r="M1588" s="8">
        <f t="shared" si="2197"/>
        <v>5000</v>
      </c>
    </row>
    <row r="1589" spans="1:13" ht="15.75" customHeight="1" x14ac:dyDescent="0.25">
      <c r="A1589" s="24">
        <v>43445</v>
      </c>
      <c r="B1589" s="9" t="s">
        <v>52</v>
      </c>
      <c r="C1589" s="9">
        <v>1250</v>
      </c>
      <c r="D1589" s="9" t="s">
        <v>10</v>
      </c>
      <c r="E1589" s="19">
        <v>328.7</v>
      </c>
      <c r="F1589" s="19">
        <v>0</v>
      </c>
      <c r="G1589" s="9">
        <v>0</v>
      </c>
      <c r="H1589" s="15">
        <v>0</v>
      </c>
      <c r="I1589" s="8">
        <v>0</v>
      </c>
      <c r="J1589" s="8">
        <v>0</v>
      </c>
      <c r="K1589" s="2">
        <v>0</v>
      </c>
      <c r="L1589" s="8">
        <f t="shared" si="2196"/>
        <v>0</v>
      </c>
      <c r="M1589" s="8">
        <f t="shared" si="2197"/>
        <v>0</v>
      </c>
    </row>
    <row r="1590" spans="1:13" ht="15.75" customHeight="1" x14ac:dyDescent="0.25">
      <c r="A1590" s="24">
        <v>43441</v>
      </c>
      <c r="B1590" s="9" t="s">
        <v>52</v>
      </c>
      <c r="C1590" s="9">
        <v>1250</v>
      </c>
      <c r="D1590" s="9" t="s">
        <v>11</v>
      </c>
      <c r="E1590" s="19">
        <v>302.5</v>
      </c>
      <c r="F1590" s="19">
        <v>301.5</v>
      </c>
      <c r="G1590" s="9">
        <v>0</v>
      </c>
      <c r="H1590" s="15">
        <v>0</v>
      </c>
      <c r="I1590" s="8">
        <f t="shared" si="2195"/>
        <v>1250</v>
      </c>
      <c r="J1590" s="8">
        <v>0</v>
      </c>
      <c r="K1590" s="2">
        <v>0</v>
      </c>
      <c r="L1590" s="8">
        <f t="shared" si="2196"/>
        <v>1</v>
      </c>
      <c r="M1590" s="8">
        <f t="shared" si="2197"/>
        <v>1250</v>
      </c>
    </row>
    <row r="1591" spans="1:13" ht="15.75" customHeight="1" x14ac:dyDescent="0.25">
      <c r="A1591" s="24">
        <v>43440</v>
      </c>
      <c r="B1591" s="9" t="s">
        <v>34</v>
      </c>
      <c r="C1591" s="9">
        <v>100</v>
      </c>
      <c r="D1591" s="9" t="s">
        <v>10</v>
      </c>
      <c r="E1591" s="19">
        <v>3733</v>
      </c>
      <c r="F1591" s="19">
        <v>0</v>
      </c>
      <c r="G1591" s="9">
        <v>0</v>
      </c>
      <c r="H1591" s="15">
        <v>0</v>
      </c>
      <c r="I1591" s="8">
        <v>0</v>
      </c>
      <c r="J1591" s="8">
        <v>0</v>
      </c>
      <c r="K1591" s="2">
        <v>0</v>
      </c>
      <c r="L1591" s="8">
        <f t="shared" si="2196"/>
        <v>0</v>
      </c>
      <c r="M1591" s="8">
        <f t="shared" si="2197"/>
        <v>0</v>
      </c>
    </row>
    <row r="1592" spans="1:13" ht="15.75" customHeight="1" x14ac:dyDescent="0.25">
      <c r="A1592" s="24">
        <v>43440</v>
      </c>
      <c r="B1592" s="9" t="s">
        <v>30</v>
      </c>
      <c r="C1592" s="9">
        <v>100</v>
      </c>
      <c r="D1592" s="9" t="s">
        <v>10</v>
      </c>
      <c r="E1592" s="19">
        <v>31230</v>
      </c>
      <c r="F1592" s="19">
        <v>31270</v>
      </c>
      <c r="G1592" s="9">
        <v>0</v>
      </c>
      <c r="H1592" s="15">
        <v>0</v>
      </c>
      <c r="I1592" s="8">
        <f t="shared" si="2195"/>
        <v>4000</v>
      </c>
      <c r="J1592" s="8">
        <v>0</v>
      </c>
      <c r="K1592" s="2">
        <v>0</v>
      </c>
      <c r="L1592" s="8">
        <f t="shared" si="2196"/>
        <v>40</v>
      </c>
      <c r="M1592" s="8">
        <f t="shared" si="2197"/>
        <v>4000</v>
      </c>
    </row>
    <row r="1593" spans="1:13" ht="15.75" customHeight="1" x14ac:dyDescent="0.25">
      <c r="A1593" s="24">
        <v>43439</v>
      </c>
      <c r="B1593" s="9" t="s">
        <v>34</v>
      </c>
      <c r="C1593" s="9">
        <v>100</v>
      </c>
      <c r="D1593" s="9" t="s">
        <v>10</v>
      </c>
      <c r="E1593" s="19">
        <v>3772</v>
      </c>
      <c r="F1593" s="19">
        <v>3783</v>
      </c>
      <c r="G1593" s="9">
        <v>0</v>
      </c>
      <c r="H1593" s="15">
        <v>0</v>
      </c>
      <c r="I1593" s="8">
        <f t="shared" si="2195"/>
        <v>1100</v>
      </c>
      <c r="J1593" s="8">
        <v>0</v>
      </c>
      <c r="K1593" s="2">
        <v>0</v>
      </c>
      <c r="L1593" s="8">
        <f t="shared" si="2196"/>
        <v>11</v>
      </c>
      <c r="M1593" s="8">
        <f t="shared" si="2197"/>
        <v>1100</v>
      </c>
    </row>
    <row r="1594" spans="1:13" ht="15.75" customHeight="1" x14ac:dyDescent="0.25">
      <c r="A1594" s="24">
        <v>43437</v>
      </c>
      <c r="B1594" s="9" t="s">
        <v>15</v>
      </c>
      <c r="C1594" s="9">
        <v>5000</v>
      </c>
      <c r="D1594" s="9" t="s">
        <v>10</v>
      </c>
      <c r="E1594" s="19">
        <v>139.69999999999999</v>
      </c>
      <c r="F1594" s="19">
        <v>140.30000000000001</v>
      </c>
      <c r="G1594" s="9">
        <v>141.30000000000001</v>
      </c>
      <c r="H1594" s="15">
        <v>0</v>
      </c>
      <c r="I1594" s="8">
        <f t="shared" si="2195"/>
        <v>3000.0000000001137</v>
      </c>
      <c r="J1594" s="8">
        <f>G1594-F1594</f>
        <v>1</v>
      </c>
      <c r="K1594" s="2">
        <v>0</v>
      </c>
      <c r="L1594" s="8">
        <v>1.6</v>
      </c>
      <c r="M1594" s="8">
        <f t="shared" si="2197"/>
        <v>8000</v>
      </c>
    </row>
    <row r="1595" spans="1:13" ht="15.75" customHeight="1" x14ac:dyDescent="0.25">
      <c r="A1595" s="24">
        <v>43431</v>
      </c>
      <c r="B1595" s="9" t="s">
        <v>30</v>
      </c>
      <c r="C1595" s="9">
        <v>100</v>
      </c>
      <c r="D1595" s="9" t="s">
        <v>10</v>
      </c>
      <c r="E1595" s="19">
        <v>30580</v>
      </c>
      <c r="F1595" s="19">
        <v>30480</v>
      </c>
      <c r="G1595" s="9">
        <v>0</v>
      </c>
      <c r="H1595" s="15">
        <v>0</v>
      </c>
      <c r="I1595" s="8">
        <f>(IF(D1595="SELL",E1595-F1595,IF(D1595="BUY",F1595-E1595)))*C1595</f>
        <v>-10000</v>
      </c>
      <c r="J1595" s="8">
        <v>0</v>
      </c>
      <c r="K1595" s="2">
        <v>0</v>
      </c>
      <c r="L1595" s="8">
        <f>(J1595+I1595+K1595)/C1595</f>
        <v>-100</v>
      </c>
      <c r="M1595" s="8">
        <f>L1595*C1595</f>
        <v>-10000</v>
      </c>
    </row>
    <row r="1596" spans="1:13" ht="15.75" customHeight="1" x14ac:dyDescent="0.25">
      <c r="A1596" s="24">
        <v>43431</v>
      </c>
      <c r="B1596" s="9" t="s">
        <v>38</v>
      </c>
      <c r="C1596" s="9">
        <v>100</v>
      </c>
      <c r="D1596" s="9" t="s">
        <v>10</v>
      </c>
      <c r="E1596" s="19">
        <v>3660</v>
      </c>
      <c r="F1596" s="19">
        <v>3690</v>
      </c>
      <c r="G1596" s="9">
        <v>0</v>
      </c>
      <c r="H1596" s="15">
        <v>0</v>
      </c>
      <c r="I1596" s="8">
        <f>(IF(D1596="SELL",E1596-F1596,IF(D1596="BUY",F1596-E1596)))*C1596</f>
        <v>3000</v>
      </c>
      <c r="J1596" s="8">
        <v>0</v>
      </c>
      <c r="K1596" s="2">
        <v>0</v>
      </c>
      <c r="L1596" s="8">
        <f>(J1596+I1596+K1596)/C1596</f>
        <v>30</v>
      </c>
      <c r="M1596" s="8">
        <f>L1596*C1596</f>
        <v>3000</v>
      </c>
    </row>
    <row r="1597" spans="1:13" ht="15.75" customHeight="1" x14ac:dyDescent="0.25">
      <c r="A1597" s="24">
        <v>43431</v>
      </c>
      <c r="B1597" s="9" t="s">
        <v>31</v>
      </c>
      <c r="C1597" s="9">
        <v>250</v>
      </c>
      <c r="D1597" s="9" t="s">
        <v>10</v>
      </c>
      <c r="E1597" s="19">
        <v>761</v>
      </c>
      <c r="F1597" s="19">
        <v>765</v>
      </c>
      <c r="G1597" s="9">
        <v>0</v>
      </c>
      <c r="H1597" s="15">
        <v>0</v>
      </c>
      <c r="I1597" s="8">
        <f>(IF(D1597="SELL",E1597-F1597,IF(D1597="BUY",F1597-E1597)))*C1597</f>
        <v>1000</v>
      </c>
      <c r="J1597" s="8">
        <v>0</v>
      </c>
      <c r="K1597" s="2">
        <v>0</v>
      </c>
      <c r="L1597" s="8">
        <f>(J1597+I1597+K1597)/C1597</f>
        <v>4</v>
      </c>
      <c r="M1597" s="8">
        <f>L1597*C1597</f>
        <v>1000</v>
      </c>
    </row>
    <row r="1598" spans="1:13" ht="15.75" customHeight="1" x14ac:dyDescent="0.25">
      <c r="A1598" s="24">
        <v>43430</v>
      </c>
      <c r="B1598" s="9" t="s">
        <v>38</v>
      </c>
      <c r="C1598" s="9">
        <v>100</v>
      </c>
      <c r="D1598" s="9" t="s">
        <v>10</v>
      </c>
      <c r="E1598" s="19">
        <v>3630</v>
      </c>
      <c r="F1598" s="19">
        <v>3660</v>
      </c>
      <c r="G1598" s="9">
        <v>3690</v>
      </c>
      <c r="H1598" s="15">
        <v>0</v>
      </c>
      <c r="I1598" s="8">
        <f t="shared" ref="I1598:I1604" si="2198">(IF(D1598="SELL",E1598-F1598,IF(D1598="BUY",F1598-E1598)))*C1598</f>
        <v>3000</v>
      </c>
      <c r="J1598" s="8">
        <f>(IF(D1598="SELL",IF(G1598="",0,F1598-G1598),IF(D1598="BUY",IF(G1598="",0,G1598-F1598))))*C1598</f>
        <v>3000</v>
      </c>
      <c r="K1598" s="2">
        <v>0</v>
      </c>
      <c r="L1598" s="8">
        <f t="shared" ref="L1598:L1604" si="2199">(J1598+I1598+K1598)/C1598</f>
        <v>60</v>
      </c>
      <c r="M1598" s="8">
        <f t="shared" ref="M1598:M1604" si="2200">L1598*C1598</f>
        <v>6000</v>
      </c>
    </row>
    <row r="1599" spans="1:13" ht="15.75" customHeight="1" x14ac:dyDescent="0.25">
      <c r="A1599" s="24">
        <v>43430</v>
      </c>
      <c r="B1599" s="9" t="s">
        <v>39</v>
      </c>
      <c r="C1599" s="9">
        <v>5000</v>
      </c>
      <c r="D1599" s="9" t="s">
        <v>11</v>
      </c>
      <c r="E1599" s="19">
        <v>180.6</v>
      </c>
      <c r="F1599" s="19">
        <v>180</v>
      </c>
      <c r="G1599" s="9">
        <v>0</v>
      </c>
      <c r="H1599" s="15">
        <v>0</v>
      </c>
      <c r="I1599" s="8">
        <f t="shared" si="2198"/>
        <v>2999.9999999999718</v>
      </c>
      <c r="J1599" s="8">
        <v>0</v>
      </c>
      <c r="K1599" s="2">
        <v>0</v>
      </c>
      <c r="L1599" s="8">
        <f t="shared" si="2199"/>
        <v>0.59999999999999432</v>
      </c>
      <c r="M1599" s="8">
        <f t="shared" si="2200"/>
        <v>2999.9999999999718</v>
      </c>
    </row>
    <row r="1600" spans="1:13" ht="15.75" customHeight="1" x14ac:dyDescent="0.25">
      <c r="A1600" s="24">
        <v>43430</v>
      </c>
      <c r="B1600" s="9" t="s">
        <v>19</v>
      </c>
      <c r="C1600" s="9">
        <v>100</v>
      </c>
      <c r="D1600" s="9" t="s">
        <v>10</v>
      </c>
      <c r="E1600" s="19">
        <v>30500</v>
      </c>
      <c r="F1600" s="19">
        <v>30550</v>
      </c>
      <c r="G1600" s="9">
        <v>0</v>
      </c>
      <c r="H1600" s="15">
        <v>0</v>
      </c>
      <c r="I1600" s="8">
        <f t="shared" si="2198"/>
        <v>5000</v>
      </c>
      <c r="J1600" s="8">
        <v>0</v>
      </c>
      <c r="K1600" s="2">
        <v>0</v>
      </c>
      <c r="L1600" s="8">
        <f t="shared" si="2199"/>
        <v>50</v>
      </c>
      <c r="M1600" s="8">
        <f t="shared" si="2200"/>
        <v>5000</v>
      </c>
    </row>
    <row r="1601" spans="1:13" ht="15.75" customHeight="1" x14ac:dyDescent="0.25">
      <c r="A1601" s="24">
        <v>43430</v>
      </c>
      <c r="B1601" s="9" t="s">
        <v>31</v>
      </c>
      <c r="C1601" s="9">
        <v>250</v>
      </c>
      <c r="D1601" s="9" t="s">
        <v>11</v>
      </c>
      <c r="E1601" s="19">
        <v>759</v>
      </c>
      <c r="F1601" s="19">
        <v>764</v>
      </c>
      <c r="G1601" s="9">
        <v>0</v>
      </c>
      <c r="H1601" s="15">
        <v>0</v>
      </c>
      <c r="I1601" s="8">
        <f t="shared" si="2198"/>
        <v>-1250</v>
      </c>
      <c r="J1601" s="8">
        <v>0</v>
      </c>
      <c r="K1601" s="2">
        <v>0</v>
      </c>
      <c r="L1601" s="8">
        <f t="shared" si="2199"/>
        <v>-5</v>
      </c>
      <c r="M1601" s="8">
        <f t="shared" si="2200"/>
        <v>-1250</v>
      </c>
    </row>
    <row r="1602" spans="1:13" ht="15.75" customHeight="1" x14ac:dyDescent="0.25">
      <c r="A1602" s="24">
        <v>43426</v>
      </c>
      <c r="B1602" s="9" t="s">
        <v>53</v>
      </c>
      <c r="C1602" s="9">
        <v>1250</v>
      </c>
      <c r="D1602" s="9" t="s">
        <v>10</v>
      </c>
      <c r="E1602" s="19">
        <v>332</v>
      </c>
      <c r="F1602" s="19">
        <v>325</v>
      </c>
      <c r="G1602" s="9">
        <v>0</v>
      </c>
      <c r="H1602" s="15">
        <v>0</v>
      </c>
      <c r="I1602" s="8">
        <f t="shared" si="2198"/>
        <v>-8750</v>
      </c>
      <c r="J1602" s="8">
        <v>0</v>
      </c>
      <c r="K1602" s="2">
        <v>0</v>
      </c>
      <c r="L1602" s="8">
        <f t="shared" si="2199"/>
        <v>-7</v>
      </c>
      <c r="M1602" s="8">
        <f t="shared" si="2200"/>
        <v>-8750</v>
      </c>
    </row>
    <row r="1603" spans="1:13" ht="15.75" customHeight="1" x14ac:dyDescent="0.25">
      <c r="A1603" s="24">
        <v>43425</v>
      </c>
      <c r="B1603" s="9" t="s">
        <v>38</v>
      </c>
      <c r="C1603" s="9">
        <v>100</v>
      </c>
      <c r="D1603" s="9" t="s">
        <v>10</v>
      </c>
      <c r="E1603" s="19">
        <v>3920</v>
      </c>
      <c r="F1603" s="19">
        <v>3960</v>
      </c>
      <c r="G1603" s="9">
        <v>0</v>
      </c>
      <c r="H1603" s="15">
        <v>0</v>
      </c>
      <c r="I1603" s="8">
        <f t="shared" si="2198"/>
        <v>4000</v>
      </c>
      <c r="J1603" s="8">
        <v>0</v>
      </c>
      <c r="K1603" s="2">
        <v>0</v>
      </c>
      <c r="L1603" s="8">
        <f t="shared" si="2199"/>
        <v>40</v>
      </c>
      <c r="M1603" s="8">
        <f t="shared" si="2200"/>
        <v>4000</v>
      </c>
    </row>
    <row r="1604" spans="1:13" ht="15.75" customHeight="1" x14ac:dyDescent="0.25">
      <c r="A1604" s="24">
        <v>43425</v>
      </c>
      <c r="B1604" s="9" t="s">
        <v>40</v>
      </c>
      <c r="C1604" s="9">
        <v>30</v>
      </c>
      <c r="D1604" s="9" t="s">
        <v>10</v>
      </c>
      <c r="E1604" s="19">
        <v>30680</v>
      </c>
      <c r="F1604" s="19">
        <v>30800</v>
      </c>
      <c r="G1604" s="9">
        <v>0</v>
      </c>
      <c r="H1604" s="15">
        <v>0</v>
      </c>
      <c r="I1604" s="8">
        <f t="shared" si="2198"/>
        <v>3600</v>
      </c>
      <c r="J1604" s="8">
        <v>0</v>
      </c>
      <c r="K1604" s="2">
        <v>0</v>
      </c>
      <c r="L1604" s="8">
        <f t="shared" si="2199"/>
        <v>120</v>
      </c>
      <c r="M1604" s="8">
        <f t="shared" si="2200"/>
        <v>3600</v>
      </c>
    </row>
    <row r="1605" spans="1:13" ht="15.75" customHeight="1" x14ac:dyDescent="0.25">
      <c r="A1605" s="24">
        <v>43424</v>
      </c>
      <c r="B1605" s="9" t="s">
        <v>52</v>
      </c>
      <c r="C1605" s="9">
        <v>1250</v>
      </c>
      <c r="D1605" s="9" t="s">
        <v>10</v>
      </c>
      <c r="E1605" s="19">
        <v>322</v>
      </c>
      <c r="F1605" s="19">
        <v>327</v>
      </c>
      <c r="G1605" s="9">
        <v>0</v>
      </c>
      <c r="H1605" s="15">
        <v>0</v>
      </c>
      <c r="I1605" s="8">
        <f t="shared" ref="I1605:I1636" si="2201">(IF(D1605="SELL",E1605-F1605,IF(D1605="BUY",F1605-E1605)))*C1605</f>
        <v>6250</v>
      </c>
      <c r="J1605" s="8">
        <v>0</v>
      </c>
      <c r="K1605" s="2">
        <v>0</v>
      </c>
      <c r="L1605" s="8">
        <f t="shared" ref="L1605:L1668" si="2202">(J1605+I1605+K1605)/C1605</f>
        <v>5</v>
      </c>
      <c r="M1605" s="8">
        <f t="shared" ref="M1605:M1668" si="2203">L1605*C1605</f>
        <v>6250</v>
      </c>
    </row>
    <row r="1606" spans="1:13" ht="15.75" customHeight="1" x14ac:dyDescent="0.25">
      <c r="A1606" s="24">
        <v>43424</v>
      </c>
      <c r="B1606" s="9" t="s">
        <v>40</v>
      </c>
      <c r="C1606" s="9">
        <v>30</v>
      </c>
      <c r="D1606" s="9" t="s">
        <v>10</v>
      </c>
      <c r="E1606" s="19">
        <v>30800</v>
      </c>
      <c r="F1606" s="19">
        <v>30930</v>
      </c>
      <c r="G1606" s="9">
        <v>0</v>
      </c>
      <c r="H1606" s="15">
        <v>0</v>
      </c>
      <c r="I1606" s="8">
        <f t="shared" si="2201"/>
        <v>3900</v>
      </c>
      <c r="J1606" s="8">
        <v>0</v>
      </c>
      <c r="K1606" s="2">
        <v>0</v>
      </c>
      <c r="L1606" s="8">
        <f t="shared" si="2202"/>
        <v>130</v>
      </c>
      <c r="M1606" s="8">
        <f t="shared" si="2203"/>
        <v>3900</v>
      </c>
    </row>
    <row r="1607" spans="1:13" ht="15.75" customHeight="1" x14ac:dyDescent="0.25">
      <c r="A1607" s="24">
        <v>43424</v>
      </c>
      <c r="B1607" s="9" t="s">
        <v>30</v>
      </c>
      <c r="C1607" s="9">
        <v>100</v>
      </c>
      <c r="D1607" s="9" t="s">
        <v>10</v>
      </c>
      <c r="E1607" s="19">
        <v>30850</v>
      </c>
      <c r="F1607" s="19">
        <v>30920</v>
      </c>
      <c r="G1607" s="9">
        <v>0</v>
      </c>
      <c r="H1607" s="15">
        <v>0</v>
      </c>
      <c r="I1607" s="8">
        <f t="shared" si="2201"/>
        <v>7000</v>
      </c>
      <c r="J1607" s="8">
        <v>0</v>
      </c>
      <c r="K1607" s="2">
        <v>0</v>
      </c>
      <c r="L1607" s="8">
        <f t="shared" si="2202"/>
        <v>70</v>
      </c>
      <c r="M1607" s="8">
        <f t="shared" si="2203"/>
        <v>7000</v>
      </c>
    </row>
    <row r="1608" spans="1:13" ht="15.75" customHeight="1" x14ac:dyDescent="0.25">
      <c r="A1608" s="24">
        <v>43423</v>
      </c>
      <c r="B1608" s="9" t="s">
        <v>39</v>
      </c>
      <c r="C1608" s="9">
        <v>5000</v>
      </c>
      <c r="D1608" s="9" t="s">
        <v>11</v>
      </c>
      <c r="E1608" s="19">
        <v>190.75</v>
      </c>
      <c r="F1608" s="19">
        <v>190.25</v>
      </c>
      <c r="G1608" s="9">
        <v>189.25</v>
      </c>
      <c r="H1608" s="15">
        <v>0</v>
      </c>
      <c r="I1608" s="8">
        <f t="shared" si="2201"/>
        <v>2500</v>
      </c>
      <c r="J1608" s="8">
        <f>(IF(D1608="SELL",IF(G1608="",0,F1608-G1608),IF(D1608="BUY",IF(G1608="",0,G1608-F1608))))*C1608</f>
        <v>5000</v>
      </c>
      <c r="K1608" s="2">
        <v>0</v>
      </c>
      <c r="L1608" s="8">
        <f t="shared" si="2202"/>
        <v>1.5</v>
      </c>
      <c r="M1608" s="8">
        <f t="shared" si="2203"/>
        <v>7500</v>
      </c>
    </row>
    <row r="1609" spans="1:13" ht="15.75" customHeight="1" x14ac:dyDescent="0.25">
      <c r="A1609" s="24">
        <v>43423</v>
      </c>
      <c r="B1609" s="9" t="s">
        <v>29</v>
      </c>
      <c r="C1609" s="9">
        <v>1000</v>
      </c>
      <c r="D1609" s="9" t="s">
        <v>11</v>
      </c>
      <c r="E1609" s="19">
        <v>440.5</v>
      </c>
      <c r="F1609" s="19">
        <v>439.1</v>
      </c>
      <c r="G1609" s="9">
        <v>0</v>
      </c>
      <c r="H1609" s="15">
        <v>0</v>
      </c>
      <c r="I1609" s="8">
        <f t="shared" si="2201"/>
        <v>1399.9999999999773</v>
      </c>
      <c r="J1609" s="8">
        <v>0</v>
      </c>
      <c r="K1609" s="2">
        <v>0</v>
      </c>
      <c r="L1609" s="8">
        <f t="shared" si="2202"/>
        <v>1.3999999999999773</v>
      </c>
      <c r="M1609" s="8">
        <f t="shared" si="2203"/>
        <v>1399.9999999999773</v>
      </c>
    </row>
    <row r="1610" spans="1:13" ht="15.75" customHeight="1" x14ac:dyDescent="0.25">
      <c r="A1610" s="24">
        <v>43423</v>
      </c>
      <c r="B1610" s="9" t="s">
        <v>59</v>
      </c>
      <c r="C1610" s="9">
        <v>1250</v>
      </c>
      <c r="D1610" s="9" t="s">
        <v>11</v>
      </c>
      <c r="E1610" s="19">
        <v>333</v>
      </c>
      <c r="F1610" s="19">
        <v>336</v>
      </c>
      <c r="G1610" s="9">
        <v>0</v>
      </c>
      <c r="H1610" s="15">
        <v>0</v>
      </c>
      <c r="I1610" s="8">
        <f t="shared" si="2201"/>
        <v>-3750</v>
      </c>
      <c r="J1610" s="8">
        <v>0</v>
      </c>
      <c r="K1610" s="2">
        <v>0</v>
      </c>
      <c r="L1610" s="8">
        <f t="shared" si="2202"/>
        <v>-3</v>
      </c>
      <c r="M1610" s="8">
        <f t="shared" si="2203"/>
        <v>-3750</v>
      </c>
    </row>
    <row r="1611" spans="1:13" ht="15.75" customHeight="1" x14ac:dyDescent="0.25">
      <c r="A1611" s="24">
        <v>43422</v>
      </c>
      <c r="B1611" s="9" t="s">
        <v>59</v>
      </c>
      <c r="C1611" s="9">
        <v>1250</v>
      </c>
      <c r="D1611" s="9" t="s">
        <v>10</v>
      </c>
      <c r="E1611" s="19">
        <v>286</v>
      </c>
      <c r="F1611" s="19">
        <v>290</v>
      </c>
      <c r="G1611" s="9">
        <v>295</v>
      </c>
      <c r="H1611" s="15">
        <v>0</v>
      </c>
      <c r="I1611" s="8">
        <f t="shared" si="2201"/>
        <v>5000</v>
      </c>
      <c r="J1611" s="8">
        <f>(IF(D1611="SELL",IF(G1611="",0,F1611-G1611),IF(D1611="BUY",IF(G1611="",0,G1611-F1611))))*C1611</f>
        <v>6250</v>
      </c>
      <c r="K1611" s="2">
        <v>0</v>
      </c>
      <c r="L1611" s="8">
        <f t="shared" si="2202"/>
        <v>9</v>
      </c>
      <c r="M1611" s="8">
        <f t="shared" si="2203"/>
        <v>11250</v>
      </c>
    </row>
    <row r="1612" spans="1:13" ht="15.75" customHeight="1" x14ac:dyDescent="0.25">
      <c r="A1612" s="24">
        <v>43420</v>
      </c>
      <c r="B1612" s="9" t="s">
        <v>31</v>
      </c>
      <c r="C1612" s="9">
        <v>250</v>
      </c>
      <c r="D1612" s="9" t="s">
        <v>10</v>
      </c>
      <c r="E1612" s="19">
        <v>815</v>
      </c>
      <c r="F1612" s="19">
        <v>820</v>
      </c>
      <c r="G1612" s="9">
        <v>0</v>
      </c>
      <c r="H1612" s="15">
        <v>0</v>
      </c>
      <c r="I1612" s="8">
        <f t="shared" si="2201"/>
        <v>1250</v>
      </c>
      <c r="J1612" s="8">
        <v>0</v>
      </c>
      <c r="K1612" s="2">
        <v>0</v>
      </c>
      <c r="L1612" s="8">
        <f t="shared" si="2202"/>
        <v>5</v>
      </c>
      <c r="M1612" s="8">
        <f t="shared" si="2203"/>
        <v>1250</v>
      </c>
    </row>
    <row r="1613" spans="1:13" ht="15.75" customHeight="1" x14ac:dyDescent="0.25">
      <c r="A1613" s="24">
        <v>43420</v>
      </c>
      <c r="B1613" s="9" t="s">
        <v>38</v>
      </c>
      <c r="C1613" s="9">
        <v>100</v>
      </c>
      <c r="D1613" s="9" t="s">
        <v>10</v>
      </c>
      <c r="E1613" s="19">
        <v>4140</v>
      </c>
      <c r="F1613" s="19">
        <v>4170</v>
      </c>
      <c r="G1613" s="9">
        <v>0</v>
      </c>
      <c r="H1613" s="15">
        <v>0</v>
      </c>
      <c r="I1613" s="8">
        <f t="shared" si="2201"/>
        <v>3000</v>
      </c>
      <c r="J1613" s="8">
        <v>0</v>
      </c>
      <c r="K1613" s="2">
        <v>0</v>
      </c>
      <c r="L1613" s="8">
        <f t="shared" si="2202"/>
        <v>30</v>
      </c>
      <c r="M1613" s="8">
        <f t="shared" si="2203"/>
        <v>3000</v>
      </c>
    </row>
    <row r="1614" spans="1:13" ht="15.75" customHeight="1" x14ac:dyDescent="0.25">
      <c r="A1614" s="24">
        <v>43419</v>
      </c>
      <c r="B1614" s="9" t="s">
        <v>38</v>
      </c>
      <c r="C1614" s="9">
        <v>100</v>
      </c>
      <c r="D1614" s="9" t="s">
        <v>10</v>
      </c>
      <c r="E1614" s="19">
        <v>4080</v>
      </c>
      <c r="F1614" s="19">
        <v>4119</v>
      </c>
      <c r="G1614" s="9">
        <v>0</v>
      </c>
      <c r="H1614" s="15">
        <v>0</v>
      </c>
      <c r="I1614" s="8">
        <f t="shared" si="2201"/>
        <v>3900</v>
      </c>
      <c r="J1614" s="8">
        <v>0</v>
      </c>
      <c r="K1614" s="2">
        <v>0</v>
      </c>
      <c r="L1614" s="8">
        <f t="shared" si="2202"/>
        <v>39</v>
      </c>
      <c r="M1614" s="8">
        <f t="shared" si="2203"/>
        <v>3900</v>
      </c>
    </row>
    <row r="1615" spans="1:13" ht="15.75" customHeight="1" x14ac:dyDescent="0.25">
      <c r="A1615" s="24">
        <v>43419</v>
      </c>
      <c r="B1615" s="9" t="s">
        <v>35</v>
      </c>
      <c r="C1615" s="9">
        <v>5000</v>
      </c>
      <c r="D1615" s="9" t="s">
        <v>10</v>
      </c>
      <c r="E1615" s="19">
        <v>141.5</v>
      </c>
      <c r="F1615" s="19">
        <v>140.30000000000001</v>
      </c>
      <c r="G1615" s="9">
        <v>0</v>
      </c>
      <c r="H1615" s="15">
        <v>0</v>
      </c>
      <c r="I1615" s="8">
        <f t="shared" si="2201"/>
        <v>-5999.9999999999436</v>
      </c>
      <c r="J1615" s="8">
        <v>0</v>
      </c>
      <c r="K1615" s="2">
        <v>0</v>
      </c>
      <c r="L1615" s="8">
        <f t="shared" si="2202"/>
        <v>-1.1999999999999886</v>
      </c>
      <c r="M1615" s="8">
        <f t="shared" si="2203"/>
        <v>-5999.9999999999436</v>
      </c>
    </row>
    <row r="1616" spans="1:13" x14ac:dyDescent="0.25">
      <c r="A1616" s="24">
        <v>43418</v>
      </c>
      <c r="B1616" s="9" t="s">
        <v>35</v>
      </c>
      <c r="C1616" s="9">
        <v>5000</v>
      </c>
      <c r="D1616" s="9" t="s">
        <v>10</v>
      </c>
      <c r="E1616" s="19">
        <v>139.85</v>
      </c>
      <c r="F1616" s="19">
        <v>140.35</v>
      </c>
      <c r="G1616" s="9">
        <v>0</v>
      </c>
      <c r="H1616" s="15">
        <v>0</v>
      </c>
      <c r="I1616" s="8">
        <f t="shared" si="2201"/>
        <v>2500</v>
      </c>
      <c r="J1616" s="8">
        <v>0</v>
      </c>
      <c r="K1616" s="2">
        <v>0</v>
      </c>
      <c r="L1616" s="8">
        <f t="shared" si="2202"/>
        <v>0.5</v>
      </c>
      <c r="M1616" s="8">
        <f t="shared" si="2203"/>
        <v>2500</v>
      </c>
    </row>
    <row r="1617" spans="1:13" x14ac:dyDescent="0.25">
      <c r="A1617" s="24">
        <v>43418</v>
      </c>
      <c r="B1617" s="9" t="s">
        <v>38</v>
      </c>
      <c r="C1617" s="9">
        <v>100</v>
      </c>
      <c r="D1617" s="9" t="s">
        <v>10</v>
      </c>
      <c r="E1617" s="19">
        <v>4025</v>
      </c>
      <c r="F1617" s="19">
        <v>4060</v>
      </c>
      <c r="G1617" s="9">
        <v>0</v>
      </c>
      <c r="H1617" s="15">
        <v>0</v>
      </c>
      <c r="I1617" s="8">
        <f t="shared" si="2201"/>
        <v>3500</v>
      </c>
      <c r="J1617" s="8">
        <v>0</v>
      </c>
      <c r="K1617" s="2">
        <v>0</v>
      </c>
      <c r="L1617" s="8">
        <f t="shared" si="2202"/>
        <v>35</v>
      </c>
      <c r="M1617" s="8">
        <f t="shared" si="2203"/>
        <v>3500</v>
      </c>
    </row>
    <row r="1618" spans="1:13" x14ac:dyDescent="0.25">
      <c r="A1618" s="24">
        <v>43418</v>
      </c>
      <c r="B1618" s="9" t="s">
        <v>35</v>
      </c>
      <c r="C1618" s="9">
        <v>5000</v>
      </c>
      <c r="D1618" s="9" t="s">
        <v>10</v>
      </c>
      <c r="E1618" s="19">
        <v>139.75</v>
      </c>
      <c r="F1618" s="19">
        <v>140.25</v>
      </c>
      <c r="G1618" s="9">
        <v>0</v>
      </c>
      <c r="H1618" s="15">
        <v>0</v>
      </c>
      <c r="I1618" s="8">
        <f t="shared" si="2201"/>
        <v>2500</v>
      </c>
      <c r="J1618" s="8">
        <v>0</v>
      </c>
      <c r="K1618" s="2">
        <v>0</v>
      </c>
      <c r="L1618" s="8">
        <f t="shared" si="2202"/>
        <v>0.5</v>
      </c>
      <c r="M1618" s="8">
        <f t="shared" si="2203"/>
        <v>2500</v>
      </c>
    </row>
    <row r="1619" spans="1:13" x14ac:dyDescent="0.25">
      <c r="A1619" s="24">
        <v>43417</v>
      </c>
      <c r="B1619" s="9" t="s">
        <v>18</v>
      </c>
      <c r="C1619" s="9">
        <v>1000</v>
      </c>
      <c r="D1619" s="9" t="s">
        <v>10</v>
      </c>
      <c r="E1619" s="19">
        <v>432.5</v>
      </c>
      <c r="F1619" s="19">
        <v>434</v>
      </c>
      <c r="G1619" s="9">
        <v>436</v>
      </c>
      <c r="H1619" s="15">
        <v>438</v>
      </c>
      <c r="I1619" s="8">
        <f t="shared" si="2201"/>
        <v>1500</v>
      </c>
      <c r="J1619" s="8">
        <f>(IF(D1619="SELL",IF(G1619="",0,F1619-G1619),IF(D1619="BUY",IF(G1619="",0,G1619-F1619))))*C1619</f>
        <v>2000</v>
      </c>
      <c r="K1619" s="2">
        <v>2000</v>
      </c>
      <c r="L1619" s="8">
        <f t="shared" si="2202"/>
        <v>5.5</v>
      </c>
      <c r="M1619" s="8">
        <f t="shared" si="2203"/>
        <v>5500</v>
      </c>
    </row>
    <row r="1620" spans="1:13" x14ac:dyDescent="0.25">
      <c r="A1620" s="24">
        <v>43417</v>
      </c>
      <c r="B1620" s="9" t="s">
        <v>21</v>
      </c>
      <c r="C1620" s="9">
        <v>250</v>
      </c>
      <c r="D1620" s="9" t="s">
        <v>10</v>
      </c>
      <c r="E1620" s="19">
        <v>828</v>
      </c>
      <c r="F1620" s="19">
        <v>832</v>
      </c>
      <c r="G1620" s="9">
        <v>838</v>
      </c>
      <c r="H1620" s="15">
        <v>0</v>
      </c>
      <c r="I1620" s="8">
        <f t="shared" si="2201"/>
        <v>1000</v>
      </c>
      <c r="J1620" s="8">
        <f>(IF(D1620="SELL",IF(G1620="",0,F1620-G1620),IF(D1620="BUY",IF(G1620="",0,G1620-F1620))))*C1620</f>
        <v>1500</v>
      </c>
      <c r="K1620" s="2">
        <v>0</v>
      </c>
      <c r="L1620" s="8">
        <f t="shared" si="2202"/>
        <v>10</v>
      </c>
      <c r="M1620" s="8">
        <f t="shared" si="2203"/>
        <v>2500</v>
      </c>
    </row>
    <row r="1621" spans="1:13" x14ac:dyDescent="0.25">
      <c r="A1621" s="24">
        <v>43417</v>
      </c>
      <c r="B1621" s="9" t="s">
        <v>14</v>
      </c>
      <c r="C1621" s="9">
        <v>30</v>
      </c>
      <c r="D1621" s="9" t="s">
        <v>10</v>
      </c>
      <c r="E1621" s="19">
        <v>31720</v>
      </c>
      <c r="F1621" s="19">
        <v>31520</v>
      </c>
      <c r="G1621" s="9">
        <v>0</v>
      </c>
      <c r="H1621" s="15">
        <v>0</v>
      </c>
      <c r="I1621" s="8">
        <f t="shared" si="2201"/>
        <v>-6000</v>
      </c>
      <c r="J1621" s="8">
        <v>0</v>
      </c>
      <c r="K1621" s="2">
        <v>0</v>
      </c>
      <c r="L1621" s="8">
        <f t="shared" si="2202"/>
        <v>-200</v>
      </c>
      <c r="M1621" s="8">
        <f t="shared" si="2203"/>
        <v>-6000</v>
      </c>
    </row>
    <row r="1622" spans="1:13" x14ac:dyDescent="0.25">
      <c r="A1622" s="24">
        <v>43417</v>
      </c>
      <c r="B1622" s="9" t="s">
        <v>34</v>
      </c>
      <c r="C1622" s="9">
        <v>100</v>
      </c>
      <c r="D1622" s="9" t="s">
        <v>10</v>
      </c>
      <c r="E1622" s="19">
        <v>4296</v>
      </c>
      <c r="F1622" s="19">
        <v>4255</v>
      </c>
      <c r="G1622" s="9">
        <v>0</v>
      </c>
      <c r="H1622" s="15">
        <v>0</v>
      </c>
      <c r="I1622" s="8">
        <f t="shared" si="2201"/>
        <v>-4100</v>
      </c>
      <c r="J1622" s="8">
        <v>0</v>
      </c>
      <c r="K1622" s="2">
        <v>0</v>
      </c>
      <c r="L1622" s="8">
        <f t="shared" si="2202"/>
        <v>-41</v>
      </c>
      <c r="M1622" s="8">
        <f t="shared" si="2203"/>
        <v>-4100</v>
      </c>
    </row>
    <row r="1623" spans="1:13" x14ac:dyDescent="0.25">
      <c r="A1623" s="24">
        <v>43416</v>
      </c>
      <c r="B1623" s="9" t="s">
        <v>21</v>
      </c>
      <c r="C1623" s="9">
        <v>250</v>
      </c>
      <c r="D1623" s="9" t="s">
        <v>10</v>
      </c>
      <c r="E1623" s="19">
        <v>828</v>
      </c>
      <c r="F1623" s="19">
        <v>832</v>
      </c>
      <c r="G1623" s="9">
        <v>0</v>
      </c>
      <c r="H1623" s="15">
        <v>0</v>
      </c>
      <c r="I1623" s="8">
        <f t="shared" si="2201"/>
        <v>1000</v>
      </c>
      <c r="J1623" s="8">
        <v>0</v>
      </c>
      <c r="K1623" s="2">
        <v>0</v>
      </c>
      <c r="L1623" s="8">
        <f t="shared" si="2202"/>
        <v>4</v>
      </c>
      <c r="M1623" s="8">
        <f t="shared" si="2203"/>
        <v>1000</v>
      </c>
    </row>
    <row r="1624" spans="1:13" x14ac:dyDescent="0.25">
      <c r="A1624" s="24">
        <v>43416</v>
      </c>
      <c r="B1624" s="9" t="s">
        <v>15</v>
      </c>
      <c r="C1624" s="9">
        <v>5000</v>
      </c>
      <c r="D1624" s="9" t="s">
        <v>10</v>
      </c>
      <c r="E1624" s="19">
        <v>143</v>
      </c>
      <c r="F1624" s="19">
        <v>143.5</v>
      </c>
      <c r="G1624" s="9">
        <v>0</v>
      </c>
      <c r="H1624" s="15">
        <v>0</v>
      </c>
      <c r="I1624" s="8">
        <f t="shared" si="2201"/>
        <v>2500</v>
      </c>
      <c r="J1624" s="8">
        <v>0</v>
      </c>
      <c r="K1624" s="2">
        <v>0</v>
      </c>
      <c r="L1624" s="8">
        <f t="shared" si="2202"/>
        <v>0.5</v>
      </c>
      <c r="M1624" s="8">
        <f t="shared" si="2203"/>
        <v>2500</v>
      </c>
    </row>
    <row r="1625" spans="1:13" x14ac:dyDescent="0.25">
      <c r="A1625" s="24">
        <v>43413</v>
      </c>
      <c r="B1625" s="9" t="s">
        <v>37</v>
      </c>
      <c r="C1625" s="9">
        <v>5000</v>
      </c>
      <c r="D1625" s="9" t="s">
        <v>10</v>
      </c>
      <c r="E1625" s="19">
        <v>143.6</v>
      </c>
      <c r="F1625" s="19">
        <v>144</v>
      </c>
      <c r="G1625" s="9">
        <v>0</v>
      </c>
      <c r="H1625" s="15">
        <v>0</v>
      </c>
      <c r="I1625" s="8">
        <f t="shared" si="2201"/>
        <v>2000.0000000000284</v>
      </c>
      <c r="J1625" s="8">
        <v>0</v>
      </c>
      <c r="K1625" s="2">
        <v>0</v>
      </c>
      <c r="L1625" s="8">
        <f t="shared" si="2202"/>
        <v>0.40000000000000568</v>
      </c>
      <c r="M1625" s="8">
        <f t="shared" si="2203"/>
        <v>2000.0000000000284</v>
      </c>
    </row>
    <row r="1626" spans="1:13" x14ac:dyDescent="0.25">
      <c r="A1626" s="24">
        <v>43413</v>
      </c>
      <c r="B1626" s="9" t="s">
        <v>35</v>
      </c>
      <c r="C1626" s="9">
        <v>5000</v>
      </c>
      <c r="D1626" s="9" t="s">
        <v>10</v>
      </c>
      <c r="E1626" s="19">
        <v>142</v>
      </c>
      <c r="F1626" s="19">
        <v>143</v>
      </c>
      <c r="G1626" s="9">
        <v>0</v>
      </c>
      <c r="H1626" s="15">
        <v>0</v>
      </c>
      <c r="I1626" s="8">
        <f t="shared" si="2201"/>
        <v>5000</v>
      </c>
      <c r="J1626" s="8">
        <v>0</v>
      </c>
      <c r="K1626" s="2">
        <v>0</v>
      </c>
      <c r="L1626" s="8">
        <f t="shared" si="2202"/>
        <v>1</v>
      </c>
      <c r="M1626" s="8">
        <f t="shared" si="2203"/>
        <v>5000</v>
      </c>
    </row>
    <row r="1627" spans="1:13" x14ac:dyDescent="0.25">
      <c r="A1627" s="24">
        <v>43413</v>
      </c>
      <c r="B1627" s="9" t="s">
        <v>35</v>
      </c>
      <c r="C1627" s="9">
        <v>5000</v>
      </c>
      <c r="D1627" s="9" t="s">
        <v>11</v>
      </c>
      <c r="E1627" s="19">
        <v>143.69999999999999</v>
      </c>
      <c r="F1627" s="19">
        <v>143.19999999999999</v>
      </c>
      <c r="G1627" s="9">
        <v>0</v>
      </c>
      <c r="H1627" s="15">
        <v>0</v>
      </c>
      <c r="I1627" s="8">
        <f t="shared" si="2201"/>
        <v>2500</v>
      </c>
      <c r="J1627" s="8">
        <v>0</v>
      </c>
      <c r="K1627" s="2">
        <v>0</v>
      </c>
      <c r="L1627" s="8">
        <f t="shared" si="2202"/>
        <v>0.5</v>
      </c>
      <c r="M1627" s="8">
        <f t="shared" si="2203"/>
        <v>2500</v>
      </c>
    </row>
    <row r="1628" spans="1:13" x14ac:dyDescent="0.25">
      <c r="A1628" s="24">
        <v>43410</v>
      </c>
      <c r="B1628" s="9" t="s">
        <v>30</v>
      </c>
      <c r="C1628" s="9">
        <v>100</v>
      </c>
      <c r="D1628" s="9" t="s">
        <v>10</v>
      </c>
      <c r="E1628" s="19">
        <v>31740</v>
      </c>
      <c r="F1628" s="19">
        <v>31800</v>
      </c>
      <c r="G1628" s="9">
        <v>0</v>
      </c>
      <c r="H1628" s="15">
        <v>0</v>
      </c>
      <c r="I1628" s="8">
        <f t="shared" si="2201"/>
        <v>6000</v>
      </c>
      <c r="J1628" s="8">
        <v>0</v>
      </c>
      <c r="K1628" s="2">
        <v>0</v>
      </c>
      <c r="L1628" s="8">
        <f t="shared" si="2202"/>
        <v>60</v>
      </c>
      <c r="M1628" s="8">
        <f t="shared" si="2203"/>
        <v>6000</v>
      </c>
    </row>
    <row r="1629" spans="1:13" x14ac:dyDescent="0.25">
      <c r="A1629" s="24">
        <v>43409</v>
      </c>
      <c r="B1629" s="9" t="s">
        <v>30</v>
      </c>
      <c r="C1629" s="9">
        <v>100</v>
      </c>
      <c r="D1629" s="9" t="s">
        <v>10</v>
      </c>
      <c r="E1629" s="19">
        <v>31820</v>
      </c>
      <c r="F1629" s="19">
        <v>31720</v>
      </c>
      <c r="G1629" s="9">
        <v>0</v>
      </c>
      <c r="H1629" s="15">
        <v>0</v>
      </c>
      <c r="I1629" s="8">
        <f t="shared" si="2201"/>
        <v>-10000</v>
      </c>
      <c r="J1629" s="8">
        <v>0</v>
      </c>
      <c r="K1629" s="2">
        <v>0</v>
      </c>
      <c r="L1629" s="8">
        <f t="shared" si="2202"/>
        <v>-100</v>
      </c>
      <c r="M1629" s="8">
        <f t="shared" si="2203"/>
        <v>-10000</v>
      </c>
    </row>
    <row r="1630" spans="1:13" ht="15.75" customHeight="1" x14ac:dyDescent="0.25">
      <c r="A1630" s="24">
        <v>43409</v>
      </c>
      <c r="B1630" s="9" t="s">
        <v>38</v>
      </c>
      <c r="C1630" s="9">
        <v>100</v>
      </c>
      <c r="D1630" s="9" t="s">
        <v>10</v>
      </c>
      <c r="E1630" s="19">
        <v>4616</v>
      </c>
      <c r="F1630" s="19">
        <v>4640</v>
      </c>
      <c r="G1630" s="9">
        <v>0</v>
      </c>
      <c r="H1630" s="15">
        <v>0</v>
      </c>
      <c r="I1630" s="8">
        <f t="shared" si="2201"/>
        <v>2400</v>
      </c>
      <c r="J1630" s="8">
        <v>0</v>
      </c>
      <c r="K1630" s="2">
        <v>0</v>
      </c>
      <c r="L1630" s="8">
        <f t="shared" si="2202"/>
        <v>24</v>
      </c>
      <c r="M1630" s="8">
        <f t="shared" si="2203"/>
        <v>2400</v>
      </c>
    </row>
    <row r="1631" spans="1:13" ht="15.75" customHeight="1" x14ac:dyDescent="0.25">
      <c r="A1631" s="24">
        <v>43409</v>
      </c>
      <c r="B1631" s="9" t="s">
        <v>40</v>
      </c>
      <c r="C1631" s="9">
        <v>30</v>
      </c>
      <c r="D1631" s="9" t="s">
        <v>10</v>
      </c>
      <c r="E1631" s="19">
        <v>38600</v>
      </c>
      <c r="F1631" s="19">
        <v>38720</v>
      </c>
      <c r="G1631" s="9">
        <v>0</v>
      </c>
      <c r="H1631" s="15">
        <v>0</v>
      </c>
      <c r="I1631" s="8">
        <f t="shared" si="2201"/>
        <v>3600</v>
      </c>
      <c r="J1631" s="8">
        <v>0</v>
      </c>
      <c r="K1631" s="2">
        <v>0</v>
      </c>
      <c r="L1631" s="8">
        <f t="shared" si="2202"/>
        <v>120</v>
      </c>
      <c r="M1631" s="8">
        <f t="shared" si="2203"/>
        <v>3600</v>
      </c>
    </row>
    <row r="1632" spans="1:13" ht="15.75" customHeight="1" x14ac:dyDescent="0.25">
      <c r="A1632" s="24">
        <v>43406</v>
      </c>
      <c r="B1632" s="9" t="s">
        <v>30</v>
      </c>
      <c r="C1632" s="9">
        <v>100</v>
      </c>
      <c r="D1632" s="9" t="s">
        <v>10</v>
      </c>
      <c r="E1632" s="19">
        <v>31680</v>
      </c>
      <c r="F1632" s="19">
        <v>31730</v>
      </c>
      <c r="G1632" s="9">
        <v>0</v>
      </c>
      <c r="H1632" s="15">
        <v>0</v>
      </c>
      <c r="I1632" s="8">
        <f t="shared" si="2201"/>
        <v>5000</v>
      </c>
      <c r="J1632" s="8">
        <v>0</v>
      </c>
      <c r="K1632" s="2">
        <v>0</v>
      </c>
      <c r="L1632" s="8">
        <f t="shared" si="2202"/>
        <v>50</v>
      </c>
      <c r="M1632" s="8">
        <f t="shared" si="2203"/>
        <v>5000</v>
      </c>
    </row>
    <row r="1633" spans="1:13" ht="15.75" customHeight="1" x14ac:dyDescent="0.25">
      <c r="A1633" s="24">
        <v>43406</v>
      </c>
      <c r="B1633" s="9" t="s">
        <v>53</v>
      </c>
      <c r="C1633" s="9">
        <v>1250</v>
      </c>
      <c r="D1633" s="9" t="s">
        <v>10</v>
      </c>
      <c r="E1633" s="19">
        <v>232.5</v>
      </c>
      <c r="F1633" s="19">
        <v>234</v>
      </c>
      <c r="G1633" s="9">
        <v>0</v>
      </c>
      <c r="H1633" s="15">
        <v>0</v>
      </c>
      <c r="I1633" s="8">
        <f t="shared" si="2201"/>
        <v>1875</v>
      </c>
      <c r="J1633" s="8">
        <v>0</v>
      </c>
      <c r="K1633" s="2">
        <v>0</v>
      </c>
      <c r="L1633" s="8">
        <f t="shared" si="2202"/>
        <v>1.5</v>
      </c>
      <c r="M1633" s="8">
        <f t="shared" si="2203"/>
        <v>1875</v>
      </c>
    </row>
    <row r="1634" spans="1:13" ht="15.75" customHeight="1" x14ac:dyDescent="0.25">
      <c r="A1634" s="24">
        <v>43406</v>
      </c>
      <c r="B1634" s="9" t="s">
        <v>31</v>
      </c>
      <c r="C1634" s="9">
        <v>250</v>
      </c>
      <c r="D1634" s="9" t="s">
        <v>10</v>
      </c>
      <c r="E1634" s="19">
        <v>868</v>
      </c>
      <c r="F1634" s="19">
        <v>875</v>
      </c>
      <c r="G1634" s="9">
        <v>0</v>
      </c>
      <c r="H1634" s="15">
        <v>0</v>
      </c>
      <c r="I1634" s="8">
        <f t="shared" si="2201"/>
        <v>1750</v>
      </c>
      <c r="J1634" s="8">
        <v>0</v>
      </c>
      <c r="K1634" s="2">
        <v>0</v>
      </c>
      <c r="L1634" s="8">
        <f t="shared" si="2202"/>
        <v>7</v>
      </c>
      <c r="M1634" s="8">
        <f t="shared" si="2203"/>
        <v>1750</v>
      </c>
    </row>
    <row r="1635" spans="1:13" ht="15.75" customHeight="1" x14ac:dyDescent="0.25">
      <c r="A1635" s="24">
        <v>43405</v>
      </c>
      <c r="B1635" s="9" t="s">
        <v>38</v>
      </c>
      <c r="C1635" s="9">
        <v>100</v>
      </c>
      <c r="D1635" s="9" t="s">
        <v>11</v>
      </c>
      <c r="E1635" s="19">
        <v>4765</v>
      </c>
      <c r="F1635" s="19">
        <v>4745</v>
      </c>
      <c r="G1635" s="9">
        <v>4720</v>
      </c>
      <c r="H1635" s="15">
        <v>4690</v>
      </c>
      <c r="I1635" s="8">
        <f t="shared" si="2201"/>
        <v>2000</v>
      </c>
      <c r="J1635" s="8">
        <f>(IF(D1635="SELL",IF(G1635="",0,F1635-G1635),IF(D1635="BUY",IF(G1635="",0,G1635-F1635))))*C1635</f>
        <v>2500</v>
      </c>
      <c r="K1635" s="2">
        <v>3000</v>
      </c>
      <c r="L1635" s="8">
        <f t="shared" si="2202"/>
        <v>75</v>
      </c>
      <c r="M1635" s="8">
        <f t="shared" si="2203"/>
        <v>7500</v>
      </c>
    </row>
    <row r="1636" spans="1:13" ht="15.75" customHeight="1" x14ac:dyDescent="0.25">
      <c r="A1636" s="24">
        <v>43405</v>
      </c>
      <c r="B1636" s="9" t="s">
        <v>30</v>
      </c>
      <c r="C1636" s="9">
        <v>100</v>
      </c>
      <c r="D1636" s="9" t="s">
        <v>10</v>
      </c>
      <c r="E1636" s="19">
        <v>31850</v>
      </c>
      <c r="F1636" s="19">
        <v>31938</v>
      </c>
      <c r="G1636" s="9">
        <v>0</v>
      </c>
      <c r="H1636" s="15">
        <v>0</v>
      </c>
      <c r="I1636" s="8">
        <f t="shared" si="2201"/>
        <v>8800</v>
      </c>
      <c r="J1636" s="8">
        <v>0</v>
      </c>
      <c r="K1636" s="2">
        <v>0</v>
      </c>
      <c r="L1636" s="8">
        <f t="shared" si="2202"/>
        <v>88</v>
      </c>
      <c r="M1636" s="8">
        <f t="shared" si="2203"/>
        <v>8800</v>
      </c>
    </row>
    <row r="1637" spans="1:13" ht="15.75" customHeight="1" x14ac:dyDescent="0.25">
      <c r="A1637" s="24">
        <v>43405</v>
      </c>
      <c r="B1637" s="9" t="s">
        <v>53</v>
      </c>
      <c r="C1637" s="9">
        <v>1250</v>
      </c>
      <c r="D1637" s="9" t="s">
        <v>10</v>
      </c>
      <c r="E1637" s="19">
        <v>242.5</v>
      </c>
      <c r="F1637" s="19">
        <v>238.5</v>
      </c>
      <c r="G1637" s="9">
        <v>0</v>
      </c>
      <c r="H1637" s="15">
        <v>0</v>
      </c>
      <c r="I1637" s="8">
        <f t="shared" ref="I1637:I1653" si="2204">(IF(D1637="SELL",E1637-F1637,IF(D1637="BUY",F1637-E1637)))*C1637</f>
        <v>-5000</v>
      </c>
      <c r="J1637" s="8">
        <v>0</v>
      </c>
      <c r="K1637" s="2">
        <v>0</v>
      </c>
      <c r="L1637" s="8">
        <f t="shared" si="2202"/>
        <v>-4</v>
      </c>
      <c r="M1637" s="8">
        <f t="shared" si="2203"/>
        <v>-5000</v>
      </c>
    </row>
    <row r="1638" spans="1:13" ht="15.75" customHeight="1" x14ac:dyDescent="0.25">
      <c r="A1638" s="24">
        <v>43404</v>
      </c>
      <c r="B1638" s="9" t="s">
        <v>37</v>
      </c>
      <c r="C1638" s="9">
        <v>5000</v>
      </c>
      <c r="D1638" s="9" t="s">
        <v>10</v>
      </c>
      <c r="E1638" s="19">
        <v>146.30000000000001</v>
      </c>
      <c r="F1638" s="19">
        <v>146.80000000000001</v>
      </c>
      <c r="G1638" s="9">
        <v>0</v>
      </c>
      <c r="H1638" s="15">
        <v>0</v>
      </c>
      <c r="I1638" s="8">
        <f t="shared" si="2204"/>
        <v>2500</v>
      </c>
      <c r="J1638" s="8">
        <v>0</v>
      </c>
      <c r="K1638" s="2">
        <v>0</v>
      </c>
      <c r="L1638" s="8">
        <f t="shared" si="2202"/>
        <v>0.5</v>
      </c>
      <c r="M1638" s="8">
        <f t="shared" si="2203"/>
        <v>2500</v>
      </c>
    </row>
    <row r="1639" spans="1:13" ht="15.75" customHeight="1" x14ac:dyDescent="0.25">
      <c r="A1639" s="24">
        <v>43404</v>
      </c>
      <c r="B1639" s="9" t="s">
        <v>38</v>
      </c>
      <c r="C1639" s="9">
        <v>100</v>
      </c>
      <c r="D1639" s="9" t="s">
        <v>11</v>
      </c>
      <c r="E1639" s="19">
        <v>4920</v>
      </c>
      <c r="F1639" s="19">
        <v>4900</v>
      </c>
      <c r="G1639" s="9">
        <v>0</v>
      </c>
      <c r="H1639" s="15">
        <v>0</v>
      </c>
      <c r="I1639" s="8">
        <f t="shared" si="2204"/>
        <v>2000</v>
      </c>
      <c r="J1639" s="8">
        <v>0</v>
      </c>
      <c r="K1639" s="2">
        <v>0</v>
      </c>
      <c r="L1639" s="8">
        <f t="shared" si="2202"/>
        <v>20</v>
      </c>
      <c r="M1639" s="8">
        <f t="shared" si="2203"/>
        <v>2000</v>
      </c>
    </row>
    <row r="1640" spans="1:13" ht="15.75" customHeight="1" x14ac:dyDescent="0.25">
      <c r="A1640" s="24">
        <v>43404</v>
      </c>
      <c r="B1640" s="9" t="s">
        <v>53</v>
      </c>
      <c r="C1640" s="9">
        <v>1250</v>
      </c>
      <c r="D1640" s="9" t="s">
        <v>10</v>
      </c>
      <c r="E1640" s="19">
        <v>239.5</v>
      </c>
      <c r="F1640" s="19">
        <v>241</v>
      </c>
      <c r="G1640" s="9">
        <v>0</v>
      </c>
      <c r="H1640" s="15">
        <v>0</v>
      </c>
      <c r="I1640" s="8">
        <f t="shared" si="2204"/>
        <v>1875</v>
      </c>
      <c r="J1640" s="8">
        <v>0</v>
      </c>
      <c r="K1640" s="2">
        <v>0</v>
      </c>
      <c r="L1640" s="8">
        <f t="shared" si="2202"/>
        <v>1.5</v>
      </c>
      <c r="M1640" s="8">
        <f t="shared" si="2203"/>
        <v>1875</v>
      </c>
    </row>
    <row r="1641" spans="1:13" ht="15.75" customHeight="1" x14ac:dyDescent="0.25">
      <c r="A1641" s="24">
        <v>43404</v>
      </c>
      <c r="B1641" s="9" t="s">
        <v>39</v>
      </c>
      <c r="C1641" s="9">
        <v>5000</v>
      </c>
      <c r="D1641" s="9" t="s">
        <v>11</v>
      </c>
      <c r="E1641" s="19">
        <v>192.7</v>
      </c>
      <c r="F1641" s="19">
        <v>193.7</v>
      </c>
      <c r="G1641" s="9">
        <v>0</v>
      </c>
      <c r="H1641" s="15">
        <v>0</v>
      </c>
      <c r="I1641" s="8">
        <f t="shared" si="2204"/>
        <v>-5000</v>
      </c>
      <c r="J1641" s="8">
        <v>0</v>
      </c>
      <c r="K1641" s="2">
        <v>0</v>
      </c>
      <c r="L1641" s="8">
        <f t="shared" si="2202"/>
        <v>-1</v>
      </c>
      <c r="M1641" s="8">
        <f t="shared" si="2203"/>
        <v>-5000</v>
      </c>
    </row>
    <row r="1642" spans="1:13" ht="15.75" customHeight="1" x14ac:dyDescent="0.25">
      <c r="A1642" s="24">
        <v>43403</v>
      </c>
      <c r="B1642" s="9" t="s">
        <v>53</v>
      </c>
      <c r="C1642" s="9">
        <v>1250</v>
      </c>
      <c r="D1642" s="9" t="s">
        <v>10</v>
      </c>
      <c r="E1642" s="19">
        <v>235.5</v>
      </c>
      <c r="F1642" s="19">
        <v>237</v>
      </c>
      <c r="G1642" s="9">
        <v>0</v>
      </c>
      <c r="H1642" s="15">
        <v>0</v>
      </c>
      <c r="I1642" s="8">
        <f t="shared" si="2204"/>
        <v>1875</v>
      </c>
      <c r="J1642" s="8">
        <v>0</v>
      </c>
      <c r="K1642" s="2">
        <v>0</v>
      </c>
      <c r="L1642" s="8">
        <f t="shared" si="2202"/>
        <v>1.5</v>
      </c>
      <c r="M1642" s="8">
        <f t="shared" si="2203"/>
        <v>1875</v>
      </c>
    </row>
    <row r="1643" spans="1:13" ht="15.75" customHeight="1" x14ac:dyDescent="0.25">
      <c r="A1643" s="24">
        <v>43403</v>
      </c>
      <c r="B1643" s="9" t="s">
        <v>31</v>
      </c>
      <c r="C1643" s="9">
        <v>250</v>
      </c>
      <c r="D1643" s="9" t="s">
        <v>10</v>
      </c>
      <c r="E1643" s="19">
        <v>863</v>
      </c>
      <c r="F1643" s="19">
        <v>866</v>
      </c>
      <c r="G1643" s="9">
        <v>4980</v>
      </c>
      <c r="H1643" s="15">
        <v>0</v>
      </c>
      <c r="I1643" s="8">
        <f t="shared" si="2204"/>
        <v>750</v>
      </c>
      <c r="J1643" s="8">
        <v>0</v>
      </c>
      <c r="K1643" s="2">
        <v>0</v>
      </c>
      <c r="L1643" s="8">
        <f t="shared" si="2202"/>
        <v>3</v>
      </c>
      <c r="M1643" s="8">
        <f t="shared" si="2203"/>
        <v>750</v>
      </c>
    </row>
    <row r="1644" spans="1:13" ht="15.75" customHeight="1" x14ac:dyDescent="0.25">
      <c r="A1644" s="24">
        <v>43402</v>
      </c>
      <c r="B1644" s="9" t="s">
        <v>40</v>
      </c>
      <c r="C1644" s="9">
        <v>30</v>
      </c>
      <c r="D1644" s="9" t="s">
        <v>10</v>
      </c>
      <c r="E1644" s="19">
        <v>38800</v>
      </c>
      <c r="F1644" s="19">
        <v>38900</v>
      </c>
      <c r="G1644" s="9">
        <v>0</v>
      </c>
      <c r="H1644" s="15">
        <v>0</v>
      </c>
      <c r="I1644" s="8">
        <f t="shared" si="2204"/>
        <v>3000</v>
      </c>
      <c r="J1644" s="8">
        <v>0</v>
      </c>
      <c r="K1644" s="2">
        <v>0</v>
      </c>
      <c r="L1644" s="8">
        <f t="shared" si="2202"/>
        <v>100</v>
      </c>
      <c r="M1644" s="8">
        <f t="shared" si="2203"/>
        <v>3000</v>
      </c>
    </row>
    <row r="1645" spans="1:13" ht="15.75" customHeight="1" x14ac:dyDescent="0.25">
      <c r="A1645" s="24">
        <v>43402</v>
      </c>
      <c r="B1645" s="9" t="s">
        <v>29</v>
      </c>
      <c r="C1645" s="9">
        <v>1000</v>
      </c>
      <c r="D1645" s="9" t="s">
        <v>10</v>
      </c>
      <c r="E1645" s="19">
        <v>447</v>
      </c>
      <c r="F1645" s="19">
        <v>449</v>
      </c>
      <c r="G1645" s="9">
        <v>0</v>
      </c>
      <c r="H1645" s="15">
        <v>0</v>
      </c>
      <c r="I1645" s="8">
        <f t="shared" si="2204"/>
        <v>2000</v>
      </c>
      <c r="J1645" s="8">
        <v>0</v>
      </c>
      <c r="K1645" s="2">
        <v>0</v>
      </c>
      <c r="L1645" s="8">
        <f t="shared" si="2202"/>
        <v>2</v>
      </c>
      <c r="M1645" s="8">
        <f t="shared" si="2203"/>
        <v>2000</v>
      </c>
    </row>
    <row r="1646" spans="1:13" ht="15.75" customHeight="1" x14ac:dyDescent="0.25">
      <c r="A1646" s="24">
        <v>43399</v>
      </c>
      <c r="B1646" s="9" t="s">
        <v>38</v>
      </c>
      <c r="C1646" s="9">
        <v>100</v>
      </c>
      <c r="D1646" s="9" t="s">
        <v>10</v>
      </c>
      <c r="E1646" s="19">
        <v>4900</v>
      </c>
      <c r="F1646" s="19">
        <v>4940</v>
      </c>
      <c r="G1646" s="9">
        <v>4980</v>
      </c>
      <c r="H1646" s="15">
        <v>0</v>
      </c>
      <c r="I1646" s="8">
        <f t="shared" si="2204"/>
        <v>4000</v>
      </c>
      <c r="J1646" s="8">
        <f>(IF(D1646="SELL",IF(G1646="",0,F1646-G1646),IF(D1646="BUY",IF(G1646="",0,G1646-F1646))))*C1646</f>
        <v>4000</v>
      </c>
      <c r="K1646" s="2">
        <v>0</v>
      </c>
      <c r="L1646" s="8">
        <f t="shared" si="2202"/>
        <v>80</v>
      </c>
      <c r="M1646" s="8">
        <f t="shared" si="2203"/>
        <v>8000</v>
      </c>
    </row>
    <row r="1647" spans="1:13" ht="15.75" customHeight="1" x14ac:dyDescent="0.25">
      <c r="A1647" s="24">
        <v>43399</v>
      </c>
      <c r="B1647" s="9" t="s">
        <v>17</v>
      </c>
      <c r="C1647" s="9">
        <v>5000</v>
      </c>
      <c r="D1647" s="9" t="s">
        <v>10</v>
      </c>
      <c r="E1647" s="19">
        <v>196.5</v>
      </c>
      <c r="F1647" s="19">
        <v>197</v>
      </c>
      <c r="G1647" s="9">
        <v>198</v>
      </c>
      <c r="H1647" s="15">
        <v>0</v>
      </c>
      <c r="I1647" s="8">
        <f t="shared" si="2204"/>
        <v>2500</v>
      </c>
      <c r="J1647" s="8">
        <f>(IF(D1647="SELL",IF(G1647="",0,F1647-G1647),IF(D1647="BUY",IF(G1647="",0,G1647-F1647))))*C1647</f>
        <v>5000</v>
      </c>
      <c r="K1647" s="2">
        <v>0</v>
      </c>
      <c r="L1647" s="8">
        <f t="shared" si="2202"/>
        <v>1.5</v>
      </c>
      <c r="M1647" s="8">
        <f t="shared" si="2203"/>
        <v>7500</v>
      </c>
    </row>
    <row r="1648" spans="1:13" ht="15.75" customHeight="1" x14ac:dyDescent="0.25">
      <c r="A1648" s="24">
        <v>43399</v>
      </c>
      <c r="B1648" s="9" t="s">
        <v>30</v>
      </c>
      <c r="C1648" s="9">
        <v>100</v>
      </c>
      <c r="D1648" s="9" t="s">
        <v>10</v>
      </c>
      <c r="E1648" s="19">
        <v>32080</v>
      </c>
      <c r="F1648" s="19">
        <v>32130</v>
      </c>
      <c r="G1648" s="9">
        <v>32200</v>
      </c>
      <c r="H1648" s="15">
        <v>0</v>
      </c>
      <c r="I1648" s="8">
        <f t="shared" si="2204"/>
        <v>5000</v>
      </c>
      <c r="J1648" s="8">
        <f>(IF(D1648="SELL",IF(G1648="",0,F1648-G1648),IF(D1648="BUY",IF(G1648="",0,G1648-F1648))))*C1648</f>
        <v>7000</v>
      </c>
      <c r="K1648" s="2">
        <v>0</v>
      </c>
      <c r="L1648" s="8">
        <f t="shared" si="2202"/>
        <v>120</v>
      </c>
      <c r="M1648" s="8">
        <f t="shared" si="2203"/>
        <v>12000</v>
      </c>
    </row>
    <row r="1649" spans="1:13" ht="15.75" customHeight="1" x14ac:dyDescent="0.25">
      <c r="A1649" s="24">
        <v>43399</v>
      </c>
      <c r="B1649" s="9" t="s">
        <v>40</v>
      </c>
      <c r="C1649" s="9">
        <v>30</v>
      </c>
      <c r="D1649" s="9" t="s">
        <v>10</v>
      </c>
      <c r="E1649" s="19">
        <v>38850</v>
      </c>
      <c r="F1649" s="19">
        <v>38950</v>
      </c>
      <c r="G1649" s="9">
        <v>0</v>
      </c>
      <c r="H1649" s="15">
        <v>0</v>
      </c>
      <c r="I1649" s="8">
        <f t="shared" si="2204"/>
        <v>3000</v>
      </c>
      <c r="J1649" s="8">
        <v>0</v>
      </c>
      <c r="K1649" s="2">
        <v>0</v>
      </c>
      <c r="L1649" s="8">
        <f t="shared" si="2202"/>
        <v>100</v>
      </c>
      <c r="M1649" s="8">
        <f t="shared" si="2203"/>
        <v>3000</v>
      </c>
    </row>
    <row r="1650" spans="1:13" ht="15.75" customHeight="1" x14ac:dyDescent="0.25">
      <c r="A1650" s="24">
        <v>43399</v>
      </c>
      <c r="B1650" s="9" t="s">
        <v>38</v>
      </c>
      <c r="C1650" s="9">
        <v>100</v>
      </c>
      <c r="D1650" s="9" t="s">
        <v>10</v>
      </c>
      <c r="E1650" s="19">
        <v>4915</v>
      </c>
      <c r="F1650" s="19">
        <v>4880</v>
      </c>
      <c r="G1650" s="9">
        <v>0</v>
      </c>
      <c r="H1650" s="15">
        <v>0</v>
      </c>
      <c r="I1650" s="8">
        <f t="shared" si="2204"/>
        <v>-3500</v>
      </c>
      <c r="J1650" s="8">
        <v>0</v>
      </c>
      <c r="K1650" s="2">
        <v>0</v>
      </c>
      <c r="L1650" s="8">
        <f t="shared" si="2202"/>
        <v>-35</v>
      </c>
      <c r="M1650" s="8">
        <f t="shared" si="2203"/>
        <v>-3500</v>
      </c>
    </row>
    <row r="1651" spans="1:13" ht="15.75" customHeight="1" x14ac:dyDescent="0.25">
      <c r="A1651" s="24">
        <v>43398</v>
      </c>
      <c r="B1651" s="9" t="s">
        <v>30</v>
      </c>
      <c r="C1651" s="9">
        <v>100</v>
      </c>
      <c r="D1651" s="9" t="s">
        <v>11</v>
      </c>
      <c r="E1651" s="19">
        <v>32060</v>
      </c>
      <c r="F1651" s="19">
        <v>32000</v>
      </c>
      <c r="G1651" s="9">
        <v>31920</v>
      </c>
      <c r="H1651" s="15">
        <v>0</v>
      </c>
      <c r="I1651" s="8">
        <f t="shared" si="2204"/>
        <v>6000</v>
      </c>
      <c r="J1651" s="8">
        <f>(IF(D1651="SELL",IF(G1651="",0,F1651-G1651),IF(D1651="BUY",IF(G1651="",0,G1651-F1651))))*C1651</f>
        <v>8000</v>
      </c>
      <c r="K1651" s="2">
        <v>0</v>
      </c>
      <c r="L1651" s="8">
        <f t="shared" si="2202"/>
        <v>140</v>
      </c>
      <c r="M1651" s="8">
        <f t="shared" si="2203"/>
        <v>14000</v>
      </c>
    </row>
    <row r="1652" spans="1:13" ht="15.75" customHeight="1" x14ac:dyDescent="0.25">
      <c r="A1652" s="24">
        <v>43398</v>
      </c>
      <c r="B1652" s="9" t="s">
        <v>29</v>
      </c>
      <c r="C1652" s="9">
        <v>1000</v>
      </c>
      <c r="D1652" s="9" t="s">
        <v>11</v>
      </c>
      <c r="E1652" s="19">
        <v>444</v>
      </c>
      <c r="F1652" s="19">
        <v>441.55</v>
      </c>
      <c r="G1652" s="9">
        <v>0</v>
      </c>
      <c r="H1652" s="15">
        <v>0</v>
      </c>
      <c r="I1652" s="8">
        <f t="shared" si="2204"/>
        <v>2449.9999999999886</v>
      </c>
      <c r="J1652" s="8">
        <v>0</v>
      </c>
      <c r="K1652" s="2">
        <v>0</v>
      </c>
      <c r="L1652" s="8">
        <f t="shared" si="2202"/>
        <v>2.4499999999999886</v>
      </c>
      <c r="M1652" s="8">
        <f t="shared" si="2203"/>
        <v>2449.9999999999886</v>
      </c>
    </row>
    <row r="1653" spans="1:13" ht="15.75" customHeight="1" x14ac:dyDescent="0.25">
      <c r="A1653" s="24">
        <v>43397</v>
      </c>
      <c r="B1653" s="9" t="s">
        <v>38</v>
      </c>
      <c r="C1653" s="9">
        <v>100</v>
      </c>
      <c r="D1653" s="9" t="s">
        <v>10</v>
      </c>
      <c r="E1653" s="19">
        <v>4912</v>
      </c>
      <c r="F1653" s="19">
        <v>4940</v>
      </c>
      <c r="G1653" s="9">
        <v>0</v>
      </c>
      <c r="H1653" s="15">
        <v>0</v>
      </c>
      <c r="I1653" s="8">
        <f t="shared" si="2204"/>
        <v>2800</v>
      </c>
      <c r="J1653" s="8">
        <v>0</v>
      </c>
      <c r="K1653" s="2">
        <v>0</v>
      </c>
      <c r="L1653" s="8">
        <f t="shared" si="2202"/>
        <v>28</v>
      </c>
      <c r="M1653" s="8">
        <f t="shared" si="2203"/>
        <v>2800</v>
      </c>
    </row>
    <row r="1654" spans="1:13" ht="15.75" customHeight="1" x14ac:dyDescent="0.25">
      <c r="A1654" s="24">
        <v>43397</v>
      </c>
      <c r="B1654" s="9" t="s">
        <v>37</v>
      </c>
      <c r="C1654" s="9">
        <v>5000</v>
      </c>
      <c r="D1654" s="9" t="s">
        <v>11</v>
      </c>
      <c r="E1654" s="19">
        <v>146.80000000000001</v>
      </c>
      <c r="F1654" s="19">
        <v>0</v>
      </c>
      <c r="G1654" s="9">
        <v>0</v>
      </c>
      <c r="H1654" s="15">
        <v>0</v>
      </c>
      <c r="I1654" s="8">
        <v>0</v>
      </c>
      <c r="J1654" s="8">
        <f>(IF(D1654="SELL",IF(G1654="",0,F1654-G1654),IF(D1654="BUY",IF(G1654="",0,G1654-F1654))))*C1654</f>
        <v>0</v>
      </c>
      <c r="K1654" s="2">
        <v>0</v>
      </c>
      <c r="L1654" s="8">
        <f t="shared" si="2202"/>
        <v>0</v>
      </c>
      <c r="M1654" s="8">
        <f t="shared" si="2203"/>
        <v>0</v>
      </c>
    </row>
    <row r="1655" spans="1:13" ht="15.75" customHeight="1" x14ac:dyDescent="0.25">
      <c r="A1655" s="24">
        <v>43396</v>
      </c>
      <c r="B1655" s="9" t="s">
        <v>38</v>
      </c>
      <c r="C1655" s="9">
        <v>100</v>
      </c>
      <c r="D1655" s="9" t="s">
        <v>11</v>
      </c>
      <c r="E1655" s="19">
        <v>5025</v>
      </c>
      <c r="F1655" s="19">
        <v>5000</v>
      </c>
      <c r="G1655" s="9">
        <v>0</v>
      </c>
      <c r="H1655" s="15">
        <v>0</v>
      </c>
      <c r="I1655" s="8">
        <f t="shared" ref="I1655:I1686" si="2205">(IF(D1655="SELL",E1655-F1655,IF(D1655="BUY",F1655-E1655)))*C1655</f>
        <v>2500</v>
      </c>
      <c r="J1655" s="8">
        <v>0</v>
      </c>
      <c r="K1655" s="2">
        <v>0</v>
      </c>
      <c r="L1655" s="8">
        <f t="shared" si="2202"/>
        <v>25</v>
      </c>
      <c r="M1655" s="8">
        <f t="shared" si="2203"/>
        <v>2500</v>
      </c>
    </row>
    <row r="1656" spans="1:13" ht="15.75" customHeight="1" x14ac:dyDescent="0.25">
      <c r="A1656" s="24">
        <v>43396</v>
      </c>
      <c r="B1656" s="9" t="s">
        <v>30</v>
      </c>
      <c r="C1656" s="9">
        <v>100</v>
      </c>
      <c r="D1656" s="9" t="s">
        <v>10</v>
      </c>
      <c r="E1656" s="19">
        <v>32040</v>
      </c>
      <c r="F1656" s="19">
        <v>32120</v>
      </c>
      <c r="G1656" s="9">
        <v>32220</v>
      </c>
      <c r="H1656" s="15">
        <v>0</v>
      </c>
      <c r="I1656" s="8">
        <f t="shared" si="2205"/>
        <v>8000</v>
      </c>
      <c r="J1656" s="8">
        <f>(IF(D1656="SELL",IF(G1656="",0,F1656-G1656),IF(D1656="BUY",IF(G1656="",0,G1656-F1656))))*C1656</f>
        <v>10000</v>
      </c>
      <c r="K1656" s="2">
        <v>0</v>
      </c>
      <c r="L1656" s="8">
        <f t="shared" si="2202"/>
        <v>180</v>
      </c>
      <c r="M1656" s="8">
        <f t="shared" si="2203"/>
        <v>18000</v>
      </c>
    </row>
    <row r="1657" spans="1:13" ht="15.75" customHeight="1" x14ac:dyDescent="0.25">
      <c r="A1657" s="24">
        <v>43396</v>
      </c>
      <c r="B1657" s="9" t="s">
        <v>40</v>
      </c>
      <c r="C1657" s="9">
        <v>30</v>
      </c>
      <c r="D1657" s="9" t="s">
        <v>10</v>
      </c>
      <c r="E1657" s="19">
        <v>38820</v>
      </c>
      <c r="F1657" s="19">
        <v>38920</v>
      </c>
      <c r="G1657" s="9">
        <v>39100</v>
      </c>
      <c r="H1657" s="15">
        <v>0</v>
      </c>
      <c r="I1657" s="8">
        <f t="shared" si="2205"/>
        <v>3000</v>
      </c>
      <c r="J1657" s="8">
        <f>(IF(D1657="SELL",IF(G1657="",0,F1657-G1657),IF(D1657="BUY",IF(G1657="",0,G1657-F1657))))*C1657</f>
        <v>5400</v>
      </c>
      <c r="K1657" s="2">
        <v>0</v>
      </c>
      <c r="L1657" s="8">
        <f t="shared" si="2202"/>
        <v>280</v>
      </c>
      <c r="M1657" s="8">
        <f t="shared" si="2203"/>
        <v>8400</v>
      </c>
    </row>
    <row r="1658" spans="1:13" ht="15.75" customHeight="1" x14ac:dyDescent="0.25">
      <c r="A1658" s="24">
        <v>43392</v>
      </c>
      <c r="B1658" s="9" t="s">
        <v>17</v>
      </c>
      <c r="C1658" s="9">
        <v>5000</v>
      </c>
      <c r="D1658" s="9" t="s">
        <v>11</v>
      </c>
      <c r="E1658" s="19">
        <v>198.3</v>
      </c>
      <c r="F1658" s="19">
        <v>197.7</v>
      </c>
      <c r="G1658" s="9">
        <v>197</v>
      </c>
      <c r="H1658" s="15">
        <v>0</v>
      </c>
      <c r="I1658" s="8">
        <f t="shared" si="2205"/>
        <v>3000.0000000001137</v>
      </c>
      <c r="J1658" s="8">
        <f>(IF(D1658="SELL",IF(G1658="",0,F1658-G1658),IF(D1658="BUY",IF(G1658="",0,G1658-F1658))))*C1658</f>
        <v>3499.9999999999432</v>
      </c>
      <c r="K1658" s="2">
        <v>0</v>
      </c>
      <c r="L1658" s="8">
        <f t="shared" si="2202"/>
        <v>1.3000000000000114</v>
      </c>
      <c r="M1658" s="8">
        <f t="shared" si="2203"/>
        <v>6500.0000000000564</v>
      </c>
    </row>
    <row r="1659" spans="1:13" ht="15.75" customHeight="1" x14ac:dyDescent="0.25">
      <c r="A1659" s="24">
        <v>43392</v>
      </c>
      <c r="B1659" s="9" t="s">
        <v>21</v>
      </c>
      <c r="C1659" s="9">
        <v>250</v>
      </c>
      <c r="D1659" s="9" t="s">
        <v>10</v>
      </c>
      <c r="E1659" s="19">
        <v>918</v>
      </c>
      <c r="F1659" s="19">
        <v>923</v>
      </c>
      <c r="G1659" s="9">
        <v>0</v>
      </c>
      <c r="H1659" s="15">
        <v>0</v>
      </c>
      <c r="I1659" s="8">
        <f t="shared" si="2205"/>
        <v>1250</v>
      </c>
      <c r="J1659" s="8">
        <v>0</v>
      </c>
      <c r="K1659" s="2">
        <v>0</v>
      </c>
      <c r="L1659" s="8">
        <f t="shared" si="2202"/>
        <v>5</v>
      </c>
      <c r="M1659" s="8">
        <f t="shared" si="2203"/>
        <v>1250</v>
      </c>
    </row>
    <row r="1660" spans="1:13" ht="15.75" customHeight="1" x14ac:dyDescent="0.25">
      <c r="A1660" s="24">
        <v>43392</v>
      </c>
      <c r="B1660" s="9" t="s">
        <v>15</v>
      </c>
      <c r="C1660" s="9">
        <v>5000</v>
      </c>
      <c r="D1660" s="9" t="s">
        <v>10</v>
      </c>
      <c r="E1660" s="19">
        <v>145.69999999999999</v>
      </c>
      <c r="F1660" s="19">
        <v>146.15</v>
      </c>
      <c r="G1660" s="9">
        <v>0</v>
      </c>
      <c r="H1660" s="15">
        <v>0</v>
      </c>
      <c r="I1660" s="8">
        <f t="shared" si="2205"/>
        <v>2250.0000000000855</v>
      </c>
      <c r="J1660" s="8">
        <v>0</v>
      </c>
      <c r="K1660" s="2">
        <v>0</v>
      </c>
      <c r="L1660" s="8">
        <f t="shared" si="2202"/>
        <v>0.45000000000001711</v>
      </c>
      <c r="M1660" s="8">
        <f t="shared" si="2203"/>
        <v>2250.0000000000855</v>
      </c>
    </row>
    <row r="1661" spans="1:13" ht="15.75" customHeight="1" x14ac:dyDescent="0.25">
      <c r="A1661" s="24">
        <v>43392</v>
      </c>
      <c r="B1661" s="9" t="s">
        <v>29</v>
      </c>
      <c r="C1661" s="9">
        <v>1000</v>
      </c>
      <c r="D1661" s="9" t="s">
        <v>10</v>
      </c>
      <c r="E1661" s="19">
        <v>449.5</v>
      </c>
      <c r="F1661" s="19">
        <v>451.5</v>
      </c>
      <c r="G1661" s="9">
        <v>0</v>
      </c>
      <c r="H1661" s="15">
        <v>0</v>
      </c>
      <c r="I1661" s="8">
        <f t="shared" si="2205"/>
        <v>2000</v>
      </c>
      <c r="J1661" s="8">
        <v>0</v>
      </c>
      <c r="K1661" s="2">
        <v>0</v>
      </c>
      <c r="L1661" s="8">
        <f t="shared" si="2202"/>
        <v>2</v>
      </c>
      <c r="M1661" s="8">
        <f t="shared" si="2203"/>
        <v>2000</v>
      </c>
    </row>
    <row r="1662" spans="1:13" ht="15.75" customHeight="1" x14ac:dyDescent="0.25">
      <c r="A1662" s="24">
        <v>43392</v>
      </c>
      <c r="B1662" s="9" t="s">
        <v>37</v>
      </c>
      <c r="C1662" s="9">
        <v>5000</v>
      </c>
      <c r="D1662" s="9" t="s">
        <v>10</v>
      </c>
      <c r="E1662" s="19">
        <v>148.80000000000001</v>
      </c>
      <c r="F1662" s="19">
        <v>149.25</v>
      </c>
      <c r="G1662" s="9">
        <v>0</v>
      </c>
      <c r="H1662" s="15">
        <v>0</v>
      </c>
      <c r="I1662" s="8">
        <f t="shared" si="2205"/>
        <v>2249.9999999999432</v>
      </c>
      <c r="J1662" s="8">
        <v>0</v>
      </c>
      <c r="K1662" s="2">
        <v>0</v>
      </c>
      <c r="L1662" s="8">
        <f t="shared" si="2202"/>
        <v>0.44999999999998863</v>
      </c>
      <c r="M1662" s="8">
        <f t="shared" si="2203"/>
        <v>2249.9999999999432</v>
      </c>
    </row>
    <row r="1663" spans="1:13" ht="15.75" customHeight="1" x14ac:dyDescent="0.25">
      <c r="A1663" s="24">
        <v>43392</v>
      </c>
      <c r="B1663" s="9" t="s">
        <v>35</v>
      </c>
      <c r="C1663" s="9">
        <v>5000</v>
      </c>
      <c r="D1663" s="9" t="s">
        <v>10</v>
      </c>
      <c r="E1663" s="19">
        <v>146</v>
      </c>
      <c r="F1663" s="19">
        <v>145</v>
      </c>
      <c r="G1663" s="9">
        <v>0</v>
      </c>
      <c r="H1663" s="15">
        <v>0</v>
      </c>
      <c r="I1663" s="8">
        <f t="shared" si="2205"/>
        <v>-5000</v>
      </c>
      <c r="J1663" s="8">
        <v>0</v>
      </c>
      <c r="K1663" s="2">
        <v>0</v>
      </c>
      <c r="L1663" s="8">
        <f t="shared" si="2202"/>
        <v>-1</v>
      </c>
      <c r="M1663" s="8">
        <f t="shared" si="2203"/>
        <v>-5000</v>
      </c>
    </row>
    <row r="1664" spans="1:13" ht="15.75" customHeight="1" x14ac:dyDescent="0.25">
      <c r="A1664" s="24">
        <v>43390</v>
      </c>
      <c r="B1664" s="9" t="s">
        <v>39</v>
      </c>
      <c r="C1664" s="9">
        <v>5000</v>
      </c>
      <c r="D1664" s="9" t="s">
        <v>10</v>
      </c>
      <c r="E1664" s="19">
        <v>195</v>
      </c>
      <c r="F1664" s="19">
        <v>196</v>
      </c>
      <c r="G1664" s="9">
        <v>197.5</v>
      </c>
      <c r="H1664" s="15">
        <v>0</v>
      </c>
      <c r="I1664" s="8">
        <f t="shared" si="2205"/>
        <v>5000</v>
      </c>
      <c r="J1664" s="8">
        <f>(IF(D1664="SELL",IF(G1664="",0,F1664-G1664),IF(D1664="BUY",IF(G1664="",0,G1664-F1664))))*C1664</f>
        <v>7500</v>
      </c>
      <c r="K1664" s="2">
        <v>0</v>
      </c>
      <c r="L1664" s="8">
        <f t="shared" si="2202"/>
        <v>2.5</v>
      </c>
      <c r="M1664" s="8">
        <f t="shared" si="2203"/>
        <v>12500</v>
      </c>
    </row>
    <row r="1665" spans="1:13" ht="15.75" customHeight="1" x14ac:dyDescent="0.25">
      <c r="A1665" s="24">
        <v>43390</v>
      </c>
      <c r="B1665" s="9" t="s">
        <v>29</v>
      </c>
      <c r="C1665" s="9">
        <v>1000</v>
      </c>
      <c r="D1665" s="9" t="s">
        <v>10</v>
      </c>
      <c r="E1665" s="19">
        <v>453</v>
      </c>
      <c r="F1665" s="19">
        <v>454.5</v>
      </c>
      <c r="G1665" s="9">
        <v>456.5</v>
      </c>
      <c r="H1665" s="15">
        <v>0</v>
      </c>
      <c r="I1665" s="8">
        <f t="shared" si="2205"/>
        <v>1500</v>
      </c>
      <c r="J1665" s="8">
        <f>(IF(D1665="SELL",IF(G1665="",0,F1665-G1665),IF(D1665="BUY",IF(G1665="",0,G1665-F1665))))*C1665</f>
        <v>2000</v>
      </c>
      <c r="K1665" s="2">
        <v>0</v>
      </c>
      <c r="L1665" s="8">
        <f t="shared" si="2202"/>
        <v>3.5</v>
      </c>
      <c r="M1665" s="8">
        <f t="shared" si="2203"/>
        <v>3500</v>
      </c>
    </row>
    <row r="1666" spans="1:13" ht="15.75" customHeight="1" x14ac:dyDescent="0.25">
      <c r="A1666" s="24">
        <v>43389</v>
      </c>
      <c r="B1666" s="9" t="s">
        <v>34</v>
      </c>
      <c r="C1666" s="9">
        <v>100</v>
      </c>
      <c r="D1666" s="9" t="s">
        <v>10</v>
      </c>
      <c r="E1666" s="19">
        <v>5251</v>
      </c>
      <c r="F1666" s="19">
        <v>5280</v>
      </c>
      <c r="G1666" s="9">
        <v>0</v>
      </c>
      <c r="H1666" s="15">
        <v>0</v>
      </c>
      <c r="I1666" s="8">
        <f t="shared" si="2205"/>
        <v>2900</v>
      </c>
      <c r="J1666" s="8">
        <v>0</v>
      </c>
      <c r="K1666" s="2">
        <v>0</v>
      </c>
      <c r="L1666" s="8">
        <f t="shared" si="2202"/>
        <v>29</v>
      </c>
      <c r="M1666" s="8">
        <f t="shared" si="2203"/>
        <v>2900</v>
      </c>
    </row>
    <row r="1667" spans="1:13" ht="15.75" customHeight="1" x14ac:dyDescent="0.25">
      <c r="A1667" s="24">
        <v>43389</v>
      </c>
      <c r="B1667" s="9" t="s">
        <v>17</v>
      </c>
      <c r="C1667" s="9">
        <v>5000</v>
      </c>
      <c r="D1667" s="9" t="s">
        <v>11</v>
      </c>
      <c r="E1667" s="19">
        <v>193.5</v>
      </c>
      <c r="F1667" s="19">
        <v>192.5</v>
      </c>
      <c r="G1667" s="9">
        <v>0</v>
      </c>
      <c r="H1667" s="15">
        <v>0</v>
      </c>
      <c r="I1667" s="8">
        <f t="shared" si="2205"/>
        <v>5000</v>
      </c>
      <c r="J1667" s="8">
        <v>0</v>
      </c>
      <c r="K1667" s="2">
        <v>0</v>
      </c>
      <c r="L1667" s="8">
        <f t="shared" si="2202"/>
        <v>1</v>
      </c>
      <c r="M1667" s="8">
        <f t="shared" si="2203"/>
        <v>5000</v>
      </c>
    </row>
    <row r="1668" spans="1:13" ht="15.75" customHeight="1" x14ac:dyDescent="0.25">
      <c r="A1668" s="24">
        <v>43389</v>
      </c>
      <c r="B1668" s="9" t="s">
        <v>52</v>
      </c>
      <c r="C1668" s="9">
        <v>1250</v>
      </c>
      <c r="D1668" s="9" t="s">
        <v>10</v>
      </c>
      <c r="E1668" s="19">
        <v>238.5</v>
      </c>
      <c r="F1668" s="19">
        <v>240</v>
      </c>
      <c r="G1668" s="9">
        <v>0</v>
      </c>
      <c r="H1668" s="15">
        <v>0</v>
      </c>
      <c r="I1668" s="8">
        <f t="shared" si="2205"/>
        <v>1875</v>
      </c>
      <c r="J1668" s="8">
        <v>0</v>
      </c>
      <c r="K1668" s="2">
        <v>0</v>
      </c>
      <c r="L1668" s="8">
        <f t="shared" si="2202"/>
        <v>1.5</v>
      </c>
      <c r="M1668" s="8">
        <f t="shared" si="2203"/>
        <v>1875</v>
      </c>
    </row>
    <row r="1669" spans="1:13" ht="15.75" customHeight="1" x14ac:dyDescent="0.25">
      <c r="A1669" s="24">
        <v>43389</v>
      </c>
      <c r="B1669" s="9" t="s">
        <v>14</v>
      </c>
      <c r="C1669" s="9">
        <v>30</v>
      </c>
      <c r="D1669" s="9" t="s">
        <v>10</v>
      </c>
      <c r="E1669" s="19">
        <v>39200</v>
      </c>
      <c r="F1669" s="19">
        <v>38930</v>
      </c>
      <c r="G1669" s="9">
        <v>0</v>
      </c>
      <c r="H1669" s="15">
        <v>0</v>
      </c>
      <c r="I1669" s="8">
        <f t="shared" si="2205"/>
        <v>-8100</v>
      </c>
      <c r="J1669" s="8">
        <v>0</v>
      </c>
      <c r="K1669" s="2">
        <v>0</v>
      </c>
      <c r="L1669" s="8">
        <f t="shared" ref="L1669:L1732" si="2206">(J1669+I1669+K1669)/C1669</f>
        <v>-270</v>
      </c>
      <c r="M1669" s="8">
        <f t="shared" ref="M1669:M1732" si="2207">L1669*C1669</f>
        <v>-8100</v>
      </c>
    </row>
    <row r="1670" spans="1:13" ht="15.75" customHeight="1" x14ac:dyDescent="0.25">
      <c r="A1670" s="24">
        <v>43388</v>
      </c>
      <c r="B1670" s="9" t="s">
        <v>34</v>
      </c>
      <c r="C1670" s="9">
        <v>100</v>
      </c>
      <c r="D1670" s="9" t="s">
        <v>11</v>
      </c>
      <c r="E1670" s="19">
        <v>5305</v>
      </c>
      <c r="F1670" s="19">
        <v>5280</v>
      </c>
      <c r="G1670" s="9">
        <v>5240</v>
      </c>
      <c r="H1670" s="15">
        <v>0</v>
      </c>
      <c r="I1670" s="8">
        <f t="shared" si="2205"/>
        <v>2500</v>
      </c>
      <c r="J1670" s="8">
        <f>(IF(D1670="SELL",IF(G1670="",0,F1670-G1670),IF(D1670="BUY",IF(G1670="",0,G1670-F1670))))*C1670</f>
        <v>4000</v>
      </c>
      <c r="K1670" s="2">
        <v>0</v>
      </c>
      <c r="L1670" s="8">
        <f t="shared" si="2206"/>
        <v>65</v>
      </c>
      <c r="M1670" s="8">
        <f t="shared" si="2207"/>
        <v>6500</v>
      </c>
    </row>
    <row r="1671" spans="1:13" ht="15.75" customHeight="1" x14ac:dyDescent="0.25">
      <c r="A1671" s="24">
        <v>43388</v>
      </c>
      <c r="B1671" s="9" t="s">
        <v>58</v>
      </c>
      <c r="C1671" s="9">
        <v>5000</v>
      </c>
      <c r="D1671" s="9" t="s">
        <v>10</v>
      </c>
      <c r="E1671" s="19">
        <v>151.30000000000001</v>
      </c>
      <c r="F1671" s="19">
        <v>152</v>
      </c>
      <c r="G1671" s="9">
        <v>0</v>
      </c>
      <c r="H1671" s="15">
        <v>0</v>
      </c>
      <c r="I1671" s="8">
        <f t="shared" si="2205"/>
        <v>3499.9999999999432</v>
      </c>
      <c r="J1671" s="8">
        <v>0</v>
      </c>
      <c r="K1671" s="2">
        <v>0</v>
      </c>
      <c r="L1671" s="8">
        <f t="shared" si="2206"/>
        <v>0.69999999999998863</v>
      </c>
      <c r="M1671" s="8">
        <f t="shared" si="2207"/>
        <v>3499.9999999999432</v>
      </c>
    </row>
    <row r="1672" spans="1:13" ht="15.75" customHeight="1" x14ac:dyDescent="0.25">
      <c r="A1672" s="24">
        <v>43388</v>
      </c>
      <c r="B1672" s="9" t="s">
        <v>58</v>
      </c>
      <c r="C1672" s="9">
        <v>5000</v>
      </c>
      <c r="D1672" s="9" t="s">
        <v>10</v>
      </c>
      <c r="E1672" s="19">
        <v>150.9</v>
      </c>
      <c r="F1672" s="19">
        <v>151.4</v>
      </c>
      <c r="G1672" s="9">
        <v>0</v>
      </c>
      <c r="H1672" s="15">
        <v>0</v>
      </c>
      <c r="I1672" s="8">
        <f t="shared" si="2205"/>
        <v>2500</v>
      </c>
      <c r="J1672" s="8">
        <v>0</v>
      </c>
      <c r="K1672" s="2">
        <v>0</v>
      </c>
      <c r="L1672" s="8">
        <f t="shared" si="2206"/>
        <v>0.5</v>
      </c>
      <c r="M1672" s="8">
        <f t="shared" si="2207"/>
        <v>2500</v>
      </c>
    </row>
    <row r="1673" spans="1:13" ht="15.75" customHeight="1" x14ac:dyDescent="0.25">
      <c r="A1673" s="24">
        <v>43388</v>
      </c>
      <c r="B1673" s="9" t="s">
        <v>14</v>
      </c>
      <c r="C1673" s="9">
        <v>30</v>
      </c>
      <c r="D1673" s="9" t="s">
        <v>10</v>
      </c>
      <c r="E1673" s="19">
        <v>39200</v>
      </c>
      <c r="F1673" s="19">
        <v>39350</v>
      </c>
      <c r="G1673" s="9">
        <v>0</v>
      </c>
      <c r="H1673" s="15">
        <v>0</v>
      </c>
      <c r="I1673" s="8">
        <f t="shared" si="2205"/>
        <v>4500</v>
      </c>
      <c r="J1673" s="8">
        <v>0</v>
      </c>
      <c r="K1673" s="2">
        <v>0</v>
      </c>
      <c r="L1673" s="8">
        <f t="shared" si="2206"/>
        <v>150</v>
      </c>
      <c r="M1673" s="8">
        <f t="shared" si="2207"/>
        <v>4500</v>
      </c>
    </row>
    <row r="1674" spans="1:13" ht="15.75" customHeight="1" x14ac:dyDescent="0.25">
      <c r="A1674" s="24">
        <v>43385</v>
      </c>
      <c r="B1674" s="9" t="s">
        <v>17</v>
      </c>
      <c r="C1674" s="9">
        <v>5000</v>
      </c>
      <c r="D1674" s="9" t="s">
        <v>10</v>
      </c>
      <c r="E1674" s="19">
        <v>198.5</v>
      </c>
      <c r="F1674" s="19">
        <v>199</v>
      </c>
      <c r="G1674" s="9">
        <v>0</v>
      </c>
      <c r="H1674" s="15">
        <v>0</v>
      </c>
      <c r="I1674" s="8">
        <f t="shared" si="2205"/>
        <v>2500</v>
      </c>
      <c r="J1674" s="8">
        <v>0</v>
      </c>
      <c r="K1674" s="2">
        <v>0</v>
      </c>
      <c r="L1674" s="8">
        <f t="shared" si="2206"/>
        <v>0.5</v>
      </c>
      <c r="M1674" s="8">
        <f t="shared" si="2207"/>
        <v>2500</v>
      </c>
    </row>
    <row r="1675" spans="1:13" ht="15.75" customHeight="1" x14ac:dyDescent="0.25">
      <c r="A1675" s="24">
        <v>43385</v>
      </c>
      <c r="B1675" s="9" t="s">
        <v>22</v>
      </c>
      <c r="C1675" s="9">
        <v>5000</v>
      </c>
      <c r="D1675" s="9" t="s">
        <v>10</v>
      </c>
      <c r="E1675" s="19">
        <v>150.5</v>
      </c>
      <c r="F1675" s="19">
        <v>151</v>
      </c>
      <c r="G1675" s="9">
        <v>0</v>
      </c>
      <c r="H1675" s="15">
        <v>0</v>
      </c>
      <c r="I1675" s="8">
        <f t="shared" si="2205"/>
        <v>2500</v>
      </c>
      <c r="J1675" s="8">
        <v>0</v>
      </c>
      <c r="K1675" s="2">
        <v>0</v>
      </c>
      <c r="L1675" s="8">
        <f t="shared" si="2206"/>
        <v>0.5</v>
      </c>
      <c r="M1675" s="8">
        <f t="shared" si="2207"/>
        <v>2500</v>
      </c>
    </row>
    <row r="1676" spans="1:13" ht="15.75" customHeight="1" x14ac:dyDescent="0.25">
      <c r="A1676" s="24">
        <v>43384</v>
      </c>
      <c r="B1676" s="9" t="s">
        <v>22</v>
      </c>
      <c r="C1676" s="9">
        <v>5000</v>
      </c>
      <c r="D1676" s="9" t="s">
        <v>10</v>
      </c>
      <c r="E1676" s="19">
        <v>150.80000000000001</v>
      </c>
      <c r="F1676" s="19">
        <v>151.5</v>
      </c>
      <c r="G1676" s="9">
        <v>0</v>
      </c>
      <c r="H1676" s="15">
        <v>0</v>
      </c>
      <c r="I1676" s="8">
        <f t="shared" si="2205"/>
        <v>3499.9999999999432</v>
      </c>
      <c r="J1676" s="8">
        <v>0</v>
      </c>
      <c r="K1676" s="2">
        <v>0</v>
      </c>
      <c r="L1676" s="8">
        <f t="shared" si="2206"/>
        <v>0.69999999999998863</v>
      </c>
      <c r="M1676" s="8">
        <f t="shared" si="2207"/>
        <v>3499.9999999999432</v>
      </c>
    </row>
    <row r="1677" spans="1:13" ht="15.75" customHeight="1" x14ac:dyDescent="0.25">
      <c r="A1677" s="24">
        <v>43384</v>
      </c>
      <c r="B1677" s="9" t="s">
        <v>14</v>
      </c>
      <c r="C1677" s="9">
        <v>30</v>
      </c>
      <c r="D1677" s="9" t="s">
        <v>10</v>
      </c>
      <c r="E1677" s="19">
        <v>38700</v>
      </c>
      <c r="F1677" s="19">
        <v>38850</v>
      </c>
      <c r="G1677" s="9">
        <v>0</v>
      </c>
      <c r="H1677" s="15">
        <v>0</v>
      </c>
      <c r="I1677" s="8">
        <f t="shared" si="2205"/>
        <v>4500</v>
      </c>
      <c r="J1677" s="8">
        <v>0</v>
      </c>
      <c r="K1677" s="2">
        <v>0</v>
      </c>
      <c r="L1677" s="8">
        <f t="shared" si="2206"/>
        <v>150</v>
      </c>
      <c r="M1677" s="8">
        <f t="shared" si="2207"/>
        <v>4500</v>
      </c>
    </row>
    <row r="1678" spans="1:13" ht="15.75" customHeight="1" x14ac:dyDescent="0.25">
      <c r="A1678" s="24">
        <v>43384</v>
      </c>
      <c r="B1678" s="9" t="s">
        <v>52</v>
      </c>
      <c r="C1678" s="9">
        <v>1250</v>
      </c>
      <c r="D1678" s="9" t="s">
        <v>11</v>
      </c>
      <c r="E1678" s="19">
        <v>241</v>
      </c>
      <c r="F1678" s="19">
        <v>239</v>
      </c>
      <c r="G1678" s="9">
        <v>0</v>
      </c>
      <c r="H1678" s="15">
        <v>0</v>
      </c>
      <c r="I1678" s="8">
        <f t="shared" si="2205"/>
        <v>2500</v>
      </c>
      <c r="J1678" s="8">
        <v>0</v>
      </c>
      <c r="K1678" s="2">
        <v>0</v>
      </c>
      <c r="L1678" s="8">
        <f t="shared" si="2206"/>
        <v>2</v>
      </c>
      <c r="M1678" s="8">
        <f t="shared" si="2207"/>
        <v>2500</v>
      </c>
    </row>
    <row r="1679" spans="1:13" ht="15.75" customHeight="1" x14ac:dyDescent="0.25">
      <c r="A1679" s="24">
        <v>43382</v>
      </c>
      <c r="B1679" s="9" t="s">
        <v>17</v>
      </c>
      <c r="C1679" s="9">
        <v>5000</v>
      </c>
      <c r="D1679" s="9" t="s">
        <v>10</v>
      </c>
      <c r="E1679" s="19">
        <v>202.5</v>
      </c>
      <c r="F1679" s="19">
        <v>203.6</v>
      </c>
      <c r="G1679" s="9">
        <v>0</v>
      </c>
      <c r="H1679" s="15">
        <v>0</v>
      </c>
      <c r="I1679" s="8">
        <f t="shared" si="2205"/>
        <v>5499.9999999999718</v>
      </c>
      <c r="J1679" s="8">
        <v>0</v>
      </c>
      <c r="K1679" s="2">
        <v>0</v>
      </c>
      <c r="L1679" s="8">
        <f t="shared" si="2206"/>
        <v>1.0999999999999943</v>
      </c>
      <c r="M1679" s="8">
        <f t="shared" si="2207"/>
        <v>5499.9999999999718</v>
      </c>
    </row>
    <row r="1680" spans="1:13" ht="15.75" customHeight="1" x14ac:dyDescent="0.25">
      <c r="A1680" s="24">
        <v>43382</v>
      </c>
      <c r="B1680" s="9" t="s">
        <v>29</v>
      </c>
      <c r="C1680" s="9">
        <v>1000</v>
      </c>
      <c r="D1680" s="9" t="s">
        <v>10</v>
      </c>
      <c r="E1680" s="19">
        <v>460.6</v>
      </c>
      <c r="F1680" s="19">
        <v>461.6</v>
      </c>
      <c r="G1680" s="9">
        <v>0</v>
      </c>
      <c r="H1680" s="15">
        <v>0</v>
      </c>
      <c r="I1680" s="8">
        <f t="shared" si="2205"/>
        <v>1000</v>
      </c>
      <c r="J1680" s="8">
        <v>0</v>
      </c>
      <c r="K1680" s="2">
        <v>0</v>
      </c>
      <c r="L1680" s="8">
        <f t="shared" si="2206"/>
        <v>1</v>
      </c>
      <c r="M1680" s="8">
        <f t="shared" si="2207"/>
        <v>1000</v>
      </c>
    </row>
    <row r="1681" spans="1:13" ht="15.75" customHeight="1" x14ac:dyDescent="0.25">
      <c r="A1681" s="24">
        <v>43382</v>
      </c>
      <c r="B1681" s="9" t="s">
        <v>16</v>
      </c>
      <c r="C1681" s="9">
        <v>100</v>
      </c>
      <c r="D1681" s="9" t="s">
        <v>10</v>
      </c>
      <c r="E1681" s="19">
        <v>5530</v>
      </c>
      <c r="F1681" s="19">
        <v>5550</v>
      </c>
      <c r="G1681" s="9">
        <v>0</v>
      </c>
      <c r="H1681" s="15">
        <v>0</v>
      </c>
      <c r="I1681" s="8">
        <f t="shared" si="2205"/>
        <v>2000</v>
      </c>
      <c r="J1681" s="8">
        <v>0</v>
      </c>
      <c r="K1681" s="2">
        <v>0</v>
      </c>
      <c r="L1681" s="8">
        <f t="shared" si="2206"/>
        <v>20</v>
      </c>
      <c r="M1681" s="8">
        <f t="shared" si="2207"/>
        <v>2000</v>
      </c>
    </row>
    <row r="1682" spans="1:13" ht="15.75" customHeight="1" x14ac:dyDescent="0.25">
      <c r="A1682" s="24">
        <v>43382</v>
      </c>
      <c r="B1682" s="9" t="s">
        <v>57</v>
      </c>
      <c r="C1682" s="9">
        <v>1250</v>
      </c>
      <c r="D1682" s="9" t="s">
        <v>10</v>
      </c>
      <c r="E1682" s="19">
        <v>244</v>
      </c>
      <c r="F1682" s="19">
        <v>245</v>
      </c>
      <c r="G1682" s="9">
        <v>0</v>
      </c>
      <c r="H1682" s="15">
        <v>0</v>
      </c>
      <c r="I1682" s="8">
        <f t="shared" si="2205"/>
        <v>1250</v>
      </c>
      <c r="J1682" s="8">
        <v>0</v>
      </c>
      <c r="K1682" s="2">
        <v>0</v>
      </c>
      <c r="L1682" s="8">
        <f t="shared" si="2206"/>
        <v>1</v>
      </c>
      <c r="M1682" s="8">
        <f t="shared" si="2207"/>
        <v>1250</v>
      </c>
    </row>
    <row r="1683" spans="1:13" ht="15.75" customHeight="1" x14ac:dyDescent="0.25">
      <c r="A1683" s="24">
        <v>43382</v>
      </c>
      <c r="B1683" s="9" t="s">
        <v>21</v>
      </c>
      <c r="C1683" s="9">
        <v>250</v>
      </c>
      <c r="D1683" s="9" t="s">
        <v>10</v>
      </c>
      <c r="E1683" s="19">
        <v>944</v>
      </c>
      <c r="F1683" s="19">
        <v>948</v>
      </c>
      <c r="G1683" s="9">
        <v>955</v>
      </c>
      <c r="H1683" s="15">
        <v>0</v>
      </c>
      <c r="I1683" s="8">
        <f t="shared" si="2205"/>
        <v>1000</v>
      </c>
      <c r="J1683" s="8">
        <f>(IF(D1683="SELL",IF(G1683="",0,F1683-G1683),IF(D1683="BUY",IF(G1683="",0,G1683-F1683))))*C1683</f>
        <v>1750</v>
      </c>
      <c r="K1683" s="2">
        <v>0</v>
      </c>
      <c r="L1683" s="8">
        <f t="shared" si="2206"/>
        <v>11</v>
      </c>
      <c r="M1683" s="8">
        <f t="shared" si="2207"/>
        <v>2750</v>
      </c>
    </row>
    <row r="1684" spans="1:13" ht="15.75" customHeight="1" x14ac:dyDescent="0.25">
      <c r="A1684" s="24">
        <v>43378</v>
      </c>
      <c r="B1684" s="9" t="s">
        <v>17</v>
      </c>
      <c r="C1684" s="9">
        <v>5000</v>
      </c>
      <c r="D1684" s="9" t="s">
        <v>10</v>
      </c>
      <c r="E1684" s="19">
        <v>195.4</v>
      </c>
      <c r="F1684" s="19">
        <v>195.9</v>
      </c>
      <c r="G1684" s="9">
        <v>0</v>
      </c>
      <c r="H1684" s="15">
        <v>0</v>
      </c>
      <c r="I1684" s="8">
        <f t="shared" si="2205"/>
        <v>2500</v>
      </c>
      <c r="J1684" s="8">
        <v>0</v>
      </c>
      <c r="K1684" s="2">
        <v>0</v>
      </c>
      <c r="L1684" s="8">
        <f t="shared" si="2206"/>
        <v>0.5</v>
      </c>
      <c r="M1684" s="8">
        <f t="shared" si="2207"/>
        <v>2500</v>
      </c>
    </row>
    <row r="1685" spans="1:13" ht="15.75" customHeight="1" x14ac:dyDescent="0.25">
      <c r="A1685" s="24">
        <v>43378</v>
      </c>
      <c r="B1685" s="9" t="s">
        <v>29</v>
      </c>
      <c r="C1685" s="9">
        <v>1000</v>
      </c>
      <c r="D1685" s="9" t="s">
        <v>10</v>
      </c>
      <c r="E1685" s="19">
        <v>453.8</v>
      </c>
      <c r="F1685" s="19">
        <v>455</v>
      </c>
      <c r="G1685" s="9">
        <v>467.5</v>
      </c>
      <c r="H1685" s="15">
        <v>0</v>
      </c>
      <c r="I1685" s="8">
        <f t="shared" si="2205"/>
        <v>1199.9999999999886</v>
      </c>
      <c r="J1685" s="8">
        <f>(IF(D1685="SELL",IF(G1685="",0,F1685-G1685),IF(D1685="BUY",IF(G1685="",0,G1685-F1685))))*C1685</f>
        <v>12500</v>
      </c>
      <c r="K1685" s="2">
        <v>0</v>
      </c>
      <c r="L1685" s="8">
        <f t="shared" si="2206"/>
        <v>13.699999999999989</v>
      </c>
      <c r="M1685" s="8">
        <f t="shared" si="2207"/>
        <v>13699.999999999989</v>
      </c>
    </row>
    <row r="1686" spans="1:13" ht="15.75" customHeight="1" x14ac:dyDescent="0.25">
      <c r="A1686" s="24">
        <v>43377</v>
      </c>
      <c r="B1686" s="9" t="s">
        <v>29</v>
      </c>
      <c r="C1686" s="9">
        <v>1000</v>
      </c>
      <c r="D1686" s="9" t="s">
        <v>10</v>
      </c>
      <c r="E1686" s="19">
        <v>464.3</v>
      </c>
      <c r="F1686" s="19">
        <v>465.5</v>
      </c>
      <c r="G1686" s="9">
        <v>467.5</v>
      </c>
      <c r="H1686" s="15">
        <v>0</v>
      </c>
      <c r="I1686" s="8">
        <f t="shared" si="2205"/>
        <v>1199.9999999999886</v>
      </c>
      <c r="J1686" s="8">
        <f>(IF(D1686="SELL",IF(G1686="",0,F1686-G1686),IF(D1686="BUY",IF(G1686="",0,G1686-F1686))))*C1686</f>
        <v>2000</v>
      </c>
      <c r="K1686" s="2">
        <v>0</v>
      </c>
      <c r="L1686" s="8">
        <f t="shared" si="2206"/>
        <v>3.1999999999999886</v>
      </c>
      <c r="M1686" s="8">
        <f t="shared" si="2207"/>
        <v>3199.9999999999886</v>
      </c>
    </row>
    <row r="1687" spans="1:13" ht="15.75" customHeight="1" x14ac:dyDescent="0.25">
      <c r="A1687" s="24">
        <v>43377</v>
      </c>
      <c r="B1687" s="9" t="s">
        <v>37</v>
      </c>
      <c r="C1687" s="9">
        <v>5000</v>
      </c>
      <c r="D1687" s="9" t="s">
        <v>10</v>
      </c>
      <c r="E1687" s="19">
        <v>167</v>
      </c>
      <c r="F1687" s="19">
        <v>167.5</v>
      </c>
      <c r="G1687" s="9">
        <v>0</v>
      </c>
      <c r="H1687" s="15">
        <v>0</v>
      </c>
      <c r="I1687" s="8">
        <f t="shared" ref="I1687:I1718" si="2208">(IF(D1687="SELL",E1687-F1687,IF(D1687="BUY",F1687-E1687)))*C1687</f>
        <v>2500</v>
      </c>
      <c r="J1687" s="8">
        <v>0</v>
      </c>
      <c r="K1687" s="2">
        <v>0</v>
      </c>
      <c r="L1687" s="8">
        <f t="shared" si="2206"/>
        <v>0.5</v>
      </c>
      <c r="M1687" s="8">
        <f t="shared" si="2207"/>
        <v>2500</v>
      </c>
    </row>
    <row r="1688" spans="1:13" ht="15.75" customHeight="1" x14ac:dyDescent="0.25">
      <c r="A1688" s="24">
        <v>43376</v>
      </c>
      <c r="B1688" s="9" t="s">
        <v>37</v>
      </c>
      <c r="C1688" s="9">
        <v>5000</v>
      </c>
      <c r="D1688" s="9" t="s">
        <v>10</v>
      </c>
      <c r="E1688" s="19">
        <v>155.19999999999999</v>
      </c>
      <c r="F1688" s="19">
        <v>155.69999999999999</v>
      </c>
      <c r="G1688" s="9">
        <v>156.6</v>
      </c>
      <c r="H1688" s="15">
        <v>159</v>
      </c>
      <c r="I1688" s="8">
        <f t="shared" si="2208"/>
        <v>2500</v>
      </c>
      <c r="J1688" s="8">
        <f>(IF(D1688="SELL",IF(G1688="",0,F1688-G1688),IF(D1688="BUY",IF(G1688="",0,G1688-F1688))))*C1688</f>
        <v>4500.0000000000282</v>
      </c>
      <c r="K1688" s="2">
        <f>(IF(D1688="SELL",IF(H1688="",0,G1688-H1688),IF(D1688="BUY",IF(H1688="",0,(H1688-G1688)))))*C1688</f>
        <v>12000.000000000029</v>
      </c>
      <c r="L1688" s="8">
        <f t="shared" si="2206"/>
        <v>3.8000000000000118</v>
      </c>
      <c r="M1688" s="8">
        <f t="shared" si="2207"/>
        <v>19000.000000000058</v>
      </c>
    </row>
    <row r="1689" spans="1:13" ht="15.75" customHeight="1" x14ac:dyDescent="0.25">
      <c r="A1689" s="24">
        <v>43374</v>
      </c>
      <c r="B1689" s="9" t="s">
        <v>16</v>
      </c>
      <c r="C1689" s="9">
        <v>100</v>
      </c>
      <c r="D1689" s="9" t="s">
        <v>10</v>
      </c>
      <c r="E1689" s="19">
        <v>5360</v>
      </c>
      <c r="F1689" s="19">
        <v>5380</v>
      </c>
      <c r="G1689" s="9">
        <v>5410</v>
      </c>
      <c r="H1689" s="15">
        <v>5445</v>
      </c>
      <c r="I1689" s="8">
        <f t="shared" si="2208"/>
        <v>2000</v>
      </c>
      <c r="J1689" s="8">
        <f>(IF(D1689="SELL",IF(G1689="",0,F1689-G1689),IF(D1689="BUY",IF(G1689="",0,G1689-F1689))))*C1689</f>
        <v>3000</v>
      </c>
      <c r="K1689" s="2">
        <f>(IF(D1689="SELL",IF(H1689="",0,G1689-H1689),IF(D1689="BUY",IF(H1689="",0,(H1689-G1689)))))*C1689</f>
        <v>3500</v>
      </c>
      <c r="L1689" s="8">
        <f t="shared" si="2206"/>
        <v>85</v>
      </c>
      <c r="M1689" s="8">
        <f t="shared" si="2207"/>
        <v>8500</v>
      </c>
    </row>
    <row r="1690" spans="1:13" ht="15.75" customHeight="1" x14ac:dyDescent="0.25">
      <c r="A1690" s="24">
        <v>43374</v>
      </c>
      <c r="B1690" s="9" t="s">
        <v>14</v>
      </c>
      <c r="C1690" s="9">
        <v>30</v>
      </c>
      <c r="D1690" s="9" t="s">
        <v>11</v>
      </c>
      <c r="E1690" s="19">
        <v>38560</v>
      </c>
      <c r="F1690" s="19">
        <v>38210</v>
      </c>
      <c r="G1690" s="9">
        <v>0</v>
      </c>
      <c r="H1690" s="15">
        <v>0</v>
      </c>
      <c r="I1690" s="8">
        <f t="shared" si="2208"/>
        <v>10500</v>
      </c>
      <c r="J1690" s="8">
        <v>0</v>
      </c>
      <c r="K1690" s="2">
        <v>0</v>
      </c>
      <c r="L1690" s="8">
        <f t="shared" si="2206"/>
        <v>350</v>
      </c>
      <c r="M1690" s="8">
        <f t="shared" si="2207"/>
        <v>10500</v>
      </c>
    </row>
    <row r="1691" spans="1:13" ht="15.75" customHeight="1" x14ac:dyDescent="0.25">
      <c r="A1691" s="24">
        <v>43374</v>
      </c>
      <c r="B1691" s="9" t="s">
        <v>31</v>
      </c>
      <c r="C1691" s="9">
        <v>250</v>
      </c>
      <c r="D1691" s="9" t="s">
        <v>11</v>
      </c>
      <c r="E1691" s="19">
        <v>909</v>
      </c>
      <c r="F1691" s="19">
        <v>905</v>
      </c>
      <c r="G1691" s="9">
        <v>0</v>
      </c>
      <c r="H1691" s="15">
        <v>0</v>
      </c>
      <c r="I1691" s="8">
        <f t="shared" si="2208"/>
        <v>1000</v>
      </c>
      <c r="J1691" s="8">
        <v>0</v>
      </c>
      <c r="K1691" s="2">
        <v>0</v>
      </c>
      <c r="L1691" s="8">
        <f t="shared" si="2206"/>
        <v>4</v>
      </c>
      <c r="M1691" s="8">
        <f t="shared" si="2207"/>
        <v>1000</v>
      </c>
    </row>
    <row r="1692" spans="1:13" ht="15.75" customHeight="1" x14ac:dyDescent="0.25">
      <c r="A1692" s="24">
        <v>43374</v>
      </c>
      <c r="B1692" s="9" t="s">
        <v>35</v>
      </c>
      <c r="C1692" s="9">
        <v>1250</v>
      </c>
      <c r="D1692" s="9" t="s">
        <v>10</v>
      </c>
      <c r="E1692" s="19">
        <v>149.5</v>
      </c>
      <c r="F1692" s="19">
        <v>150</v>
      </c>
      <c r="G1692" s="9">
        <v>0</v>
      </c>
      <c r="H1692" s="15">
        <v>0</v>
      </c>
      <c r="I1692" s="8">
        <f t="shared" si="2208"/>
        <v>625</v>
      </c>
      <c r="J1692" s="8">
        <v>0</v>
      </c>
      <c r="K1692" s="2">
        <v>0</v>
      </c>
      <c r="L1692" s="8">
        <f t="shared" si="2206"/>
        <v>0.5</v>
      </c>
      <c r="M1692" s="8">
        <f t="shared" si="2207"/>
        <v>625</v>
      </c>
    </row>
    <row r="1693" spans="1:13" ht="15.75" customHeight="1" x14ac:dyDescent="0.25">
      <c r="A1693" s="24">
        <v>43371</v>
      </c>
      <c r="B1693" s="9" t="s">
        <v>43</v>
      </c>
      <c r="C1693" s="9">
        <v>100</v>
      </c>
      <c r="D1693" s="9" t="s">
        <v>10</v>
      </c>
      <c r="E1693" s="19">
        <v>5305</v>
      </c>
      <c r="F1693" s="19">
        <v>5325</v>
      </c>
      <c r="G1693" s="9">
        <v>0</v>
      </c>
      <c r="H1693" s="15">
        <v>0</v>
      </c>
      <c r="I1693" s="8">
        <f t="shared" si="2208"/>
        <v>2000</v>
      </c>
      <c r="J1693" s="8">
        <v>0</v>
      </c>
      <c r="K1693" s="2">
        <v>0</v>
      </c>
      <c r="L1693" s="8">
        <f t="shared" si="2206"/>
        <v>20</v>
      </c>
      <c r="M1693" s="8">
        <f t="shared" si="2207"/>
        <v>2000</v>
      </c>
    </row>
    <row r="1694" spans="1:13" ht="15.75" customHeight="1" x14ac:dyDescent="0.25">
      <c r="A1694" s="24">
        <v>43371</v>
      </c>
      <c r="B1694" s="9" t="s">
        <v>18</v>
      </c>
      <c r="C1694" s="9">
        <v>1000</v>
      </c>
      <c r="D1694" s="9" t="s">
        <v>11</v>
      </c>
      <c r="E1694" s="19">
        <v>449.5</v>
      </c>
      <c r="F1694" s="19">
        <v>448.5</v>
      </c>
      <c r="G1694" s="9">
        <v>0</v>
      </c>
      <c r="H1694" s="15">
        <v>0</v>
      </c>
      <c r="I1694" s="8">
        <f t="shared" si="2208"/>
        <v>1000</v>
      </c>
      <c r="J1694" s="8">
        <v>0</v>
      </c>
      <c r="K1694" s="2">
        <v>0</v>
      </c>
      <c r="L1694" s="8">
        <f t="shared" si="2206"/>
        <v>1</v>
      </c>
      <c r="M1694" s="8">
        <f t="shared" si="2207"/>
        <v>1000</v>
      </c>
    </row>
    <row r="1695" spans="1:13" ht="15.75" customHeight="1" x14ac:dyDescent="0.25">
      <c r="A1695" s="24">
        <v>43371</v>
      </c>
      <c r="B1695" s="9" t="s">
        <v>31</v>
      </c>
      <c r="C1695" s="9">
        <v>1250</v>
      </c>
      <c r="D1695" s="9" t="s">
        <v>11</v>
      </c>
      <c r="E1695" s="19">
        <v>910.3</v>
      </c>
      <c r="F1695" s="19">
        <v>906</v>
      </c>
      <c r="G1695" s="9">
        <v>0</v>
      </c>
      <c r="H1695" s="15">
        <v>0</v>
      </c>
      <c r="I1695" s="8">
        <f t="shared" si="2208"/>
        <v>5374.9999999999436</v>
      </c>
      <c r="J1695" s="8">
        <v>0</v>
      </c>
      <c r="K1695" s="2">
        <v>0</v>
      </c>
      <c r="L1695" s="8">
        <f t="shared" si="2206"/>
        <v>4.2999999999999545</v>
      </c>
      <c r="M1695" s="8">
        <f t="shared" si="2207"/>
        <v>5374.9999999999436</v>
      </c>
    </row>
    <row r="1696" spans="1:13" ht="15.75" customHeight="1" x14ac:dyDescent="0.25">
      <c r="A1696" s="24">
        <v>43371</v>
      </c>
      <c r="B1696" s="9" t="s">
        <v>39</v>
      </c>
      <c r="C1696" s="9">
        <v>5000</v>
      </c>
      <c r="D1696" s="9" t="s">
        <v>10</v>
      </c>
      <c r="E1696" s="19">
        <v>186.2</v>
      </c>
      <c r="F1696" s="19">
        <v>186.7</v>
      </c>
      <c r="G1696" s="9">
        <v>0</v>
      </c>
      <c r="H1696" s="15">
        <v>0</v>
      </c>
      <c r="I1696" s="8">
        <f t="shared" si="2208"/>
        <v>2500</v>
      </c>
      <c r="J1696" s="8">
        <v>0</v>
      </c>
      <c r="K1696" s="2">
        <v>0</v>
      </c>
      <c r="L1696" s="8">
        <f t="shared" si="2206"/>
        <v>0.5</v>
      </c>
      <c r="M1696" s="8">
        <f t="shared" si="2207"/>
        <v>2500</v>
      </c>
    </row>
    <row r="1697" spans="1:13" ht="15.75" customHeight="1" x14ac:dyDescent="0.25">
      <c r="A1697" s="24">
        <v>43369</v>
      </c>
      <c r="B1697" s="9" t="s">
        <v>39</v>
      </c>
      <c r="C1697" s="9">
        <v>5000</v>
      </c>
      <c r="D1697" s="9" t="s">
        <v>10</v>
      </c>
      <c r="E1697" s="19">
        <v>184.7</v>
      </c>
      <c r="F1697" s="19">
        <v>185.3</v>
      </c>
      <c r="G1697" s="9">
        <v>0</v>
      </c>
      <c r="H1697" s="15">
        <v>0</v>
      </c>
      <c r="I1697" s="8">
        <f t="shared" si="2208"/>
        <v>3000.0000000001137</v>
      </c>
      <c r="J1697" s="8">
        <v>0</v>
      </c>
      <c r="K1697" s="2">
        <v>0</v>
      </c>
      <c r="L1697" s="8">
        <f t="shared" si="2206"/>
        <v>0.60000000000002274</v>
      </c>
      <c r="M1697" s="8">
        <f t="shared" si="2207"/>
        <v>3000.0000000001137</v>
      </c>
    </row>
    <row r="1698" spans="1:13" ht="15.75" customHeight="1" x14ac:dyDescent="0.25">
      <c r="A1698" s="24">
        <v>43369</v>
      </c>
      <c r="B1698" s="9" t="s">
        <v>31</v>
      </c>
      <c r="C1698" s="9">
        <v>250</v>
      </c>
      <c r="D1698" s="9" t="s">
        <v>10</v>
      </c>
      <c r="E1698" s="19">
        <v>940</v>
      </c>
      <c r="F1698" s="19">
        <v>945</v>
      </c>
      <c r="G1698" s="9">
        <v>0</v>
      </c>
      <c r="H1698" s="15">
        <v>0</v>
      </c>
      <c r="I1698" s="8">
        <f t="shared" si="2208"/>
        <v>1250</v>
      </c>
      <c r="J1698" s="8">
        <v>0</v>
      </c>
      <c r="K1698" s="2">
        <v>0</v>
      </c>
      <c r="L1698" s="8">
        <f t="shared" si="2206"/>
        <v>5</v>
      </c>
      <c r="M1698" s="8">
        <f t="shared" si="2207"/>
        <v>1250</v>
      </c>
    </row>
    <row r="1699" spans="1:13" ht="15.75" customHeight="1" x14ac:dyDescent="0.25">
      <c r="A1699" s="24">
        <v>43368</v>
      </c>
      <c r="B1699" s="9" t="s">
        <v>39</v>
      </c>
      <c r="C1699" s="9">
        <v>5000</v>
      </c>
      <c r="D1699" s="9" t="s">
        <v>10</v>
      </c>
      <c r="E1699" s="19">
        <v>183</v>
      </c>
      <c r="F1699" s="19">
        <v>183.7</v>
      </c>
      <c r="G1699" s="9">
        <v>0</v>
      </c>
      <c r="H1699" s="15">
        <v>0</v>
      </c>
      <c r="I1699" s="8">
        <f t="shared" si="2208"/>
        <v>3499.9999999999432</v>
      </c>
      <c r="J1699" s="8">
        <v>0</v>
      </c>
      <c r="K1699" s="2">
        <v>0</v>
      </c>
      <c r="L1699" s="8">
        <f t="shared" si="2206"/>
        <v>0.69999999999998863</v>
      </c>
      <c r="M1699" s="8">
        <f t="shared" si="2207"/>
        <v>3499.9999999999432</v>
      </c>
    </row>
    <row r="1700" spans="1:13" ht="15.75" customHeight="1" x14ac:dyDescent="0.25">
      <c r="A1700" s="24">
        <v>43368</v>
      </c>
      <c r="B1700" s="9" t="s">
        <v>31</v>
      </c>
      <c r="C1700" s="9">
        <v>250</v>
      </c>
      <c r="D1700" s="9" t="s">
        <v>11</v>
      </c>
      <c r="E1700" s="19">
        <v>932</v>
      </c>
      <c r="F1700" s="19">
        <v>927</v>
      </c>
      <c r="G1700" s="9">
        <v>0</v>
      </c>
      <c r="H1700" s="15">
        <v>0</v>
      </c>
      <c r="I1700" s="8">
        <f t="shared" si="2208"/>
        <v>1250</v>
      </c>
      <c r="J1700" s="8">
        <v>0</v>
      </c>
      <c r="K1700" s="2">
        <v>0</v>
      </c>
      <c r="L1700" s="8">
        <f t="shared" si="2206"/>
        <v>5</v>
      </c>
      <c r="M1700" s="8">
        <f t="shared" si="2207"/>
        <v>1250</v>
      </c>
    </row>
    <row r="1701" spans="1:13" ht="15.75" customHeight="1" x14ac:dyDescent="0.25">
      <c r="A1701" s="24">
        <v>43367</v>
      </c>
      <c r="B1701" s="9" t="s">
        <v>49</v>
      </c>
      <c r="C1701" s="9">
        <v>100</v>
      </c>
      <c r="D1701" s="9" t="s">
        <v>10</v>
      </c>
      <c r="E1701" s="19">
        <v>5250</v>
      </c>
      <c r="F1701" s="19">
        <v>5270</v>
      </c>
      <c r="G1701" s="9">
        <v>5299</v>
      </c>
      <c r="H1701" s="15">
        <v>0</v>
      </c>
      <c r="I1701" s="8">
        <f t="shared" si="2208"/>
        <v>2000</v>
      </c>
      <c r="J1701" s="8">
        <v>0</v>
      </c>
      <c r="K1701" s="2">
        <v>0</v>
      </c>
      <c r="L1701" s="8">
        <f t="shared" si="2206"/>
        <v>20</v>
      </c>
      <c r="M1701" s="8">
        <f t="shared" si="2207"/>
        <v>2000</v>
      </c>
    </row>
    <row r="1702" spans="1:13" ht="15.75" customHeight="1" x14ac:dyDescent="0.25">
      <c r="A1702" s="24">
        <v>43367</v>
      </c>
      <c r="B1702" s="9" t="s">
        <v>20</v>
      </c>
      <c r="C1702" s="9">
        <v>1250</v>
      </c>
      <c r="D1702" s="9" t="s">
        <v>10</v>
      </c>
      <c r="E1702" s="19">
        <v>217</v>
      </c>
      <c r="F1702" s="19">
        <v>218.5</v>
      </c>
      <c r="G1702" s="9">
        <v>220.5</v>
      </c>
      <c r="H1702" s="15">
        <v>0</v>
      </c>
      <c r="I1702" s="8">
        <f t="shared" si="2208"/>
        <v>1875</v>
      </c>
      <c r="J1702" s="8">
        <v>0</v>
      </c>
      <c r="K1702" s="2">
        <v>0</v>
      </c>
      <c r="L1702" s="8">
        <f t="shared" si="2206"/>
        <v>1.5</v>
      </c>
      <c r="M1702" s="8">
        <f t="shared" si="2207"/>
        <v>1875</v>
      </c>
    </row>
    <row r="1703" spans="1:13" ht="15.75" customHeight="1" x14ac:dyDescent="0.25">
      <c r="A1703" s="24">
        <v>43367</v>
      </c>
      <c r="B1703" s="9" t="s">
        <v>39</v>
      </c>
      <c r="C1703" s="9">
        <v>5000</v>
      </c>
      <c r="D1703" s="9" t="s">
        <v>10</v>
      </c>
      <c r="E1703" s="19">
        <v>184</v>
      </c>
      <c r="F1703" s="19">
        <v>184.6</v>
      </c>
      <c r="G1703" s="9">
        <v>0</v>
      </c>
      <c r="H1703" s="15">
        <v>0</v>
      </c>
      <c r="I1703" s="8">
        <f t="shared" si="2208"/>
        <v>2999.9999999999718</v>
      </c>
      <c r="J1703" s="8">
        <v>0</v>
      </c>
      <c r="K1703" s="2">
        <v>0</v>
      </c>
      <c r="L1703" s="8">
        <f t="shared" si="2206"/>
        <v>0.59999999999999432</v>
      </c>
      <c r="M1703" s="8">
        <f t="shared" si="2207"/>
        <v>2999.9999999999718</v>
      </c>
    </row>
    <row r="1704" spans="1:13" ht="15.75" customHeight="1" x14ac:dyDescent="0.25">
      <c r="A1704" s="24">
        <v>43364</v>
      </c>
      <c r="B1704" s="9" t="s">
        <v>39</v>
      </c>
      <c r="C1704" s="9">
        <v>5000</v>
      </c>
      <c r="D1704" s="9" t="s">
        <v>10</v>
      </c>
      <c r="E1704" s="19">
        <v>179.2</v>
      </c>
      <c r="F1704" s="19">
        <v>179.7</v>
      </c>
      <c r="G1704" s="9">
        <v>180.6</v>
      </c>
      <c r="H1704" s="15">
        <v>0</v>
      </c>
      <c r="I1704" s="8">
        <f t="shared" si="2208"/>
        <v>2500</v>
      </c>
      <c r="J1704" s="8">
        <f>(IF(D1704="SELL",IF(G1704="",0,F1704-G1704),IF(D1704="BUY",IF(G1704="",0,G1704-F1704))))*C1704</f>
        <v>4500.0000000000282</v>
      </c>
      <c r="K1704" s="2">
        <v>0</v>
      </c>
      <c r="L1704" s="8">
        <f t="shared" si="2206"/>
        <v>1.4000000000000057</v>
      </c>
      <c r="M1704" s="8">
        <f t="shared" si="2207"/>
        <v>7000.0000000000282</v>
      </c>
    </row>
    <row r="1705" spans="1:13" ht="15.75" customHeight="1" x14ac:dyDescent="0.25">
      <c r="A1705" s="24">
        <v>43364</v>
      </c>
      <c r="B1705" s="9" t="s">
        <v>29</v>
      </c>
      <c r="C1705" s="9">
        <v>1000</v>
      </c>
      <c r="D1705" s="9" t="s">
        <v>10</v>
      </c>
      <c r="E1705" s="19">
        <v>456.3</v>
      </c>
      <c r="F1705" s="19">
        <v>457.3</v>
      </c>
      <c r="G1705" s="9">
        <v>459.3</v>
      </c>
      <c r="H1705" s="15">
        <v>0</v>
      </c>
      <c r="I1705" s="8">
        <f t="shared" si="2208"/>
        <v>1000</v>
      </c>
      <c r="J1705" s="8">
        <f>(IF(D1705="SELL",IF(G1705="",0,F1705-G1705),IF(D1705="BUY",IF(G1705="",0,G1705-F1705))))*C1705</f>
        <v>2000</v>
      </c>
      <c r="K1705" s="2">
        <v>0</v>
      </c>
      <c r="L1705" s="8">
        <f t="shared" si="2206"/>
        <v>3</v>
      </c>
      <c r="M1705" s="8">
        <f t="shared" si="2207"/>
        <v>3000</v>
      </c>
    </row>
    <row r="1706" spans="1:13" ht="15.75" customHeight="1" x14ac:dyDescent="0.25">
      <c r="A1706" s="24">
        <v>43364</v>
      </c>
      <c r="B1706" s="9" t="s">
        <v>31</v>
      </c>
      <c r="C1706" s="9">
        <v>250</v>
      </c>
      <c r="D1706" s="9" t="s">
        <v>10</v>
      </c>
      <c r="E1706" s="19">
        <v>927</v>
      </c>
      <c r="F1706" s="19">
        <v>931</v>
      </c>
      <c r="G1706" s="9">
        <v>938</v>
      </c>
      <c r="H1706" s="15">
        <v>0</v>
      </c>
      <c r="I1706" s="8">
        <f t="shared" si="2208"/>
        <v>1000</v>
      </c>
      <c r="J1706" s="8">
        <f>(IF(D1706="SELL",IF(G1706="",0,F1706-G1706),IF(D1706="BUY",IF(G1706="",0,G1706-F1706))))*C1706</f>
        <v>1750</v>
      </c>
      <c r="K1706" s="2">
        <v>0</v>
      </c>
      <c r="L1706" s="8">
        <f t="shared" si="2206"/>
        <v>11</v>
      </c>
      <c r="M1706" s="8">
        <f t="shared" si="2207"/>
        <v>2750</v>
      </c>
    </row>
    <row r="1707" spans="1:13" ht="15.75" customHeight="1" x14ac:dyDescent="0.25">
      <c r="A1707" s="24">
        <v>43362</v>
      </c>
      <c r="B1707" s="9" t="s">
        <v>29</v>
      </c>
      <c r="C1707" s="9">
        <v>1000</v>
      </c>
      <c r="D1707" s="9" t="s">
        <v>10</v>
      </c>
      <c r="E1707" s="19">
        <v>444.3</v>
      </c>
      <c r="F1707" s="19">
        <v>441.3</v>
      </c>
      <c r="G1707" s="9">
        <v>0</v>
      </c>
      <c r="H1707" s="15">
        <v>0</v>
      </c>
      <c r="I1707" s="8">
        <f t="shared" si="2208"/>
        <v>-3000</v>
      </c>
      <c r="J1707" s="8">
        <v>0</v>
      </c>
      <c r="K1707" s="2">
        <v>0</v>
      </c>
      <c r="L1707" s="8">
        <f t="shared" si="2206"/>
        <v>-3</v>
      </c>
      <c r="M1707" s="8">
        <f t="shared" si="2207"/>
        <v>-3000</v>
      </c>
    </row>
    <row r="1708" spans="1:13" ht="15.75" customHeight="1" x14ac:dyDescent="0.25">
      <c r="A1708" s="24">
        <v>43362</v>
      </c>
      <c r="B1708" s="9" t="s">
        <v>31</v>
      </c>
      <c r="C1708" s="9">
        <v>250</v>
      </c>
      <c r="D1708" s="9" t="s">
        <v>10</v>
      </c>
      <c r="E1708" s="19">
        <v>909</v>
      </c>
      <c r="F1708" s="19">
        <v>899</v>
      </c>
      <c r="G1708" s="9">
        <v>0</v>
      </c>
      <c r="H1708" s="15">
        <v>0</v>
      </c>
      <c r="I1708" s="8">
        <f t="shared" si="2208"/>
        <v>-2500</v>
      </c>
      <c r="J1708" s="8">
        <v>0</v>
      </c>
      <c r="K1708" s="2">
        <v>0</v>
      </c>
      <c r="L1708" s="8">
        <f t="shared" si="2206"/>
        <v>-10</v>
      </c>
      <c r="M1708" s="8">
        <f t="shared" si="2207"/>
        <v>-2500</v>
      </c>
    </row>
    <row r="1709" spans="1:13" ht="15.75" customHeight="1" x14ac:dyDescent="0.25">
      <c r="A1709" s="24">
        <v>43362</v>
      </c>
      <c r="B1709" s="9" t="s">
        <v>49</v>
      </c>
      <c r="C1709" s="9">
        <v>100</v>
      </c>
      <c r="D1709" s="9" t="s">
        <v>10</v>
      </c>
      <c r="E1709" s="19">
        <v>5085</v>
      </c>
      <c r="F1709" s="19">
        <v>5105</v>
      </c>
      <c r="G1709" s="9">
        <v>5135</v>
      </c>
      <c r="H1709" s="15">
        <v>0</v>
      </c>
      <c r="I1709" s="8">
        <f t="shared" si="2208"/>
        <v>2000</v>
      </c>
      <c r="J1709" s="8">
        <f>(IF(D1709="SELL",IF(G1709="",0,F1709-G1709),IF(D1709="BUY",IF(G1709="",0,G1709-F1709))))*C1709</f>
        <v>3000</v>
      </c>
      <c r="K1709" s="2">
        <v>0</v>
      </c>
      <c r="L1709" s="8">
        <f t="shared" si="2206"/>
        <v>50</v>
      </c>
      <c r="M1709" s="8">
        <f t="shared" si="2207"/>
        <v>5000</v>
      </c>
    </row>
    <row r="1710" spans="1:13" ht="15.75" customHeight="1" x14ac:dyDescent="0.25">
      <c r="A1710" s="24">
        <v>43362</v>
      </c>
      <c r="B1710" s="9" t="s">
        <v>39</v>
      </c>
      <c r="C1710" s="9">
        <v>5000</v>
      </c>
      <c r="D1710" s="9" t="s">
        <v>10</v>
      </c>
      <c r="E1710" s="19">
        <v>173.6</v>
      </c>
      <c r="F1710" s="19">
        <v>174.2</v>
      </c>
      <c r="G1710" s="9">
        <v>175</v>
      </c>
      <c r="H1710" s="15">
        <v>0</v>
      </c>
      <c r="I1710" s="8">
        <f t="shared" si="2208"/>
        <v>2999.9999999999718</v>
      </c>
      <c r="J1710" s="8">
        <f>(IF(D1710="SELL",IF(G1710="",0,F1710-G1710),IF(D1710="BUY",IF(G1710="",0,G1710-F1710))))*C1710</f>
        <v>4000.0000000000568</v>
      </c>
      <c r="K1710" s="2">
        <v>0</v>
      </c>
      <c r="L1710" s="8">
        <f t="shared" si="2206"/>
        <v>1.4000000000000059</v>
      </c>
      <c r="M1710" s="8">
        <f t="shared" si="2207"/>
        <v>7000.0000000000291</v>
      </c>
    </row>
    <row r="1711" spans="1:13" ht="15.75" customHeight="1" x14ac:dyDescent="0.25">
      <c r="A1711" s="24">
        <v>43362</v>
      </c>
      <c r="B1711" s="9" t="s">
        <v>30</v>
      </c>
      <c r="C1711" s="9">
        <v>100</v>
      </c>
      <c r="D1711" s="9" t="s">
        <v>10</v>
      </c>
      <c r="E1711" s="19">
        <v>30820</v>
      </c>
      <c r="F1711" s="19">
        <v>30860</v>
      </c>
      <c r="G1711" s="9">
        <v>0</v>
      </c>
      <c r="H1711" s="15">
        <v>0</v>
      </c>
      <c r="I1711" s="8">
        <f t="shared" si="2208"/>
        <v>4000</v>
      </c>
      <c r="J1711" s="8">
        <v>0</v>
      </c>
      <c r="K1711" s="2">
        <v>0</v>
      </c>
      <c r="L1711" s="8">
        <f t="shared" si="2206"/>
        <v>40</v>
      </c>
      <c r="M1711" s="8">
        <f t="shared" si="2207"/>
        <v>4000</v>
      </c>
    </row>
    <row r="1712" spans="1:13" ht="15.75" customHeight="1" x14ac:dyDescent="0.25">
      <c r="A1712" s="24">
        <v>43361</v>
      </c>
      <c r="B1712" s="9" t="s">
        <v>56</v>
      </c>
      <c r="C1712" s="9">
        <v>100</v>
      </c>
      <c r="D1712" s="9" t="s">
        <v>10</v>
      </c>
      <c r="E1712" s="19">
        <v>5085</v>
      </c>
      <c r="F1712" s="19">
        <v>5103</v>
      </c>
      <c r="G1712" s="9">
        <v>0</v>
      </c>
      <c r="H1712" s="15">
        <v>0</v>
      </c>
      <c r="I1712" s="8">
        <f t="shared" si="2208"/>
        <v>1800</v>
      </c>
      <c r="J1712" s="8">
        <v>0</v>
      </c>
      <c r="K1712" s="2">
        <v>0</v>
      </c>
      <c r="L1712" s="8">
        <f t="shared" si="2206"/>
        <v>18</v>
      </c>
      <c r="M1712" s="8">
        <f t="shared" si="2207"/>
        <v>1800</v>
      </c>
    </row>
    <row r="1713" spans="1:13" ht="15.75" customHeight="1" x14ac:dyDescent="0.25">
      <c r="A1713" s="24">
        <v>43361</v>
      </c>
      <c r="B1713" s="9" t="s">
        <v>39</v>
      </c>
      <c r="C1713" s="9">
        <v>5000</v>
      </c>
      <c r="D1713" s="9" t="s">
        <v>10</v>
      </c>
      <c r="E1713" s="19">
        <v>171.4</v>
      </c>
      <c r="F1713" s="19">
        <v>171.9</v>
      </c>
      <c r="G1713" s="9">
        <v>0</v>
      </c>
      <c r="H1713" s="15">
        <v>0</v>
      </c>
      <c r="I1713" s="8">
        <f t="shared" si="2208"/>
        <v>2500</v>
      </c>
      <c r="J1713" s="8">
        <v>0</v>
      </c>
      <c r="K1713" s="2">
        <v>0</v>
      </c>
      <c r="L1713" s="8">
        <f t="shared" si="2206"/>
        <v>0.5</v>
      </c>
      <c r="M1713" s="8">
        <f t="shared" si="2207"/>
        <v>2500</v>
      </c>
    </row>
    <row r="1714" spans="1:13" ht="15.75" customHeight="1" x14ac:dyDescent="0.25">
      <c r="A1714" s="24">
        <v>43360</v>
      </c>
      <c r="B1714" s="9" t="s">
        <v>35</v>
      </c>
      <c r="C1714" s="9">
        <v>5000</v>
      </c>
      <c r="D1714" s="9" t="s">
        <v>10</v>
      </c>
      <c r="E1714" s="19">
        <v>147.9</v>
      </c>
      <c r="F1714" s="19">
        <v>148.5</v>
      </c>
      <c r="G1714" s="9">
        <v>0</v>
      </c>
      <c r="H1714" s="15">
        <v>0</v>
      </c>
      <c r="I1714" s="8">
        <f t="shared" si="2208"/>
        <v>2999.9999999999718</v>
      </c>
      <c r="J1714" s="8">
        <v>0</v>
      </c>
      <c r="K1714" s="2">
        <v>0</v>
      </c>
      <c r="L1714" s="8">
        <f t="shared" si="2206"/>
        <v>0.59999999999999432</v>
      </c>
      <c r="M1714" s="8">
        <f t="shared" si="2207"/>
        <v>2999.9999999999718</v>
      </c>
    </row>
    <row r="1715" spans="1:13" ht="15.75" customHeight="1" x14ac:dyDescent="0.25">
      <c r="A1715" s="24">
        <v>43355</v>
      </c>
      <c r="B1715" s="9" t="s">
        <v>36</v>
      </c>
      <c r="C1715" s="9">
        <v>100</v>
      </c>
      <c r="D1715" s="9" t="s">
        <v>10</v>
      </c>
      <c r="E1715" s="19">
        <v>5090</v>
      </c>
      <c r="F1715" s="19">
        <v>5048</v>
      </c>
      <c r="G1715" s="9">
        <v>0</v>
      </c>
      <c r="H1715" s="15">
        <v>0</v>
      </c>
      <c r="I1715" s="8">
        <f t="shared" si="2208"/>
        <v>-4200</v>
      </c>
      <c r="J1715" s="8">
        <v>0</v>
      </c>
      <c r="K1715" s="2">
        <v>0</v>
      </c>
      <c r="L1715" s="8">
        <f t="shared" si="2206"/>
        <v>-42</v>
      </c>
      <c r="M1715" s="8">
        <f t="shared" si="2207"/>
        <v>-4200</v>
      </c>
    </row>
    <row r="1716" spans="1:13" ht="15.75" customHeight="1" x14ac:dyDescent="0.25">
      <c r="A1716" s="24">
        <v>43355</v>
      </c>
      <c r="B1716" s="9" t="s">
        <v>39</v>
      </c>
      <c r="C1716" s="9">
        <v>5000</v>
      </c>
      <c r="D1716" s="9" t="s">
        <v>10</v>
      </c>
      <c r="E1716" s="19">
        <v>171.8</v>
      </c>
      <c r="F1716" s="19">
        <v>172.4</v>
      </c>
      <c r="G1716" s="9">
        <v>0</v>
      </c>
      <c r="H1716" s="15">
        <v>0</v>
      </c>
      <c r="I1716" s="8">
        <f t="shared" si="2208"/>
        <v>2999.9999999999718</v>
      </c>
      <c r="J1716" s="8">
        <v>0</v>
      </c>
      <c r="K1716" s="2">
        <v>0</v>
      </c>
      <c r="L1716" s="8">
        <f t="shared" si="2206"/>
        <v>0.59999999999999432</v>
      </c>
      <c r="M1716" s="8">
        <f t="shared" si="2207"/>
        <v>2999.9999999999718</v>
      </c>
    </row>
    <row r="1717" spans="1:13" ht="15.75" customHeight="1" x14ac:dyDescent="0.25">
      <c r="A1717" s="24">
        <v>43354</v>
      </c>
      <c r="B1717" s="9" t="s">
        <v>35</v>
      </c>
      <c r="C1717" s="9">
        <v>5000</v>
      </c>
      <c r="D1717" s="9" t="s">
        <v>11</v>
      </c>
      <c r="E1717" s="19">
        <v>143.5</v>
      </c>
      <c r="F1717" s="19">
        <v>142.9</v>
      </c>
      <c r="G1717" s="9">
        <v>142.1</v>
      </c>
      <c r="H1717" s="15">
        <v>0</v>
      </c>
      <c r="I1717" s="8">
        <f t="shared" si="2208"/>
        <v>2999.9999999999718</v>
      </c>
      <c r="J1717" s="8">
        <f>(IF(D1717="SELL",IF(G1717="",0,F1717-G1717),IF(D1717="BUY",IF(G1717="",0,G1717-F1717))))*C1717</f>
        <v>4000.0000000000568</v>
      </c>
      <c r="K1717" s="2">
        <v>0</v>
      </c>
      <c r="L1717" s="8">
        <f t="shared" si="2206"/>
        <v>1.4000000000000059</v>
      </c>
      <c r="M1717" s="8">
        <f t="shared" si="2207"/>
        <v>7000.0000000000291</v>
      </c>
    </row>
    <row r="1718" spans="1:13" ht="15.75" customHeight="1" x14ac:dyDescent="0.25">
      <c r="A1718" s="24">
        <v>43354</v>
      </c>
      <c r="B1718" s="9" t="s">
        <v>31</v>
      </c>
      <c r="C1718" s="9">
        <v>250</v>
      </c>
      <c r="D1718" s="9" t="s">
        <v>10</v>
      </c>
      <c r="E1718" s="19">
        <v>899.7</v>
      </c>
      <c r="F1718" s="19">
        <v>888</v>
      </c>
      <c r="G1718" s="9">
        <v>0</v>
      </c>
      <c r="H1718" s="15">
        <v>0</v>
      </c>
      <c r="I1718" s="8">
        <f t="shared" si="2208"/>
        <v>-2925.0000000000114</v>
      </c>
      <c r="J1718" s="8">
        <v>0</v>
      </c>
      <c r="K1718" s="2">
        <v>0</v>
      </c>
      <c r="L1718" s="8">
        <f t="shared" si="2206"/>
        <v>-11.700000000000045</v>
      </c>
      <c r="M1718" s="8">
        <f t="shared" si="2207"/>
        <v>-2925.0000000000114</v>
      </c>
    </row>
    <row r="1719" spans="1:13" ht="15.75" customHeight="1" x14ac:dyDescent="0.25">
      <c r="A1719" s="24">
        <v>43354</v>
      </c>
      <c r="B1719" s="9" t="s">
        <v>39</v>
      </c>
      <c r="C1719" s="9">
        <v>5000</v>
      </c>
      <c r="D1719" s="9" t="s">
        <v>11</v>
      </c>
      <c r="E1719" s="19">
        <v>172.2</v>
      </c>
      <c r="F1719" s="19">
        <v>171.6</v>
      </c>
      <c r="G1719" s="9">
        <v>170.5</v>
      </c>
      <c r="H1719" s="15">
        <v>0</v>
      </c>
      <c r="I1719" s="8">
        <f t="shared" ref="I1719:I1738" si="2209">(IF(D1719="SELL",E1719-F1719,IF(D1719="BUY",F1719-E1719)))*C1719</f>
        <v>2999.9999999999718</v>
      </c>
      <c r="J1719" s="8">
        <f>(IF(D1719="SELL",IF(G1719="",0,F1719-G1719),IF(D1719="BUY",IF(G1719="",0,G1719-F1719))))*C1719</f>
        <v>5499.9999999999718</v>
      </c>
      <c r="K1719" s="2">
        <v>0</v>
      </c>
      <c r="L1719" s="8">
        <f t="shared" si="2206"/>
        <v>1.6999999999999886</v>
      </c>
      <c r="M1719" s="8">
        <f t="shared" si="2207"/>
        <v>8499.9999999999436</v>
      </c>
    </row>
    <row r="1720" spans="1:13" ht="15.75" customHeight="1" x14ac:dyDescent="0.25">
      <c r="A1720" s="24">
        <v>43354</v>
      </c>
      <c r="B1720" s="9" t="s">
        <v>29</v>
      </c>
      <c r="C1720" s="9">
        <v>5000</v>
      </c>
      <c r="D1720" s="9" t="s">
        <v>10</v>
      </c>
      <c r="E1720" s="19">
        <v>429</v>
      </c>
      <c r="F1720" s="19">
        <v>430.2</v>
      </c>
      <c r="G1720" s="9">
        <v>0</v>
      </c>
      <c r="H1720" s="15">
        <v>0</v>
      </c>
      <c r="I1720" s="8">
        <f t="shared" si="2209"/>
        <v>5999.9999999999436</v>
      </c>
      <c r="J1720" s="8">
        <v>0</v>
      </c>
      <c r="K1720" s="2">
        <v>0</v>
      </c>
      <c r="L1720" s="8">
        <f t="shared" si="2206"/>
        <v>1.1999999999999886</v>
      </c>
      <c r="M1720" s="8">
        <f t="shared" si="2207"/>
        <v>5999.9999999999436</v>
      </c>
    </row>
    <row r="1721" spans="1:13" ht="15.75" customHeight="1" x14ac:dyDescent="0.25">
      <c r="A1721" s="24">
        <v>43353</v>
      </c>
      <c r="B1721" s="9" t="s">
        <v>31</v>
      </c>
      <c r="C1721" s="9">
        <v>250</v>
      </c>
      <c r="D1721" s="9" t="s">
        <v>10</v>
      </c>
      <c r="E1721" s="19">
        <v>894</v>
      </c>
      <c r="F1721" s="19">
        <v>899</v>
      </c>
      <c r="G1721" s="9">
        <v>0</v>
      </c>
      <c r="H1721" s="15">
        <v>0</v>
      </c>
      <c r="I1721" s="8">
        <f t="shared" si="2209"/>
        <v>1250</v>
      </c>
      <c r="J1721" s="8">
        <v>0</v>
      </c>
      <c r="K1721" s="2">
        <v>0</v>
      </c>
      <c r="L1721" s="8">
        <f t="shared" si="2206"/>
        <v>5</v>
      </c>
      <c r="M1721" s="8">
        <f t="shared" si="2207"/>
        <v>1250</v>
      </c>
    </row>
    <row r="1722" spans="1:13" ht="15.75" customHeight="1" x14ac:dyDescent="0.25">
      <c r="A1722" s="24">
        <v>43353</v>
      </c>
      <c r="B1722" s="9" t="s">
        <v>36</v>
      </c>
      <c r="C1722" s="9">
        <v>100</v>
      </c>
      <c r="D1722" s="9" t="s">
        <v>10</v>
      </c>
      <c r="E1722" s="19">
        <v>4950</v>
      </c>
      <c r="F1722" s="19">
        <v>4970</v>
      </c>
      <c r="G1722" s="9">
        <v>0</v>
      </c>
      <c r="H1722" s="15">
        <v>0</v>
      </c>
      <c r="I1722" s="8">
        <f t="shared" si="2209"/>
        <v>2000</v>
      </c>
      <c r="J1722" s="8">
        <v>0</v>
      </c>
      <c r="K1722" s="2">
        <v>0</v>
      </c>
      <c r="L1722" s="8">
        <f t="shared" si="2206"/>
        <v>20</v>
      </c>
      <c r="M1722" s="8">
        <f t="shared" si="2207"/>
        <v>2000</v>
      </c>
    </row>
    <row r="1723" spans="1:13" ht="15.75" customHeight="1" x14ac:dyDescent="0.25">
      <c r="A1723" s="24">
        <v>43350</v>
      </c>
      <c r="B1723" s="9" t="s">
        <v>29</v>
      </c>
      <c r="C1723" s="9">
        <v>1000</v>
      </c>
      <c r="D1723" s="9" t="s">
        <v>10</v>
      </c>
      <c r="E1723" s="19">
        <v>421</v>
      </c>
      <c r="F1723" s="19">
        <v>422.2</v>
      </c>
      <c r="G1723" s="9">
        <v>0</v>
      </c>
      <c r="H1723" s="15">
        <v>0</v>
      </c>
      <c r="I1723" s="8">
        <f t="shared" si="2209"/>
        <v>1199.9999999999886</v>
      </c>
      <c r="J1723" s="8">
        <v>0</v>
      </c>
      <c r="K1723" s="2">
        <v>0</v>
      </c>
      <c r="L1723" s="8">
        <f t="shared" si="2206"/>
        <v>1.1999999999999886</v>
      </c>
      <c r="M1723" s="8">
        <f t="shared" si="2207"/>
        <v>1199.9999999999886</v>
      </c>
    </row>
    <row r="1724" spans="1:13" ht="15.75" customHeight="1" x14ac:dyDescent="0.25">
      <c r="A1724" s="24">
        <v>43350</v>
      </c>
      <c r="B1724" s="9" t="s">
        <v>31</v>
      </c>
      <c r="C1724" s="9">
        <v>250</v>
      </c>
      <c r="D1724" s="9" t="s">
        <v>11</v>
      </c>
      <c r="E1724" s="19">
        <v>888.3</v>
      </c>
      <c r="F1724" s="19">
        <v>884</v>
      </c>
      <c r="G1724" s="9">
        <v>0</v>
      </c>
      <c r="H1724" s="15">
        <v>0</v>
      </c>
      <c r="I1724" s="8">
        <f t="shared" si="2209"/>
        <v>1074.9999999999886</v>
      </c>
      <c r="J1724" s="8">
        <v>0</v>
      </c>
      <c r="K1724" s="2">
        <v>0</v>
      </c>
      <c r="L1724" s="8">
        <f t="shared" si="2206"/>
        <v>4.2999999999999545</v>
      </c>
      <c r="M1724" s="8">
        <f t="shared" si="2207"/>
        <v>1074.9999999999886</v>
      </c>
    </row>
    <row r="1725" spans="1:13" ht="15.75" customHeight="1" x14ac:dyDescent="0.25">
      <c r="A1725" s="24">
        <v>43349</v>
      </c>
      <c r="B1725" s="9" t="s">
        <v>39</v>
      </c>
      <c r="C1725" s="9">
        <v>5000</v>
      </c>
      <c r="D1725" s="9" t="s">
        <v>10</v>
      </c>
      <c r="E1725" s="19">
        <v>177.1</v>
      </c>
      <c r="F1725" s="19">
        <v>177.6</v>
      </c>
      <c r="G1725" s="9">
        <v>178.5</v>
      </c>
      <c r="H1725" s="15">
        <v>0</v>
      </c>
      <c r="I1725" s="8">
        <f t="shared" si="2209"/>
        <v>2500</v>
      </c>
      <c r="J1725" s="8">
        <f>(IF(D1725="SELL",IF(G1725="",0,F1725-G1725),IF(D1725="BUY",IF(G1725="",0,G1725-F1725))))*C1725</f>
        <v>4500.0000000000282</v>
      </c>
      <c r="K1725" s="2">
        <v>0</v>
      </c>
      <c r="L1725" s="8">
        <f t="shared" si="2206"/>
        <v>1.4000000000000057</v>
      </c>
      <c r="M1725" s="8">
        <f t="shared" si="2207"/>
        <v>7000.0000000000282</v>
      </c>
    </row>
    <row r="1726" spans="1:13" ht="15.75" customHeight="1" x14ac:dyDescent="0.25">
      <c r="A1726" s="24">
        <v>43349</v>
      </c>
      <c r="B1726" s="9" t="s">
        <v>30</v>
      </c>
      <c r="C1726" s="9">
        <v>100</v>
      </c>
      <c r="D1726" s="9" t="s">
        <v>10</v>
      </c>
      <c r="E1726" s="19">
        <v>30580</v>
      </c>
      <c r="F1726" s="19">
        <v>30630</v>
      </c>
      <c r="G1726" s="9">
        <v>0</v>
      </c>
      <c r="H1726" s="15">
        <v>0</v>
      </c>
      <c r="I1726" s="8">
        <f t="shared" si="2209"/>
        <v>5000</v>
      </c>
      <c r="J1726" s="8">
        <v>0</v>
      </c>
      <c r="K1726" s="2">
        <v>0</v>
      </c>
      <c r="L1726" s="8">
        <f t="shared" si="2206"/>
        <v>50</v>
      </c>
      <c r="M1726" s="8">
        <f t="shared" si="2207"/>
        <v>5000</v>
      </c>
    </row>
    <row r="1727" spans="1:13" ht="15.75" customHeight="1" x14ac:dyDescent="0.25">
      <c r="A1727" s="24">
        <v>43349</v>
      </c>
      <c r="B1727" s="9" t="s">
        <v>29</v>
      </c>
      <c r="C1727" s="9">
        <v>1000</v>
      </c>
      <c r="D1727" s="9" t="s">
        <v>10</v>
      </c>
      <c r="E1727" s="19">
        <v>421.8</v>
      </c>
      <c r="F1727" s="19">
        <v>423</v>
      </c>
      <c r="G1727" s="9">
        <v>425</v>
      </c>
      <c r="H1727" s="15">
        <v>0</v>
      </c>
      <c r="I1727" s="8">
        <f t="shared" si="2209"/>
        <v>1199.9999999999886</v>
      </c>
      <c r="J1727" s="8">
        <f>(IF(D1727="SELL",IF(G1727="",0,F1727-G1727),IF(D1727="BUY",IF(G1727="",0,G1727-F1727))))*C1727</f>
        <v>2000</v>
      </c>
      <c r="K1727" s="2">
        <v>0</v>
      </c>
      <c r="L1727" s="8">
        <f t="shared" si="2206"/>
        <v>3.1999999999999886</v>
      </c>
      <c r="M1727" s="8">
        <f t="shared" si="2207"/>
        <v>3199.9999999999886</v>
      </c>
    </row>
    <row r="1728" spans="1:13" ht="15.75" customHeight="1" x14ac:dyDescent="0.25">
      <c r="A1728" s="24">
        <v>43348</v>
      </c>
      <c r="B1728" s="9" t="s">
        <v>29</v>
      </c>
      <c r="C1728" s="9">
        <v>1000</v>
      </c>
      <c r="D1728" s="9" t="s">
        <v>10</v>
      </c>
      <c r="E1728" s="19">
        <v>419</v>
      </c>
      <c r="F1728" s="19">
        <v>420</v>
      </c>
      <c r="G1728" s="9">
        <v>0</v>
      </c>
      <c r="H1728" s="15">
        <v>0</v>
      </c>
      <c r="I1728" s="8">
        <f t="shared" si="2209"/>
        <v>1000</v>
      </c>
      <c r="J1728" s="8">
        <v>0</v>
      </c>
      <c r="K1728" s="2">
        <v>0</v>
      </c>
      <c r="L1728" s="8">
        <f t="shared" si="2206"/>
        <v>1</v>
      </c>
      <c r="M1728" s="8">
        <f t="shared" si="2207"/>
        <v>1000</v>
      </c>
    </row>
    <row r="1729" spans="1:13" ht="15.75" customHeight="1" x14ac:dyDescent="0.25">
      <c r="A1729" s="24">
        <v>43348</v>
      </c>
      <c r="B1729" s="9" t="s">
        <v>49</v>
      </c>
      <c r="C1729" s="9">
        <v>100</v>
      </c>
      <c r="D1729" s="9" t="s">
        <v>11</v>
      </c>
      <c r="E1729" s="19">
        <v>4960</v>
      </c>
      <c r="F1729" s="19">
        <v>4942</v>
      </c>
      <c r="G1729" s="9">
        <v>0</v>
      </c>
      <c r="H1729" s="15">
        <v>0</v>
      </c>
      <c r="I1729" s="8">
        <f t="shared" si="2209"/>
        <v>1800</v>
      </c>
      <c r="J1729" s="8">
        <v>0</v>
      </c>
      <c r="K1729" s="2">
        <v>0</v>
      </c>
      <c r="L1729" s="8">
        <f t="shared" si="2206"/>
        <v>18</v>
      </c>
      <c r="M1729" s="8">
        <f t="shared" si="2207"/>
        <v>1800</v>
      </c>
    </row>
    <row r="1730" spans="1:13" ht="15.75" customHeight="1" x14ac:dyDescent="0.25">
      <c r="A1730" s="24">
        <v>43348</v>
      </c>
      <c r="B1730" s="9" t="s">
        <v>39</v>
      </c>
      <c r="C1730" s="9">
        <v>5000</v>
      </c>
      <c r="D1730" s="9" t="s">
        <v>10</v>
      </c>
      <c r="E1730" s="19">
        <v>174.5</v>
      </c>
      <c r="F1730" s="19">
        <v>175.1</v>
      </c>
      <c r="G1730" s="9">
        <v>176</v>
      </c>
      <c r="H1730" s="15">
        <v>0</v>
      </c>
      <c r="I1730" s="8">
        <f t="shared" si="2209"/>
        <v>2999.9999999999718</v>
      </c>
      <c r="J1730" s="8">
        <v>0</v>
      </c>
      <c r="K1730" s="2">
        <v>0</v>
      </c>
      <c r="L1730" s="8">
        <f t="shared" si="2206"/>
        <v>0.59999999999999432</v>
      </c>
      <c r="M1730" s="8">
        <f t="shared" si="2207"/>
        <v>2999.9999999999718</v>
      </c>
    </row>
    <row r="1731" spans="1:13" ht="15.75" customHeight="1" x14ac:dyDescent="0.25">
      <c r="A1731" s="24">
        <v>43347</v>
      </c>
      <c r="B1731" s="9" t="s">
        <v>29</v>
      </c>
      <c r="C1731" s="9">
        <v>1000</v>
      </c>
      <c r="D1731" s="9" t="s">
        <v>11</v>
      </c>
      <c r="E1731" s="19">
        <v>422</v>
      </c>
      <c r="F1731" s="19">
        <v>421</v>
      </c>
      <c r="G1731" s="9">
        <v>419</v>
      </c>
      <c r="H1731" s="15">
        <v>0</v>
      </c>
      <c r="I1731" s="8">
        <f t="shared" si="2209"/>
        <v>1000</v>
      </c>
      <c r="J1731" s="8">
        <f>(IF(D1731="SELL",IF(G1731="",0,F1731-G1731),IF(D1731="BUY",IF(G1731="",0,G1731-F1731))))*C1731</f>
        <v>2000</v>
      </c>
      <c r="K1731" s="2">
        <v>0</v>
      </c>
      <c r="L1731" s="8">
        <f t="shared" si="2206"/>
        <v>3</v>
      </c>
      <c r="M1731" s="8">
        <f t="shared" si="2207"/>
        <v>3000</v>
      </c>
    </row>
    <row r="1732" spans="1:13" ht="15.75" customHeight="1" x14ac:dyDescent="0.25">
      <c r="A1732" s="24">
        <v>43347</v>
      </c>
      <c r="B1732" s="9" t="s">
        <v>31</v>
      </c>
      <c r="C1732" s="9">
        <v>250</v>
      </c>
      <c r="D1732" s="9" t="s">
        <v>11</v>
      </c>
      <c r="E1732" s="19">
        <v>905</v>
      </c>
      <c r="F1732" s="19">
        <v>901</v>
      </c>
      <c r="G1732" s="9">
        <v>0</v>
      </c>
      <c r="H1732" s="15">
        <v>0</v>
      </c>
      <c r="I1732" s="8">
        <f t="shared" si="2209"/>
        <v>1000</v>
      </c>
      <c r="J1732" s="8">
        <v>0</v>
      </c>
      <c r="K1732" s="2">
        <v>0</v>
      </c>
      <c r="L1732" s="8">
        <f t="shared" si="2206"/>
        <v>4</v>
      </c>
      <c r="M1732" s="8">
        <f t="shared" si="2207"/>
        <v>1000</v>
      </c>
    </row>
    <row r="1733" spans="1:13" ht="15.75" customHeight="1" x14ac:dyDescent="0.25">
      <c r="A1733" s="24">
        <v>43347</v>
      </c>
      <c r="B1733" s="9" t="s">
        <v>39</v>
      </c>
      <c r="C1733" s="9">
        <v>5000</v>
      </c>
      <c r="D1733" s="9" t="s">
        <v>10</v>
      </c>
      <c r="E1733" s="19">
        <v>177</v>
      </c>
      <c r="F1733" s="19">
        <v>175.9</v>
      </c>
      <c r="G1733" s="9">
        <v>0</v>
      </c>
      <c r="H1733" s="15">
        <v>0</v>
      </c>
      <c r="I1733" s="8">
        <f t="shared" si="2209"/>
        <v>-5499.9999999999718</v>
      </c>
      <c r="J1733" s="8">
        <v>0</v>
      </c>
      <c r="K1733" s="2">
        <v>0</v>
      </c>
      <c r="L1733" s="8">
        <f t="shared" ref="L1733:L1796" si="2210">(J1733+I1733+K1733)/C1733</f>
        <v>-1.0999999999999943</v>
      </c>
      <c r="M1733" s="8">
        <f t="shared" ref="M1733:M1796" si="2211">L1733*C1733</f>
        <v>-5499.9999999999718</v>
      </c>
    </row>
    <row r="1734" spans="1:13" ht="15.75" customHeight="1" x14ac:dyDescent="0.25">
      <c r="A1734" s="24">
        <v>43347</v>
      </c>
      <c r="B1734" s="9" t="s">
        <v>16</v>
      </c>
      <c r="C1734" s="9">
        <v>100</v>
      </c>
      <c r="D1734" s="9" t="s">
        <v>11</v>
      </c>
      <c r="E1734" s="19">
        <v>4994</v>
      </c>
      <c r="F1734" s="19">
        <v>5045</v>
      </c>
      <c r="G1734" s="9">
        <v>0</v>
      </c>
      <c r="H1734" s="15">
        <v>0</v>
      </c>
      <c r="I1734" s="8">
        <f t="shared" si="2209"/>
        <v>-5100</v>
      </c>
      <c r="J1734" s="8">
        <v>0</v>
      </c>
      <c r="K1734" s="2">
        <v>0</v>
      </c>
      <c r="L1734" s="8">
        <f t="shared" si="2210"/>
        <v>-51</v>
      </c>
      <c r="M1734" s="8">
        <f t="shared" si="2211"/>
        <v>-5100</v>
      </c>
    </row>
    <row r="1735" spans="1:13" ht="15.75" customHeight="1" x14ac:dyDescent="0.25">
      <c r="A1735" s="24">
        <v>43346</v>
      </c>
      <c r="B1735" s="9" t="s">
        <v>35</v>
      </c>
      <c r="C1735" s="9">
        <v>5000</v>
      </c>
      <c r="D1735" s="9" t="s">
        <v>10</v>
      </c>
      <c r="E1735" s="19">
        <v>148.9</v>
      </c>
      <c r="F1735" s="19">
        <v>149.5</v>
      </c>
      <c r="G1735" s="9">
        <v>150.30000000000001</v>
      </c>
      <c r="H1735" s="15">
        <v>0</v>
      </c>
      <c r="I1735" s="8">
        <f t="shared" si="2209"/>
        <v>2999.9999999999718</v>
      </c>
      <c r="J1735" s="8">
        <f>(IF(D1735="SELL",IF(G1735="",0,F1735-G1735),IF(D1735="BUY",IF(G1735="",0,G1735-F1735))))*C1735</f>
        <v>4000.0000000000568</v>
      </c>
      <c r="K1735" s="2">
        <v>0</v>
      </c>
      <c r="L1735" s="8">
        <f t="shared" si="2210"/>
        <v>1.4000000000000059</v>
      </c>
      <c r="M1735" s="8">
        <f t="shared" si="2211"/>
        <v>7000.0000000000291</v>
      </c>
    </row>
    <row r="1736" spans="1:13" ht="15.75" customHeight="1" x14ac:dyDescent="0.25">
      <c r="A1736" s="24">
        <v>43346</v>
      </c>
      <c r="B1736" s="9" t="s">
        <v>16</v>
      </c>
      <c r="C1736" s="9">
        <v>100</v>
      </c>
      <c r="D1736" s="9" t="s">
        <v>10</v>
      </c>
      <c r="E1736" s="19">
        <v>4971</v>
      </c>
      <c r="F1736" s="19">
        <v>4990</v>
      </c>
      <c r="G1736" s="9">
        <v>0</v>
      </c>
      <c r="H1736" s="15">
        <v>0</v>
      </c>
      <c r="I1736" s="8">
        <f t="shared" si="2209"/>
        <v>1900</v>
      </c>
      <c r="J1736" s="8">
        <v>0</v>
      </c>
      <c r="K1736" s="2">
        <v>0</v>
      </c>
      <c r="L1736" s="8">
        <f t="shared" si="2210"/>
        <v>19</v>
      </c>
      <c r="M1736" s="8">
        <f t="shared" si="2211"/>
        <v>1900</v>
      </c>
    </row>
    <row r="1737" spans="1:13" ht="15.75" customHeight="1" x14ac:dyDescent="0.25">
      <c r="A1737" s="24">
        <v>43346</v>
      </c>
      <c r="B1737" s="9" t="s">
        <v>39</v>
      </c>
      <c r="C1737" s="9">
        <v>5000</v>
      </c>
      <c r="D1737" s="9" t="s">
        <v>11</v>
      </c>
      <c r="E1737" s="19">
        <v>174.6</v>
      </c>
      <c r="F1737" s="19">
        <v>174.1</v>
      </c>
      <c r="G1737" s="9">
        <v>0</v>
      </c>
      <c r="H1737" s="15">
        <v>0</v>
      </c>
      <c r="I1737" s="8">
        <f t="shared" si="2209"/>
        <v>2500</v>
      </c>
      <c r="J1737" s="8">
        <v>0</v>
      </c>
      <c r="K1737" s="2">
        <v>0</v>
      </c>
      <c r="L1737" s="8">
        <f t="shared" si="2210"/>
        <v>0.5</v>
      </c>
      <c r="M1737" s="8">
        <f t="shared" si="2211"/>
        <v>2500</v>
      </c>
    </row>
    <row r="1738" spans="1:13" ht="15.75" customHeight="1" x14ac:dyDescent="0.25">
      <c r="A1738" s="24">
        <v>43343</v>
      </c>
      <c r="B1738" s="9" t="s">
        <v>31</v>
      </c>
      <c r="C1738" s="9">
        <v>250</v>
      </c>
      <c r="D1738" s="9" t="s">
        <v>11</v>
      </c>
      <c r="E1738" s="19">
        <v>938</v>
      </c>
      <c r="F1738" s="19">
        <v>934</v>
      </c>
      <c r="G1738" s="9">
        <v>0</v>
      </c>
      <c r="H1738" s="15">
        <v>0</v>
      </c>
      <c r="I1738" s="8">
        <f t="shared" si="2209"/>
        <v>1000</v>
      </c>
      <c r="J1738" s="8">
        <v>0</v>
      </c>
      <c r="K1738" s="2">
        <v>0</v>
      </c>
      <c r="L1738" s="8">
        <f t="shared" si="2210"/>
        <v>4</v>
      </c>
      <c r="M1738" s="8">
        <f t="shared" si="2211"/>
        <v>1000</v>
      </c>
    </row>
    <row r="1739" spans="1:13" ht="15.75" customHeight="1" x14ac:dyDescent="0.25">
      <c r="A1739" s="24">
        <v>43342</v>
      </c>
      <c r="B1739" s="9" t="s">
        <v>55</v>
      </c>
      <c r="C1739" s="9">
        <v>100</v>
      </c>
      <c r="D1739" s="9" t="s">
        <v>10</v>
      </c>
      <c r="E1739" s="19">
        <v>4966</v>
      </c>
      <c r="F1739" s="19">
        <v>0</v>
      </c>
      <c r="G1739" s="9">
        <v>0</v>
      </c>
      <c r="H1739" s="15">
        <v>0</v>
      </c>
      <c r="I1739" s="8">
        <v>0</v>
      </c>
      <c r="J1739" s="8">
        <v>0</v>
      </c>
      <c r="K1739" s="2">
        <v>0</v>
      </c>
      <c r="L1739" s="8">
        <f t="shared" si="2210"/>
        <v>0</v>
      </c>
      <c r="M1739" s="8">
        <f t="shared" si="2211"/>
        <v>0</v>
      </c>
    </row>
    <row r="1740" spans="1:13" ht="15.75" customHeight="1" x14ac:dyDescent="0.25">
      <c r="A1740" s="24">
        <v>43341</v>
      </c>
      <c r="B1740" s="9" t="s">
        <v>16</v>
      </c>
      <c r="C1740" s="9">
        <v>100</v>
      </c>
      <c r="D1740" s="9" t="s">
        <v>10</v>
      </c>
      <c r="E1740" s="19">
        <v>4853</v>
      </c>
      <c r="F1740" s="19">
        <v>4870</v>
      </c>
      <c r="G1740" s="9">
        <v>4899</v>
      </c>
      <c r="H1740" s="15">
        <v>0</v>
      </c>
      <c r="I1740" s="8">
        <f t="shared" ref="I1740:I1760" si="2212">(IF(D1740="SELL",E1740-F1740,IF(D1740="BUY",F1740-E1740)))*C1740</f>
        <v>1700</v>
      </c>
      <c r="J1740" s="8">
        <f>(IF(D1740="SELL",IF(G1740="",0,F1740-G1740),IF(D1740="BUY",IF(G1740="",0,G1740-F1740))))*C1740</f>
        <v>2900</v>
      </c>
      <c r="K1740" s="2">
        <v>0</v>
      </c>
      <c r="L1740" s="8">
        <f t="shared" si="2210"/>
        <v>46</v>
      </c>
      <c r="M1740" s="8">
        <f t="shared" si="2211"/>
        <v>4600</v>
      </c>
    </row>
    <row r="1741" spans="1:13" ht="15.75" customHeight="1" x14ac:dyDescent="0.25">
      <c r="A1741" s="24">
        <v>43340</v>
      </c>
      <c r="B1741" s="9" t="s">
        <v>30</v>
      </c>
      <c r="C1741" s="9">
        <v>100</v>
      </c>
      <c r="D1741" s="9" t="s">
        <v>10</v>
      </c>
      <c r="E1741" s="19">
        <v>30108</v>
      </c>
      <c r="F1741" s="19">
        <v>30150</v>
      </c>
      <c r="G1741" s="9">
        <v>0</v>
      </c>
      <c r="H1741" s="15">
        <v>0</v>
      </c>
      <c r="I1741" s="8">
        <f t="shared" si="2212"/>
        <v>4200</v>
      </c>
      <c r="J1741" s="8">
        <v>0</v>
      </c>
      <c r="K1741" s="2">
        <v>0</v>
      </c>
      <c r="L1741" s="8">
        <f t="shared" si="2210"/>
        <v>42</v>
      </c>
      <c r="M1741" s="8">
        <f t="shared" si="2211"/>
        <v>4200</v>
      </c>
    </row>
    <row r="1742" spans="1:13" ht="15.75" customHeight="1" x14ac:dyDescent="0.25">
      <c r="A1742" s="24">
        <v>43340</v>
      </c>
      <c r="B1742" s="9" t="s">
        <v>31</v>
      </c>
      <c r="C1742" s="9">
        <v>250</v>
      </c>
      <c r="D1742" s="9" t="s">
        <v>10</v>
      </c>
      <c r="E1742" s="19">
        <v>937</v>
      </c>
      <c r="F1742" s="19">
        <v>941</v>
      </c>
      <c r="G1742" s="9">
        <v>0</v>
      </c>
      <c r="H1742" s="15">
        <v>0</v>
      </c>
      <c r="I1742" s="8">
        <f t="shared" si="2212"/>
        <v>1000</v>
      </c>
      <c r="J1742" s="8">
        <v>0</v>
      </c>
      <c r="K1742" s="2">
        <v>0</v>
      </c>
      <c r="L1742" s="8">
        <f t="shared" si="2210"/>
        <v>4</v>
      </c>
      <c r="M1742" s="8">
        <f t="shared" si="2211"/>
        <v>1000</v>
      </c>
    </row>
    <row r="1743" spans="1:13" ht="15.75" customHeight="1" x14ac:dyDescent="0.25">
      <c r="A1743" s="24">
        <v>43340</v>
      </c>
      <c r="B1743" s="9" t="s">
        <v>39</v>
      </c>
      <c r="C1743" s="9">
        <v>5000</v>
      </c>
      <c r="D1743" s="9" t="s">
        <v>10</v>
      </c>
      <c r="E1743" s="19">
        <v>179.8</v>
      </c>
      <c r="F1743" s="19">
        <v>180.3</v>
      </c>
      <c r="G1743" s="9">
        <v>0</v>
      </c>
      <c r="H1743" s="15">
        <v>0</v>
      </c>
      <c r="I1743" s="8">
        <f t="shared" si="2212"/>
        <v>2500</v>
      </c>
      <c r="J1743" s="8">
        <v>0</v>
      </c>
      <c r="K1743" s="2">
        <v>0</v>
      </c>
      <c r="L1743" s="8">
        <f t="shared" si="2210"/>
        <v>0.5</v>
      </c>
      <c r="M1743" s="8">
        <f t="shared" si="2211"/>
        <v>2500</v>
      </c>
    </row>
    <row r="1744" spans="1:13" ht="15.75" customHeight="1" x14ac:dyDescent="0.25">
      <c r="A1744" s="24">
        <v>43339</v>
      </c>
      <c r="B1744" s="9" t="s">
        <v>29</v>
      </c>
      <c r="C1744" s="9">
        <v>1000</v>
      </c>
      <c r="D1744" s="9" t="s">
        <v>10</v>
      </c>
      <c r="E1744" s="19">
        <v>419.6</v>
      </c>
      <c r="F1744" s="19">
        <v>420.6</v>
      </c>
      <c r="G1744" s="9">
        <v>0</v>
      </c>
      <c r="H1744" s="15">
        <v>0</v>
      </c>
      <c r="I1744" s="8">
        <f t="shared" si="2212"/>
        <v>1000</v>
      </c>
      <c r="J1744" s="8">
        <v>0</v>
      </c>
      <c r="K1744" s="2">
        <v>0</v>
      </c>
      <c r="L1744" s="8">
        <f t="shared" si="2210"/>
        <v>1</v>
      </c>
      <c r="M1744" s="8">
        <f t="shared" si="2211"/>
        <v>1000</v>
      </c>
    </row>
    <row r="1745" spans="1:13" ht="15.75" customHeight="1" x14ac:dyDescent="0.25">
      <c r="A1745" s="24">
        <v>43339</v>
      </c>
      <c r="B1745" s="9" t="s">
        <v>39</v>
      </c>
      <c r="C1745" s="9">
        <v>5000</v>
      </c>
      <c r="D1745" s="9" t="s">
        <v>10</v>
      </c>
      <c r="E1745" s="19">
        <v>178</v>
      </c>
      <c r="F1745" s="19">
        <v>178.5</v>
      </c>
      <c r="G1745" s="9">
        <v>0</v>
      </c>
      <c r="H1745" s="15">
        <v>0</v>
      </c>
      <c r="I1745" s="8">
        <f t="shared" si="2212"/>
        <v>2500</v>
      </c>
      <c r="J1745" s="8">
        <v>0</v>
      </c>
      <c r="K1745" s="2">
        <v>0</v>
      </c>
      <c r="L1745" s="8">
        <f t="shared" si="2210"/>
        <v>0.5</v>
      </c>
      <c r="M1745" s="8">
        <f t="shared" si="2211"/>
        <v>2500</v>
      </c>
    </row>
    <row r="1746" spans="1:13" ht="15.75" customHeight="1" x14ac:dyDescent="0.25">
      <c r="A1746" s="24">
        <v>43336</v>
      </c>
      <c r="B1746" s="9" t="s">
        <v>38</v>
      </c>
      <c r="C1746" s="9">
        <v>100</v>
      </c>
      <c r="D1746" s="9" t="s">
        <v>10</v>
      </c>
      <c r="E1746" s="19">
        <v>4800</v>
      </c>
      <c r="F1746" s="19">
        <v>4818</v>
      </c>
      <c r="G1746" s="9">
        <v>0</v>
      </c>
      <c r="H1746" s="15">
        <v>0</v>
      </c>
      <c r="I1746" s="8">
        <f t="shared" si="2212"/>
        <v>1800</v>
      </c>
      <c r="J1746" s="8">
        <v>0</v>
      </c>
      <c r="K1746" s="2">
        <v>0</v>
      </c>
      <c r="L1746" s="8">
        <f t="shared" si="2210"/>
        <v>18</v>
      </c>
      <c r="M1746" s="8">
        <f t="shared" si="2211"/>
        <v>1800</v>
      </c>
    </row>
    <row r="1747" spans="1:13" ht="15.75" customHeight="1" x14ac:dyDescent="0.25">
      <c r="A1747" s="24">
        <v>43336</v>
      </c>
      <c r="B1747" s="9" t="s">
        <v>39</v>
      </c>
      <c r="C1747" s="9">
        <v>5000</v>
      </c>
      <c r="D1747" s="9" t="s">
        <v>10</v>
      </c>
      <c r="E1747" s="19">
        <v>176.5</v>
      </c>
      <c r="F1747" s="19">
        <v>177</v>
      </c>
      <c r="G1747" s="9">
        <v>0</v>
      </c>
      <c r="H1747" s="15">
        <v>0</v>
      </c>
      <c r="I1747" s="8">
        <f t="shared" si="2212"/>
        <v>2500</v>
      </c>
      <c r="J1747" s="8">
        <v>0</v>
      </c>
      <c r="K1747" s="2">
        <v>0</v>
      </c>
      <c r="L1747" s="8">
        <f t="shared" si="2210"/>
        <v>0.5</v>
      </c>
      <c r="M1747" s="8">
        <f t="shared" si="2211"/>
        <v>2500</v>
      </c>
    </row>
    <row r="1748" spans="1:13" ht="15.75" customHeight="1" x14ac:dyDescent="0.25">
      <c r="A1748" s="24">
        <v>43335</v>
      </c>
      <c r="B1748" s="9" t="s">
        <v>30</v>
      </c>
      <c r="C1748" s="9">
        <v>100</v>
      </c>
      <c r="D1748" s="9" t="s">
        <v>10</v>
      </c>
      <c r="E1748" s="19">
        <v>29620</v>
      </c>
      <c r="F1748" s="19">
        <v>29662</v>
      </c>
      <c r="G1748" s="9">
        <v>0</v>
      </c>
      <c r="H1748" s="15">
        <v>0</v>
      </c>
      <c r="I1748" s="8">
        <f t="shared" si="2212"/>
        <v>4200</v>
      </c>
      <c r="J1748" s="8">
        <v>0</v>
      </c>
      <c r="K1748" s="2">
        <v>0</v>
      </c>
      <c r="L1748" s="8">
        <f t="shared" si="2210"/>
        <v>42</v>
      </c>
      <c r="M1748" s="8">
        <f t="shared" si="2211"/>
        <v>4200</v>
      </c>
    </row>
    <row r="1749" spans="1:13" ht="15.75" customHeight="1" x14ac:dyDescent="0.25">
      <c r="A1749" s="24">
        <v>43335</v>
      </c>
      <c r="B1749" s="9" t="s">
        <v>29</v>
      </c>
      <c r="C1749" s="9">
        <v>1000</v>
      </c>
      <c r="D1749" s="9" t="s">
        <v>11</v>
      </c>
      <c r="E1749" s="19">
        <v>408.5</v>
      </c>
      <c r="F1749" s="19">
        <v>407.4</v>
      </c>
      <c r="G1749" s="9">
        <v>0</v>
      </c>
      <c r="H1749" s="15">
        <v>0</v>
      </c>
      <c r="I1749" s="8">
        <f t="shared" si="2212"/>
        <v>1100.0000000000227</v>
      </c>
      <c r="J1749" s="8">
        <v>0</v>
      </c>
      <c r="K1749" s="2">
        <v>0</v>
      </c>
      <c r="L1749" s="8">
        <f t="shared" si="2210"/>
        <v>1.1000000000000227</v>
      </c>
      <c r="M1749" s="8">
        <f t="shared" si="2211"/>
        <v>1100.0000000000227</v>
      </c>
    </row>
    <row r="1750" spans="1:13" ht="15.75" customHeight="1" x14ac:dyDescent="0.25">
      <c r="A1750" s="24">
        <v>43335</v>
      </c>
      <c r="B1750" s="9" t="s">
        <v>31</v>
      </c>
      <c r="C1750" s="9">
        <v>250</v>
      </c>
      <c r="D1750" s="9" t="s">
        <v>11</v>
      </c>
      <c r="E1750" s="19">
        <v>935</v>
      </c>
      <c r="F1750" s="19">
        <v>931</v>
      </c>
      <c r="G1750" s="9">
        <v>924</v>
      </c>
      <c r="H1750" s="15">
        <v>0</v>
      </c>
      <c r="I1750" s="8">
        <f t="shared" si="2212"/>
        <v>1000</v>
      </c>
      <c r="J1750" s="8">
        <f>(IF(D1750="SELL",IF(G1750="",0,F1750-G1750),IF(D1750="BUY",IF(G1750="",0,G1750-F1750))))*C1750</f>
        <v>1750</v>
      </c>
      <c r="K1750" s="2">
        <v>0</v>
      </c>
      <c r="L1750" s="8">
        <f t="shared" si="2210"/>
        <v>11</v>
      </c>
      <c r="M1750" s="8">
        <f t="shared" si="2211"/>
        <v>2750</v>
      </c>
    </row>
    <row r="1751" spans="1:13" ht="15.75" customHeight="1" x14ac:dyDescent="0.25">
      <c r="A1751" s="24">
        <v>43334</v>
      </c>
      <c r="B1751" s="9" t="s">
        <v>17</v>
      </c>
      <c r="C1751" s="9">
        <v>5000</v>
      </c>
      <c r="D1751" s="9" t="s">
        <v>11</v>
      </c>
      <c r="E1751" s="19">
        <v>171</v>
      </c>
      <c r="F1751" s="19">
        <v>172.55</v>
      </c>
      <c r="G1751" s="9">
        <v>0</v>
      </c>
      <c r="H1751" s="15">
        <v>0</v>
      </c>
      <c r="I1751" s="8">
        <f t="shared" si="2212"/>
        <v>-7750.0000000000564</v>
      </c>
      <c r="J1751" s="8">
        <v>0</v>
      </c>
      <c r="K1751" s="2">
        <v>0</v>
      </c>
      <c r="L1751" s="8">
        <f t="shared" si="2210"/>
        <v>-1.5500000000000114</v>
      </c>
      <c r="M1751" s="8">
        <f t="shared" si="2211"/>
        <v>-7750.0000000000564</v>
      </c>
    </row>
    <row r="1752" spans="1:13" ht="15.75" customHeight="1" x14ac:dyDescent="0.25">
      <c r="A1752" s="24">
        <v>43334</v>
      </c>
      <c r="B1752" s="9" t="s">
        <v>16</v>
      </c>
      <c r="C1752" s="9">
        <v>100</v>
      </c>
      <c r="D1752" s="9" t="s">
        <v>10</v>
      </c>
      <c r="E1752" s="19">
        <v>4711</v>
      </c>
      <c r="F1752" s="19">
        <v>4729</v>
      </c>
      <c r="G1752" s="9">
        <v>0</v>
      </c>
      <c r="H1752" s="15">
        <v>0</v>
      </c>
      <c r="I1752" s="8">
        <f t="shared" si="2212"/>
        <v>1800</v>
      </c>
      <c r="J1752" s="8">
        <v>0</v>
      </c>
      <c r="K1752" s="2">
        <v>0</v>
      </c>
      <c r="L1752" s="8">
        <f t="shared" si="2210"/>
        <v>18</v>
      </c>
      <c r="M1752" s="8">
        <f t="shared" si="2211"/>
        <v>1800</v>
      </c>
    </row>
    <row r="1753" spans="1:13" ht="15.75" customHeight="1" x14ac:dyDescent="0.25">
      <c r="A1753" s="24">
        <v>43333</v>
      </c>
      <c r="B1753" s="9" t="s">
        <v>29</v>
      </c>
      <c r="C1753" s="9">
        <v>1000</v>
      </c>
      <c r="D1753" s="9" t="s">
        <v>10</v>
      </c>
      <c r="E1753" s="19">
        <v>414</v>
      </c>
      <c r="F1753" s="19">
        <v>415</v>
      </c>
      <c r="G1753" s="9">
        <v>0</v>
      </c>
      <c r="H1753" s="15">
        <v>0</v>
      </c>
      <c r="I1753" s="8">
        <f t="shared" si="2212"/>
        <v>1000</v>
      </c>
      <c r="J1753" s="8">
        <v>0</v>
      </c>
      <c r="K1753" s="2">
        <v>0</v>
      </c>
      <c r="L1753" s="8">
        <f t="shared" si="2210"/>
        <v>1</v>
      </c>
      <c r="M1753" s="8">
        <f t="shared" si="2211"/>
        <v>1000</v>
      </c>
    </row>
    <row r="1754" spans="1:13" ht="15.75" customHeight="1" x14ac:dyDescent="0.25">
      <c r="A1754" s="24">
        <v>43333</v>
      </c>
      <c r="B1754" s="9" t="s">
        <v>31</v>
      </c>
      <c r="C1754" s="9">
        <v>250</v>
      </c>
      <c r="D1754" s="9" t="s">
        <v>10</v>
      </c>
      <c r="E1754" s="19">
        <v>954</v>
      </c>
      <c r="F1754" s="19">
        <v>958</v>
      </c>
      <c r="G1754" s="9">
        <v>0</v>
      </c>
      <c r="H1754" s="15">
        <v>0</v>
      </c>
      <c r="I1754" s="8">
        <f t="shared" si="2212"/>
        <v>1000</v>
      </c>
      <c r="J1754" s="8">
        <v>0</v>
      </c>
      <c r="K1754" s="2">
        <v>0</v>
      </c>
      <c r="L1754" s="8">
        <f t="shared" si="2210"/>
        <v>4</v>
      </c>
      <c r="M1754" s="8">
        <f t="shared" si="2211"/>
        <v>1000</v>
      </c>
    </row>
    <row r="1755" spans="1:13" ht="15.75" customHeight="1" x14ac:dyDescent="0.25">
      <c r="A1755" s="24">
        <v>43332</v>
      </c>
      <c r="B1755" s="9" t="s">
        <v>16</v>
      </c>
      <c r="C1755" s="9">
        <v>100</v>
      </c>
      <c r="D1755" s="9" t="s">
        <v>10</v>
      </c>
      <c r="E1755" s="19">
        <v>4585</v>
      </c>
      <c r="F1755" s="19">
        <v>4602</v>
      </c>
      <c r="G1755" s="9">
        <v>4632</v>
      </c>
      <c r="H1755" s="15">
        <v>0</v>
      </c>
      <c r="I1755" s="8">
        <f t="shared" si="2212"/>
        <v>1700</v>
      </c>
      <c r="J1755" s="8">
        <f>(IF(D1755="SELL",IF(G1755="",0,F1755-G1755),IF(D1755="BUY",IF(G1755="",0,G1755-F1755))))*C1755</f>
        <v>3000</v>
      </c>
      <c r="K1755" s="2">
        <v>0</v>
      </c>
      <c r="L1755" s="8">
        <f t="shared" si="2210"/>
        <v>47</v>
      </c>
      <c r="M1755" s="8">
        <f t="shared" si="2211"/>
        <v>4700</v>
      </c>
    </row>
    <row r="1756" spans="1:13" ht="15.75" customHeight="1" x14ac:dyDescent="0.25">
      <c r="A1756" s="24">
        <v>43332</v>
      </c>
      <c r="B1756" s="9" t="s">
        <v>46</v>
      </c>
      <c r="C1756" s="9">
        <v>1250</v>
      </c>
      <c r="D1756" s="9" t="s">
        <v>11</v>
      </c>
      <c r="E1756" s="19">
        <v>203.7</v>
      </c>
      <c r="F1756" s="19">
        <v>202.7</v>
      </c>
      <c r="G1756" s="9">
        <v>0</v>
      </c>
      <c r="H1756" s="15">
        <v>0</v>
      </c>
      <c r="I1756" s="8">
        <f t="shared" si="2212"/>
        <v>1250</v>
      </c>
      <c r="J1756" s="8">
        <v>0</v>
      </c>
      <c r="K1756" s="2">
        <v>0</v>
      </c>
      <c r="L1756" s="8">
        <f t="shared" si="2210"/>
        <v>1</v>
      </c>
      <c r="M1756" s="8">
        <f t="shared" si="2211"/>
        <v>1250</v>
      </c>
    </row>
    <row r="1757" spans="1:13" ht="15.75" customHeight="1" x14ac:dyDescent="0.25">
      <c r="A1757" s="24">
        <v>43332</v>
      </c>
      <c r="B1757" s="9" t="s">
        <v>31</v>
      </c>
      <c r="C1757" s="9">
        <v>250</v>
      </c>
      <c r="D1757" s="9" t="s">
        <v>10</v>
      </c>
      <c r="E1757" s="19">
        <v>950</v>
      </c>
      <c r="F1757" s="19">
        <v>954</v>
      </c>
      <c r="G1757" s="9">
        <v>0</v>
      </c>
      <c r="H1757" s="15">
        <v>0</v>
      </c>
      <c r="I1757" s="8">
        <f t="shared" si="2212"/>
        <v>1000</v>
      </c>
      <c r="J1757" s="8">
        <v>0</v>
      </c>
      <c r="K1757" s="2">
        <v>0</v>
      </c>
      <c r="L1757" s="8">
        <f t="shared" si="2210"/>
        <v>4</v>
      </c>
      <c r="M1757" s="8">
        <f t="shared" si="2211"/>
        <v>1000</v>
      </c>
    </row>
    <row r="1758" spans="1:13" ht="15.75" customHeight="1" x14ac:dyDescent="0.25">
      <c r="A1758" s="24">
        <v>43332</v>
      </c>
      <c r="B1758" s="9" t="s">
        <v>29</v>
      </c>
      <c r="C1758" s="9">
        <v>1000</v>
      </c>
      <c r="D1758" s="9" t="s">
        <v>10</v>
      </c>
      <c r="E1758" s="19">
        <v>410</v>
      </c>
      <c r="F1758" s="19">
        <v>411</v>
      </c>
      <c r="G1758" s="9">
        <v>413</v>
      </c>
      <c r="H1758" s="15">
        <v>0</v>
      </c>
      <c r="I1758" s="8">
        <f t="shared" si="2212"/>
        <v>1000</v>
      </c>
      <c r="J1758" s="8">
        <f>(IF(D1758="SELL",IF(G1758="",0,F1758-G1758),IF(D1758="BUY",IF(G1758="",0,G1758-F1758))))*C1758</f>
        <v>2000</v>
      </c>
      <c r="K1758" s="2">
        <v>0</v>
      </c>
      <c r="L1758" s="8">
        <f t="shared" si="2210"/>
        <v>3</v>
      </c>
      <c r="M1758" s="8">
        <f t="shared" si="2211"/>
        <v>3000</v>
      </c>
    </row>
    <row r="1759" spans="1:13" ht="15.75" customHeight="1" x14ac:dyDescent="0.25">
      <c r="A1759" s="24">
        <v>43329</v>
      </c>
      <c r="B1759" s="9" t="s">
        <v>29</v>
      </c>
      <c r="C1759" s="9">
        <v>1000</v>
      </c>
      <c r="D1759" s="9" t="s">
        <v>11</v>
      </c>
      <c r="E1759" s="19">
        <v>404</v>
      </c>
      <c r="F1759" s="19">
        <v>407.5</v>
      </c>
      <c r="G1759" s="9">
        <v>0</v>
      </c>
      <c r="H1759" s="15">
        <v>0</v>
      </c>
      <c r="I1759" s="8">
        <f t="shared" si="2212"/>
        <v>-3500</v>
      </c>
      <c r="J1759" s="8">
        <v>0</v>
      </c>
      <c r="K1759" s="2">
        <v>0</v>
      </c>
      <c r="L1759" s="8">
        <f t="shared" si="2210"/>
        <v>-3.5</v>
      </c>
      <c r="M1759" s="8">
        <f t="shared" si="2211"/>
        <v>-3500</v>
      </c>
    </row>
    <row r="1760" spans="1:13" ht="15.75" customHeight="1" x14ac:dyDescent="0.25">
      <c r="A1760" s="24">
        <v>43329</v>
      </c>
      <c r="B1760" s="9" t="s">
        <v>39</v>
      </c>
      <c r="C1760" s="9">
        <v>5000</v>
      </c>
      <c r="D1760" s="9" t="s">
        <v>11</v>
      </c>
      <c r="E1760" s="19">
        <v>164.6</v>
      </c>
      <c r="F1760" s="19">
        <v>164</v>
      </c>
      <c r="G1760" s="9">
        <v>0</v>
      </c>
      <c r="H1760" s="15">
        <v>0</v>
      </c>
      <c r="I1760" s="8">
        <f t="shared" si="2212"/>
        <v>2999.9999999999718</v>
      </c>
      <c r="J1760" s="8">
        <v>0</v>
      </c>
      <c r="K1760" s="2">
        <v>0</v>
      </c>
      <c r="L1760" s="8">
        <f t="shared" si="2210"/>
        <v>0.59999999999999432</v>
      </c>
      <c r="M1760" s="8">
        <f t="shared" si="2211"/>
        <v>2999.9999999999718</v>
      </c>
    </row>
    <row r="1761" spans="1:13" ht="15.75" customHeight="1" x14ac:dyDescent="0.25">
      <c r="A1761" s="24">
        <v>43328</v>
      </c>
      <c r="B1761" s="9" t="s">
        <v>31</v>
      </c>
      <c r="C1761" s="9">
        <v>250</v>
      </c>
      <c r="D1761" s="9" t="s">
        <v>11</v>
      </c>
      <c r="E1761" s="19">
        <v>917</v>
      </c>
      <c r="F1761" s="19">
        <v>0</v>
      </c>
      <c r="G1761" s="9">
        <v>0</v>
      </c>
      <c r="H1761" s="15">
        <v>0</v>
      </c>
      <c r="I1761" s="8">
        <v>0</v>
      </c>
      <c r="J1761" s="8">
        <v>0</v>
      </c>
      <c r="K1761" s="2">
        <v>0</v>
      </c>
      <c r="L1761" s="8">
        <f t="shared" si="2210"/>
        <v>0</v>
      </c>
      <c r="M1761" s="8">
        <f t="shared" si="2211"/>
        <v>0</v>
      </c>
    </row>
    <row r="1762" spans="1:13" ht="15.75" customHeight="1" x14ac:dyDescent="0.25">
      <c r="A1762" s="24">
        <v>43328</v>
      </c>
      <c r="B1762" s="9" t="s">
        <v>39</v>
      </c>
      <c r="C1762" s="9">
        <v>5000</v>
      </c>
      <c r="D1762" s="9" t="s">
        <v>11</v>
      </c>
      <c r="E1762" s="19">
        <v>165.55</v>
      </c>
      <c r="F1762" s="19">
        <v>165</v>
      </c>
      <c r="G1762" s="9">
        <v>0</v>
      </c>
      <c r="H1762" s="15">
        <v>0</v>
      </c>
      <c r="I1762" s="8">
        <f t="shared" ref="I1762:I1801" si="2213">(IF(D1762="SELL",E1762-F1762,IF(D1762="BUY",F1762-E1762)))*C1762</f>
        <v>2750.0000000000568</v>
      </c>
      <c r="J1762" s="8">
        <v>0</v>
      </c>
      <c r="K1762" s="2">
        <v>0</v>
      </c>
      <c r="L1762" s="8">
        <f t="shared" si="2210"/>
        <v>0.55000000000001137</v>
      </c>
      <c r="M1762" s="8">
        <f t="shared" si="2211"/>
        <v>2750.0000000000568</v>
      </c>
    </row>
    <row r="1763" spans="1:13" ht="15.75" customHeight="1" x14ac:dyDescent="0.25">
      <c r="A1763" s="24">
        <v>43326</v>
      </c>
      <c r="B1763" s="9" t="s">
        <v>16</v>
      </c>
      <c r="C1763" s="9">
        <v>100</v>
      </c>
      <c r="D1763" s="9" t="s">
        <v>10</v>
      </c>
      <c r="E1763" s="19">
        <v>4717</v>
      </c>
      <c r="F1763" s="19">
        <v>4732</v>
      </c>
      <c r="G1763" s="9">
        <v>0</v>
      </c>
      <c r="H1763" s="15">
        <v>0</v>
      </c>
      <c r="I1763" s="8">
        <f t="shared" si="2213"/>
        <v>1500</v>
      </c>
      <c r="J1763" s="8">
        <v>0</v>
      </c>
      <c r="K1763" s="2">
        <v>0</v>
      </c>
      <c r="L1763" s="8">
        <f t="shared" si="2210"/>
        <v>15</v>
      </c>
      <c r="M1763" s="8">
        <f t="shared" si="2211"/>
        <v>1500</v>
      </c>
    </row>
    <row r="1764" spans="1:13" ht="15.75" customHeight="1" x14ac:dyDescent="0.25">
      <c r="A1764" s="24">
        <v>43325</v>
      </c>
      <c r="B1764" s="9" t="s">
        <v>16</v>
      </c>
      <c r="C1764" s="9">
        <v>100</v>
      </c>
      <c r="D1764" s="9" t="s">
        <v>10</v>
      </c>
      <c r="E1764" s="19">
        <v>4715</v>
      </c>
      <c r="F1764" s="19">
        <v>4733</v>
      </c>
      <c r="G1764" s="9">
        <v>0</v>
      </c>
      <c r="H1764" s="15">
        <v>0</v>
      </c>
      <c r="I1764" s="8">
        <f t="shared" si="2213"/>
        <v>1800</v>
      </c>
      <c r="J1764" s="8">
        <v>0</v>
      </c>
      <c r="K1764" s="2">
        <v>0</v>
      </c>
      <c r="L1764" s="8">
        <f t="shared" si="2210"/>
        <v>18</v>
      </c>
      <c r="M1764" s="8">
        <f t="shared" si="2211"/>
        <v>1800</v>
      </c>
    </row>
    <row r="1765" spans="1:13" ht="15.75" customHeight="1" x14ac:dyDescent="0.25">
      <c r="A1765" s="24">
        <v>43325</v>
      </c>
      <c r="B1765" s="9" t="s">
        <v>20</v>
      </c>
      <c r="C1765" s="9">
        <v>1250</v>
      </c>
      <c r="D1765" s="9" t="s">
        <v>10</v>
      </c>
      <c r="E1765" s="19">
        <v>204.2</v>
      </c>
      <c r="F1765" s="19">
        <v>205.3</v>
      </c>
      <c r="G1765" s="9">
        <v>0</v>
      </c>
      <c r="H1765" s="15">
        <v>0</v>
      </c>
      <c r="I1765" s="8">
        <f t="shared" si="2213"/>
        <v>1375.0000000000284</v>
      </c>
      <c r="J1765" s="8">
        <v>0</v>
      </c>
      <c r="K1765" s="2">
        <v>0</v>
      </c>
      <c r="L1765" s="8">
        <f t="shared" si="2210"/>
        <v>1.1000000000000227</v>
      </c>
      <c r="M1765" s="8">
        <f t="shared" si="2211"/>
        <v>1375.0000000000284</v>
      </c>
    </row>
    <row r="1766" spans="1:13" ht="15.75" customHeight="1" x14ac:dyDescent="0.25">
      <c r="A1766" s="24">
        <v>43325</v>
      </c>
      <c r="B1766" s="9" t="s">
        <v>31</v>
      </c>
      <c r="C1766" s="9">
        <v>250</v>
      </c>
      <c r="D1766" s="9" t="s">
        <v>10</v>
      </c>
      <c r="E1766" s="19">
        <v>961.5</v>
      </c>
      <c r="F1766" s="19">
        <v>965.5</v>
      </c>
      <c r="G1766" s="9">
        <v>0</v>
      </c>
      <c r="H1766" s="15">
        <v>0</v>
      </c>
      <c r="I1766" s="8">
        <f t="shared" si="2213"/>
        <v>1000</v>
      </c>
      <c r="J1766" s="8">
        <v>0</v>
      </c>
      <c r="K1766" s="2">
        <v>0</v>
      </c>
      <c r="L1766" s="8">
        <f t="shared" si="2210"/>
        <v>4</v>
      </c>
      <c r="M1766" s="8">
        <f t="shared" si="2211"/>
        <v>1000</v>
      </c>
    </row>
    <row r="1767" spans="1:13" ht="15.75" customHeight="1" x14ac:dyDescent="0.25">
      <c r="A1767" s="24">
        <v>43325</v>
      </c>
      <c r="B1767" s="9" t="s">
        <v>29</v>
      </c>
      <c r="C1767" s="9">
        <v>100</v>
      </c>
      <c r="D1767" s="9" t="s">
        <v>10</v>
      </c>
      <c r="E1767" s="19">
        <v>421</v>
      </c>
      <c r="F1767" s="19">
        <v>422</v>
      </c>
      <c r="G1767" s="9">
        <v>424</v>
      </c>
      <c r="H1767" s="15">
        <v>0</v>
      </c>
      <c r="I1767" s="8">
        <f t="shared" si="2213"/>
        <v>100</v>
      </c>
      <c r="J1767" s="8">
        <v>0</v>
      </c>
      <c r="K1767" s="2">
        <v>0</v>
      </c>
      <c r="L1767" s="8">
        <f t="shared" si="2210"/>
        <v>1</v>
      </c>
      <c r="M1767" s="8">
        <f t="shared" si="2211"/>
        <v>100</v>
      </c>
    </row>
    <row r="1768" spans="1:13" ht="15.75" customHeight="1" x14ac:dyDescent="0.25">
      <c r="A1768" s="24">
        <v>43325</v>
      </c>
      <c r="B1768" s="9" t="s">
        <v>39</v>
      </c>
      <c r="C1768" s="9">
        <v>5000</v>
      </c>
      <c r="D1768" s="9" t="s">
        <v>11</v>
      </c>
      <c r="E1768" s="19">
        <v>178.1</v>
      </c>
      <c r="F1768" s="19">
        <v>176.5</v>
      </c>
      <c r="G1768" s="9">
        <v>0</v>
      </c>
      <c r="H1768" s="15">
        <v>0</v>
      </c>
      <c r="I1768" s="8">
        <f t="shared" si="2213"/>
        <v>7999.9999999999718</v>
      </c>
      <c r="J1768" s="8">
        <v>0</v>
      </c>
      <c r="K1768" s="2">
        <v>0</v>
      </c>
      <c r="L1768" s="8">
        <f t="shared" si="2210"/>
        <v>1.5999999999999943</v>
      </c>
      <c r="M1768" s="8">
        <f t="shared" si="2211"/>
        <v>7999.9999999999718</v>
      </c>
    </row>
    <row r="1769" spans="1:13" ht="15.75" customHeight="1" x14ac:dyDescent="0.25">
      <c r="A1769" s="24">
        <v>43322</v>
      </c>
      <c r="B1769" s="9" t="s">
        <v>38</v>
      </c>
      <c r="C1769" s="9">
        <v>100</v>
      </c>
      <c r="D1769" s="9" t="s">
        <v>10</v>
      </c>
      <c r="E1769" s="19">
        <v>4605</v>
      </c>
      <c r="F1769" s="19">
        <v>4620</v>
      </c>
      <c r="G1769" s="9">
        <v>4645</v>
      </c>
      <c r="H1769" s="15">
        <v>0</v>
      </c>
      <c r="I1769" s="8">
        <f t="shared" si="2213"/>
        <v>1500</v>
      </c>
      <c r="J1769" s="8">
        <f>(IF(D1769="SELL",IF(G1769="",0,F1769-G1769),IF(D1769="BUY",IF(G1769="",0,G1769-F1769))))*C1769</f>
        <v>2500</v>
      </c>
      <c r="K1769" s="2">
        <v>0</v>
      </c>
      <c r="L1769" s="8">
        <f t="shared" si="2210"/>
        <v>40</v>
      </c>
      <c r="M1769" s="8">
        <f t="shared" si="2211"/>
        <v>4000</v>
      </c>
    </row>
    <row r="1770" spans="1:13" ht="15.75" customHeight="1" x14ac:dyDescent="0.25">
      <c r="A1770" s="24">
        <v>43322</v>
      </c>
      <c r="B1770" s="9" t="s">
        <v>31</v>
      </c>
      <c r="C1770" s="9">
        <v>250</v>
      </c>
      <c r="D1770" s="9" t="s">
        <v>11</v>
      </c>
      <c r="E1770" s="19">
        <v>944.5</v>
      </c>
      <c r="F1770" s="19">
        <v>940</v>
      </c>
      <c r="G1770" s="9">
        <v>0</v>
      </c>
      <c r="H1770" s="15">
        <v>0</v>
      </c>
      <c r="I1770" s="8">
        <f t="shared" si="2213"/>
        <v>1125</v>
      </c>
      <c r="J1770" s="8">
        <v>0</v>
      </c>
      <c r="K1770" s="2">
        <v>0</v>
      </c>
      <c r="L1770" s="8">
        <f t="shared" si="2210"/>
        <v>4.5</v>
      </c>
      <c r="M1770" s="8">
        <f t="shared" si="2211"/>
        <v>1125</v>
      </c>
    </row>
    <row r="1771" spans="1:13" ht="15.75" customHeight="1" x14ac:dyDescent="0.25">
      <c r="A1771" s="24">
        <v>43322</v>
      </c>
      <c r="B1771" s="9" t="s">
        <v>39</v>
      </c>
      <c r="C1771" s="9">
        <v>5000</v>
      </c>
      <c r="D1771" s="9" t="s">
        <v>11</v>
      </c>
      <c r="E1771" s="19">
        <v>177.9</v>
      </c>
      <c r="F1771" s="19">
        <v>177.4</v>
      </c>
      <c r="G1771" s="9">
        <v>176.5</v>
      </c>
      <c r="H1771" s="15">
        <v>0</v>
      </c>
      <c r="I1771" s="8">
        <f t="shared" si="2213"/>
        <v>2500</v>
      </c>
      <c r="J1771" s="8">
        <f>(IF(D1771="SELL",IF(G1771="",0,F1771-G1771),IF(D1771="BUY",IF(G1771="",0,G1771-F1771))))*C1771</f>
        <v>4500.0000000000282</v>
      </c>
      <c r="K1771" s="2">
        <v>0</v>
      </c>
      <c r="L1771" s="8">
        <f t="shared" si="2210"/>
        <v>1.4000000000000057</v>
      </c>
      <c r="M1771" s="8">
        <f t="shared" si="2211"/>
        <v>7000.0000000000282</v>
      </c>
    </row>
    <row r="1772" spans="1:13" ht="15.75" customHeight="1" x14ac:dyDescent="0.25">
      <c r="A1772" s="24">
        <v>43322</v>
      </c>
      <c r="B1772" s="9" t="s">
        <v>16</v>
      </c>
      <c r="C1772" s="9">
        <v>100</v>
      </c>
      <c r="D1772" s="9" t="s">
        <v>11</v>
      </c>
      <c r="E1772" s="19">
        <v>4566</v>
      </c>
      <c r="F1772" s="19">
        <v>4611</v>
      </c>
      <c r="G1772" s="9">
        <v>0</v>
      </c>
      <c r="H1772" s="15">
        <v>0</v>
      </c>
      <c r="I1772" s="8">
        <f t="shared" si="2213"/>
        <v>-4500</v>
      </c>
      <c r="J1772" s="8">
        <v>0</v>
      </c>
      <c r="K1772" s="2">
        <v>0</v>
      </c>
      <c r="L1772" s="8">
        <f t="shared" si="2210"/>
        <v>-45</v>
      </c>
      <c r="M1772" s="8">
        <f t="shared" si="2211"/>
        <v>-4500</v>
      </c>
    </row>
    <row r="1773" spans="1:13" ht="15.75" customHeight="1" x14ac:dyDescent="0.25">
      <c r="A1773" s="24">
        <v>43321</v>
      </c>
      <c r="B1773" s="9" t="s">
        <v>16</v>
      </c>
      <c r="C1773" s="9">
        <v>100</v>
      </c>
      <c r="D1773" s="9" t="s">
        <v>10</v>
      </c>
      <c r="E1773" s="19">
        <v>4598</v>
      </c>
      <c r="F1773" s="19">
        <v>4617</v>
      </c>
      <c r="G1773" s="9">
        <v>0</v>
      </c>
      <c r="H1773" s="15">
        <v>0</v>
      </c>
      <c r="I1773" s="8">
        <f t="shared" si="2213"/>
        <v>1900</v>
      </c>
      <c r="J1773" s="8">
        <v>0</v>
      </c>
      <c r="K1773" s="2">
        <v>0</v>
      </c>
      <c r="L1773" s="8">
        <f t="shared" si="2210"/>
        <v>19</v>
      </c>
      <c r="M1773" s="8">
        <f t="shared" si="2211"/>
        <v>1900</v>
      </c>
    </row>
    <row r="1774" spans="1:13" ht="15.75" customHeight="1" x14ac:dyDescent="0.25">
      <c r="A1774" s="24">
        <v>43321</v>
      </c>
      <c r="B1774" s="9" t="s">
        <v>31</v>
      </c>
      <c r="C1774" s="9">
        <v>250</v>
      </c>
      <c r="D1774" s="9" t="s">
        <v>10</v>
      </c>
      <c r="E1774" s="19">
        <v>965</v>
      </c>
      <c r="F1774" s="19">
        <v>969</v>
      </c>
      <c r="G1774" s="9">
        <v>0</v>
      </c>
      <c r="H1774" s="15">
        <v>0</v>
      </c>
      <c r="I1774" s="8">
        <f t="shared" si="2213"/>
        <v>1000</v>
      </c>
      <c r="J1774" s="8">
        <v>0</v>
      </c>
      <c r="K1774" s="2">
        <v>0</v>
      </c>
      <c r="L1774" s="8">
        <f t="shared" si="2210"/>
        <v>4</v>
      </c>
      <c r="M1774" s="8">
        <f t="shared" si="2211"/>
        <v>1000</v>
      </c>
    </row>
    <row r="1775" spans="1:13" ht="15.75" customHeight="1" x14ac:dyDescent="0.25">
      <c r="A1775" s="24">
        <v>43321</v>
      </c>
      <c r="B1775" s="9" t="s">
        <v>35</v>
      </c>
      <c r="C1775" s="9">
        <v>5000</v>
      </c>
      <c r="D1775" s="9" t="s">
        <v>10</v>
      </c>
      <c r="E1775" s="19">
        <v>147.6</v>
      </c>
      <c r="F1775" s="19">
        <v>148.1</v>
      </c>
      <c r="G1775" s="9">
        <v>0</v>
      </c>
      <c r="H1775" s="15">
        <v>0</v>
      </c>
      <c r="I1775" s="8">
        <f t="shared" si="2213"/>
        <v>2500</v>
      </c>
      <c r="J1775" s="8">
        <v>0</v>
      </c>
      <c r="K1775" s="2">
        <v>0</v>
      </c>
      <c r="L1775" s="8">
        <f t="shared" si="2210"/>
        <v>0.5</v>
      </c>
      <c r="M1775" s="8">
        <f t="shared" si="2211"/>
        <v>2500</v>
      </c>
    </row>
    <row r="1776" spans="1:13" ht="15.75" customHeight="1" x14ac:dyDescent="0.25">
      <c r="A1776" s="24">
        <v>43321</v>
      </c>
      <c r="B1776" s="9" t="s">
        <v>39</v>
      </c>
      <c r="C1776" s="9">
        <v>5000</v>
      </c>
      <c r="D1776" s="9" t="s">
        <v>10</v>
      </c>
      <c r="E1776" s="19">
        <v>182</v>
      </c>
      <c r="F1776" s="19">
        <v>182.5</v>
      </c>
      <c r="G1776" s="9">
        <v>0</v>
      </c>
      <c r="H1776" s="15">
        <v>0</v>
      </c>
      <c r="I1776" s="8">
        <f t="shared" si="2213"/>
        <v>2500</v>
      </c>
      <c r="J1776" s="8">
        <v>0</v>
      </c>
      <c r="K1776" s="2">
        <v>0</v>
      </c>
      <c r="L1776" s="8">
        <f t="shared" si="2210"/>
        <v>0.5</v>
      </c>
      <c r="M1776" s="8">
        <f t="shared" si="2211"/>
        <v>2500</v>
      </c>
    </row>
    <row r="1777" spans="1:13" ht="15.75" customHeight="1" x14ac:dyDescent="0.25">
      <c r="A1777" s="24">
        <v>43321</v>
      </c>
      <c r="B1777" s="9" t="s">
        <v>29</v>
      </c>
      <c r="C1777" s="9">
        <v>1000</v>
      </c>
      <c r="D1777" s="9" t="s">
        <v>10</v>
      </c>
      <c r="E1777" s="19">
        <v>422.3</v>
      </c>
      <c r="F1777" s="19">
        <v>423.3</v>
      </c>
      <c r="G1777" s="9">
        <v>425.4</v>
      </c>
      <c r="H1777" s="15">
        <v>0</v>
      </c>
      <c r="I1777" s="8">
        <f t="shared" si="2213"/>
        <v>1000</v>
      </c>
      <c r="J1777" s="8">
        <f>(IF(D1777="SELL",IF(G1777="",0,F1777-G1777),IF(D1777="BUY",IF(G1777="",0,G1777-F1777))))*C1777</f>
        <v>2099.9999999999659</v>
      </c>
      <c r="K1777" s="2">
        <v>0</v>
      </c>
      <c r="L1777" s="8">
        <f t="shared" si="2210"/>
        <v>3.0999999999999659</v>
      </c>
      <c r="M1777" s="8">
        <f t="shared" si="2211"/>
        <v>3099.9999999999659</v>
      </c>
    </row>
    <row r="1778" spans="1:13" ht="15.75" customHeight="1" x14ac:dyDescent="0.25">
      <c r="A1778" s="24">
        <v>43320</v>
      </c>
      <c r="B1778" s="9" t="s">
        <v>20</v>
      </c>
      <c r="C1778" s="9">
        <v>1250</v>
      </c>
      <c r="D1778" s="9" t="s">
        <v>10</v>
      </c>
      <c r="E1778" s="19">
        <v>200.6</v>
      </c>
      <c r="F1778" s="19">
        <v>201.7</v>
      </c>
      <c r="G1778" s="9">
        <v>0</v>
      </c>
      <c r="H1778" s="15">
        <v>0</v>
      </c>
      <c r="I1778" s="8">
        <f t="shared" si="2213"/>
        <v>1374.999999999993</v>
      </c>
      <c r="J1778" s="8">
        <v>0</v>
      </c>
      <c r="K1778" s="2">
        <v>0</v>
      </c>
      <c r="L1778" s="8">
        <f t="shared" si="2210"/>
        <v>1.0999999999999943</v>
      </c>
      <c r="M1778" s="8">
        <f t="shared" si="2211"/>
        <v>1374.999999999993</v>
      </c>
    </row>
    <row r="1779" spans="1:13" ht="15.75" customHeight="1" x14ac:dyDescent="0.25">
      <c r="A1779" s="24">
        <v>43320</v>
      </c>
      <c r="B1779" s="9" t="s">
        <v>43</v>
      </c>
      <c r="C1779" s="9">
        <v>100</v>
      </c>
      <c r="D1779" s="9" t="s">
        <v>11</v>
      </c>
      <c r="E1779" s="19">
        <v>4730</v>
      </c>
      <c r="F1779" s="19">
        <v>4712</v>
      </c>
      <c r="G1779" s="9">
        <v>4685</v>
      </c>
      <c r="H1779" s="15">
        <v>0</v>
      </c>
      <c r="I1779" s="8">
        <f t="shared" si="2213"/>
        <v>1800</v>
      </c>
      <c r="J1779" s="8">
        <f>(IF(D1779="SELL",IF(G1779="",0,F1779-G1779),IF(D1779="BUY",IF(G1779="",0,G1779-F1779))))*C1779</f>
        <v>2700</v>
      </c>
      <c r="K1779" s="2">
        <v>0</v>
      </c>
      <c r="L1779" s="8">
        <f t="shared" si="2210"/>
        <v>45</v>
      </c>
      <c r="M1779" s="8">
        <f t="shared" si="2211"/>
        <v>4500</v>
      </c>
    </row>
    <row r="1780" spans="1:13" ht="15.75" customHeight="1" x14ac:dyDescent="0.25">
      <c r="A1780" s="24">
        <v>43319</v>
      </c>
      <c r="B1780" s="9" t="s">
        <v>29</v>
      </c>
      <c r="C1780" s="9">
        <v>1000</v>
      </c>
      <c r="D1780" s="9" t="s">
        <v>10</v>
      </c>
      <c r="E1780" s="19">
        <v>418.7</v>
      </c>
      <c r="F1780" s="19">
        <v>419.8</v>
      </c>
      <c r="G1780" s="9">
        <v>0</v>
      </c>
      <c r="H1780" s="15">
        <v>0</v>
      </c>
      <c r="I1780" s="8">
        <f t="shared" si="2213"/>
        <v>1100.0000000000227</v>
      </c>
      <c r="J1780" s="8">
        <v>0</v>
      </c>
      <c r="K1780" s="2">
        <v>0</v>
      </c>
      <c r="L1780" s="8">
        <f t="shared" si="2210"/>
        <v>1.1000000000000227</v>
      </c>
      <c r="M1780" s="8">
        <f t="shared" si="2211"/>
        <v>1100.0000000000227</v>
      </c>
    </row>
    <row r="1781" spans="1:13" ht="15.75" customHeight="1" x14ac:dyDescent="0.25">
      <c r="A1781" s="24">
        <v>43318</v>
      </c>
      <c r="B1781" s="9" t="s">
        <v>31</v>
      </c>
      <c r="C1781" s="9">
        <v>250</v>
      </c>
      <c r="D1781" s="9" t="s">
        <v>10</v>
      </c>
      <c r="E1781" s="19">
        <v>927</v>
      </c>
      <c r="F1781" s="19">
        <v>931</v>
      </c>
      <c r="G1781" s="9">
        <v>0</v>
      </c>
      <c r="H1781" s="15">
        <v>0</v>
      </c>
      <c r="I1781" s="8">
        <f t="shared" si="2213"/>
        <v>1000</v>
      </c>
      <c r="J1781" s="8">
        <v>0</v>
      </c>
      <c r="K1781" s="2">
        <v>0</v>
      </c>
      <c r="L1781" s="8">
        <f t="shared" si="2210"/>
        <v>4</v>
      </c>
      <c r="M1781" s="8">
        <f t="shared" si="2211"/>
        <v>1000</v>
      </c>
    </row>
    <row r="1782" spans="1:13" ht="15.75" customHeight="1" x14ac:dyDescent="0.25">
      <c r="A1782" s="24">
        <v>43318</v>
      </c>
      <c r="B1782" s="9" t="s">
        <v>49</v>
      </c>
      <c r="C1782" s="9">
        <v>100</v>
      </c>
      <c r="D1782" s="9" t="s">
        <v>10</v>
      </c>
      <c r="E1782" s="19">
        <v>4775</v>
      </c>
      <c r="F1782" s="19">
        <v>4790</v>
      </c>
      <c r="G1782" s="9">
        <v>0</v>
      </c>
      <c r="H1782" s="15">
        <v>0</v>
      </c>
      <c r="I1782" s="8">
        <f t="shared" si="2213"/>
        <v>1500</v>
      </c>
      <c r="J1782" s="8">
        <v>0</v>
      </c>
      <c r="K1782" s="2">
        <v>0</v>
      </c>
      <c r="L1782" s="8">
        <f t="shared" si="2210"/>
        <v>15</v>
      </c>
      <c r="M1782" s="8">
        <f t="shared" si="2211"/>
        <v>1500</v>
      </c>
    </row>
    <row r="1783" spans="1:13" ht="15.75" customHeight="1" x14ac:dyDescent="0.25">
      <c r="A1783" s="24">
        <v>43315</v>
      </c>
      <c r="B1783" s="9" t="s">
        <v>16</v>
      </c>
      <c r="C1783" s="9">
        <v>100</v>
      </c>
      <c r="D1783" s="9" t="s">
        <v>10</v>
      </c>
      <c r="E1783" s="19">
        <v>4740</v>
      </c>
      <c r="F1783" s="19">
        <v>4760</v>
      </c>
      <c r="G1783" s="9">
        <v>0</v>
      </c>
      <c r="H1783" s="15">
        <v>0</v>
      </c>
      <c r="I1783" s="8">
        <f t="shared" si="2213"/>
        <v>2000</v>
      </c>
      <c r="J1783" s="8">
        <v>0</v>
      </c>
      <c r="K1783" s="2">
        <v>0</v>
      </c>
      <c r="L1783" s="8">
        <f t="shared" si="2210"/>
        <v>20</v>
      </c>
      <c r="M1783" s="8">
        <f t="shared" si="2211"/>
        <v>2000</v>
      </c>
    </row>
    <row r="1784" spans="1:13" ht="15.75" customHeight="1" x14ac:dyDescent="0.25">
      <c r="A1784" s="24">
        <v>43314</v>
      </c>
      <c r="B1784" s="9" t="s">
        <v>37</v>
      </c>
      <c r="C1784" s="9">
        <v>5000</v>
      </c>
      <c r="D1784" s="9" t="s">
        <v>10</v>
      </c>
      <c r="E1784" s="19">
        <v>140.69999999999999</v>
      </c>
      <c r="F1784" s="19">
        <v>141.30000000000001</v>
      </c>
      <c r="G1784" s="9">
        <v>0</v>
      </c>
      <c r="H1784" s="15">
        <v>0</v>
      </c>
      <c r="I1784" s="8">
        <f t="shared" si="2213"/>
        <v>3000.0000000001137</v>
      </c>
      <c r="J1784" s="8">
        <v>0</v>
      </c>
      <c r="K1784" s="2">
        <v>0</v>
      </c>
      <c r="L1784" s="8">
        <f t="shared" si="2210"/>
        <v>0.60000000000002274</v>
      </c>
      <c r="M1784" s="8">
        <f t="shared" si="2211"/>
        <v>3000.0000000001137</v>
      </c>
    </row>
    <row r="1785" spans="1:13" ht="15.75" customHeight="1" x14ac:dyDescent="0.25">
      <c r="A1785" s="24">
        <v>43314</v>
      </c>
      <c r="B1785" s="9" t="s">
        <v>35</v>
      </c>
      <c r="C1785" s="9">
        <v>5000</v>
      </c>
      <c r="D1785" s="9" t="s">
        <v>10</v>
      </c>
      <c r="E1785" s="19">
        <v>146.1</v>
      </c>
      <c r="F1785" s="19">
        <v>146.69999999999999</v>
      </c>
      <c r="G1785" s="9">
        <v>147.6</v>
      </c>
      <c r="H1785" s="15">
        <v>0</v>
      </c>
      <c r="I1785" s="8">
        <f t="shared" si="2213"/>
        <v>2999.9999999999718</v>
      </c>
      <c r="J1785" s="8">
        <f>(IF(D1785="SELL",IF(G1785="",0,F1785-G1785),IF(D1785="BUY",IF(G1785="",0,G1785-F1785))))*C1785</f>
        <v>4500.0000000000282</v>
      </c>
      <c r="K1785" s="2">
        <v>0</v>
      </c>
      <c r="L1785" s="8">
        <f t="shared" si="2210"/>
        <v>1.5</v>
      </c>
      <c r="M1785" s="8">
        <f t="shared" si="2211"/>
        <v>7500</v>
      </c>
    </row>
    <row r="1786" spans="1:13" ht="15.75" customHeight="1" x14ac:dyDescent="0.25">
      <c r="A1786" s="24">
        <v>43314</v>
      </c>
      <c r="B1786" s="9" t="s">
        <v>31</v>
      </c>
      <c r="C1786" s="9">
        <v>250</v>
      </c>
      <c r="D1786" s="9" t="s">
        <v>10</v>
      </c>
      <c r="E1786" s="19">
        <v>920</v>
      </c>
      <c r="F1786" s="19">
        <v>925</v>
      </c>
      <c r="G1786" s="9">
        <v>0</v>
      </c>
      <c r="H1786" s="15">
        <v>0</v>
      </c>
      <c r="I1786" s="8">
        <f t="shared" si="2213"/>
        <v>1250</v>
      </c>
      <c r="J1786" s="8">
        <v>0</v>
      </c>
      <c r="K1786" s="2">
        <v>0</v>
      </c>
      <c r="L1786" s="8">
        <f t="shared" si="2210"/>
        <v>5</v>
      </c>
      <c r="M1786" s="8">
        <f t="shared" si="2211"/>
        <v>1250</v>
      </c>
    </row>
    <row r="1787" spans="1:13" ht="15.75" customHeight="1" x14ac:dyDescent="0.25">
      <c r="A1787" s="24">
        <v>43314</v>
      </c>
      <c r="B1787" s="9" t="s">
        <v>39</v>
      </c>
      <c r="C1787" s="9">
        <v>5000</v>
      </c>
      <c r="D1787" s="9" t="s">
        <v>11</v>
      </c>
      <c r="E1787" s="19">
        <v>175.1</v>
      </c>
      <c r="F1787" s="19">
        <v>174.5</v>
      </c>
      <c r="G1787" s="9">
        <v>0</v>
      </c>
      <c r="H1787" s="15">
        <v>0</v>
      </c>
      <c r="I1787" s="8">
        <f t="shared" si="2213"/>
        <v>2999.9999999999718</v>
      </c>
      <c r="J1787" s="8">
        <v>0</v>
      </c>
      <c r="K1787" s="2">
        <v>0</v>
      </c>
      <c r="L1787" s="8">
        <f t="shared" si="2210"/>
        <v>0.59999999999999432</v>
      </c>
      <c r="M1787" s="8">
        <f t="shared" si="2211"/>
        <v>2999.9999999999718</v>
      </c>
    </row>
    <row r="1788" spans="1:13" ht="15.75" customHeight="1" x14ac:dyDescent="0.25">
      <c r="A1788" s="24">
        <v>43313</v>
      </c>
      <c r="B1788" s="9" t="s">
        <v>31</v>
      </c>
      <c r="C1788" s="9">
        <v>250</v>
      </c>
      <c r="D1788" s="9" t="s">
        <v>11</v>
      </c>
      <c r="E1788" s="19">
        <v>952</v>
      </c>
      <c r="F1788" s="19">
        <v>948</v>
      </c>
      <c r="G1788" s="9">
        <v>0</v>
      </c>
      <c r="H1788" s="15">
        <v>0</v>
      </c>
      <c r="I1788" s="8">
        <f t="shared" si="2213"/>
        <v>1000</v>
      </c>
      <c r="J1788" s="8">
        <v>0</v>
      </c>
      <c r="K1788" s="2">
        <v>0</v>
      </c>
      <c r="L1788" s="8">
        <f t="shared" si="2210"/>
        <v>4</v>
      </c>
      <c r="M1788" s="8">
        <f t="shared" si="2211"/>
        <v>1000</v>
      </c>
    </row>
    <row r="1789" spans="1:13" ht="15.75" customHeight="1" x14ac:dyDescent="0.25">
      <c r="A1789" s="24">
        <v>43313</v>
      </c>
      <c r="B1789" s="9" t="s">
        <v>20</v>
      </c>
      <c r="C1789" s="9">
        <v>1250</v>
      </c>
      <c r="D1789" s="9" t="s">
        <v>11</v>
      </c>
      <c r="E1789" s="19">
        <v>190.8</v>
      </c>
      <c r="F1789" s="19">
        <v>189.8</v>
      </c>
      <c r="G1789" s="9">
        <v>0</v>
      </c>
      <c r="H1789" s="15">
        <v>0</v>
      </c>
      <c r="I1789" s="8">
        <f t="shared" si="2213"/>
        <v>1250</v>
      </c>
      <c r="J1789" s="8">
        <v>0</v>
      </c>
      <c r="K1789" s="2">
        <v>0</v>
      </c>
      <c r="L1789" s="8">
        <f t="shared" si="2210"/>
        <v>1</v>
      </c>
      <c r="M1789" s="8">
        <f t="shared" si="2211"/>
        <v>1250</v>
      </c>
    </row>
    <row r="1790" spans="1:13" ht="15.75" customHeight="1" x14ac:dyDescent="0.25">
      <c r="A1790" s="24">
        <v>43313</v>
      </c>
      <c r="B1790" s="9" t="s">
        <v>16</v>
      </c>
      <c r="C1790" s="9">
        <v>100</v>
      </c>
      <c r="D1790" s="9" t="s">
        <v>11</v>
      </c>
      <c r="E1790" s="19">
        <v>4684</v>
      </c>
      <c r="F1790" s="19">
        <v>4666</v>
      </c>
      <c r="G1790" s="9">
        <v>4636</v>
      </c>
      <c r="H1790" s="15">
        <v>0</v>
      </c>
      <c r="I1790" s="8">
        <f t="shared" si="2213"/>
        <v>1800</v>
      </c>
      <c r="J1790" s="8">
        <f>(IF(D1790="SELL",IF(G1790="",0,F1790-G1790),IF(D1790="BUY",IF(G1790="",0,G1790-F1790))))*C1790</f>
        <v>3000</v>
      </c>
      <c r="K1790" s="2">
        <v>0</v>
      </c>
      <c r="L1790" s="8">
        <f t="shared" si="2210"/>
        <v>48</v>
      </c>
      <c r="M1790" s="8">
        <f t="shared" si="2211"/>
        <v>4800</v>
      </c>
    </row>
    <row r="1791" spans="1:13" ht="15.75" customHeight="1" x14ac:dyDescent="0.25">
      <c r="A1791" s="24">
        <v>43313</v>
      </c>
      <c r="B1791" s="9" t="s">
        <v>35</v>
      </c>
      <c r="C1791" s="9">
        <v>5000</v>
      </c>
      <c r="D1791" s="9" t="s">
        <v>11</v>
      </c>
      <c r="E1791" s="19">
        <v>146.6</v>
      </c>
      <c r="F1791" s="19">
        <v>146.1</v>
      </c>
      <c r="G1791" s="9">
        <v>145.30000000000001</v>
      </c>
      <c r="H1791" s="15">
        <v>0</v>
      </c>
      <c r="I1791" s="8">
        <f t="shared" si="2213"/>
        <v>2500</v>
      </c>
      <c r="J1791" s="8">
        <f>(IF(D1791="SELL",IF(G1791="",0,F1791-G1791),IF(D1791="BUY",IF(G1791="",0,G1791-F1791))))*C1791</f>
        <v>3999.9999999999145</v>
      </c>
      <c r="K1791" s="2">
        <v>0</v>
      </c>
      <c r="L1791" s="8">
        <f t="shared" si="2210"/>
        <v>1.2999999999999829</v>
      </c>
      <c r="M1791" s="8">
        <f t="shared" si="2211"/>
        <v>6499.9999999999145</v>
      </c>
    </row>
    <row r="1792" spans="1:13" ht="15.75" customHeight="1" x14ac:dyDescent="0.25">
      <c r="A1792" s="24">
        <v>43313</v>
      </c>
      <c r="B1792" s="9" t="s">
        <v>29</v>
      </c>
      <c r="C1792" s="9">
        <v>1000</v>
      </c>
      <c r="D1792" s="9" t="s">
        <v>11</v>
      </c>
      <c r="E1792" s="19">
        <v>426.3</v>
      </c>
      <c r="F1792" s="19">
        <v>425</v>
      </c>
      <c r="G1792" s="9">
        <v>0</v>
      </c>
      <c r="H1792" s="15">
        <v>0</v>
      </c>
      <c r="I1792" s="8">
        <f t="shared" si="2213"/>
        <v>1300.0000000000114</v>
      </c>
      <c r="J1792" s="8">
        <v>0</v>
      </c>
      <c r="K1792" s="2">
        <v>0</v>
      </c>
      <c r="L1792" s="8">
        <f t="shared" si="2210"/>
        <v>1.3000000000000114</v>
      </c>
      <c r="M1792" s="8">
        <f t="shared" si="2211"/>
        <v>1300.0000000000114</v>
      </c>
    </row>
    <row r="1793" spans="1:13" ht="15.75" customHeight="1" x14ac:dyDescent="0.25">
      <c r="A1793" s="24">
        <v>43313</v>
      </c>
      <c r="B1793" s="9" t="s">
        <v>39</v>
      </c>
      <c r="C1793" s="9">
        <v>5000</v>
      </c>
      <c r="D1793" s="9" t="s">
        <v>11</v>
      </c>
      <c r="E1793" s="19">
        <v>179.7</v>
      </c>
      <c r="F1793" s="19">
        <v>179.2</v>
      </c>
      <c r="G1793" s="9">
        <v>0</v>
      </c>
      <c r="H1793" s="15">
        <v>0</v>
      </c>
      <c r="I1793" s="8">
        <f t="shared" si="2213"/>
        <v>2500</v>
      </c>
      <c r="J1793" s="8">
        <v>0</v>
      </c>
      <c r="K1793" s="2">
        <v>0</v>
      </c>
      <c r="L1793" s="8">
        <f t="shared" si="2210"/>
        <v>0.5</v>
      </c>
      <c r="M1793" s="8">
        <f t="shared" si="2211"/>
        <v>2500</v>
      </c>
    </row>
    <row r="1794" spans="1:13" ht="15.75" customHeight="1" x14ac:dyDescent="0.25">
      <c r="A1794" s="24">
        <v>43312</v>
      </c>
      <c r="B1794" s="9" t="s">
        <v>29</v>
      </c>
      <c r="C1794" s="9">
        <v>1000</v>
      </c>
      <c r="D1794" s="9" t="s">
        <v>11</v>
      </c>
      <c r="E1794" s="19">
        <v>422</v>
      </c>
      <c r="F1794" s="19">
        <v>426</v>
      </c>
      <c r="G1794" s="9">
        <v>0</v>
      </c>
      <c r="H1794" s="15">
        <v>0</v>
      </c>
      <c r="I1794" s="8">
        <f t="shared" si="2213"/>
        <v>-4000</v>
      </c>
      <c r="J1794" s="8">
        <v>0</v>
      </c>
      <c r="K1794" s="2">
        <v>0</v>
      </c>
      <c r="L1794" s="8">
        <f t="shared" si="2210"/>
        <v>-4</v>
      </c>
      <c r="M1794" s="8">
        <f t="shared" si="2211"/>
        <v>-4000</v>
      </c>
    </row>
    <row r="1795" spans="1:13" ht="15.75" customHeight="1" x14ac:dyDescent="0.25">
      <c r="A1795" s="24">
        <v>43312</v>
      </c>
      <c r="B1795" s="9" t="s">
        <v>16</v>
      </c>
      <c r="C1795" s="9">
        <v>100</v>
      </c>
      <c r="D1795" s="9" t="s">
        <v>11</v>
      </c>
      <c r="E1795" s="19">
        <v>4790</v>
      </c>
      <c r="F1795" s="19">
        <v>4775</v>
      </c>
      <c r="G1795" s="9">
        <v>4750</v>
      </c>
      <c r="H1795" s="15">
        <v>4715</v>
      </c>
      <c r="I1795" s="8">
        <f t="shared" si="2213"/>
        <v>1500</v>
      </c>
      <c r="J1795" s="8">
        <f>(IF(D1795="SELL",IF(G1795="",0,F1795-G1795),IF(D1795="BUY",IF(G1795="",0,G1795-F1795))))*C1795</f>
        <v>2500</v>
      </c>
      <c r="K1795" s="2">
        <f>(IF(D1795="SELL",IF(H1795="",0,G1795-H1795),IF(D1795="BUY",IF(H1795="",0,(H1795-G1795)))))*C1795</f>
        <v>3500</v>
      </c>
      <c r="L1795" s="8">
        <f t="shared" si="2210"/>
        <v>75</v>
      </c>
      <c r="M1795" s="8">
        <f t="shared" si="2211"/>
        <v>7500</v>
      </c>
    </row>
    <row r="1796" spans="1:13" ht="15.75" customHeight="1" x14ac:dyDescent="0.25">
      <c r="A1796" s="24">
        <v>43312</v>
      </c>
      <c r="B1796" s="9" t="s">
        <v>39</v>
      </c>
      <c r="C1796" s="9">
        <v>5000</v>
      </c>
      <c r="D1796" s="9" t="s">
        <v>10</v>
      </c>
      <c r="E1796" s="19">
        <v>180.2</v>
      </c>
      <c r="F1796" s="19">
        <v>180.7</v>
      </c>
      <c r="G1796" s="9">
        <v>0</v>
      </c>
      <c r="H1796" s="15">
        <v>0</v>
      </c>
      <c r="I1796" s="8">
        <f t="shared" si="2213"/>
        <v>2500</v>
      </c>
      <c r="J1796" s="8">
        <v>0</v>
      </c>
      <c r="K1796" s="2">
        <v>0</v>
      </c>
      <c r="L1796" s="8">
        <f t="shared" si="2210"/>
        <v>0.5</v>
      </c>
      <c r="M1796" s="8">
        <f t="shared" si="2211"/>
        <v>2500</v>
      </c>
    </row>
    <row r="1797" spans="1:13" ht="15.75" customHeight="1" x14ac:dyDescent="0.25">
      <c r="A1797" s="24">
        <v>43312</v>
      </c>
      <c r="B1797" s="9" t="s">
        <v>30</v>
      </c>
      <c r="C1797" s="9">
        <v>100</v>
      </c>
      <c r="D1797" s="9" t="s">
        <v>11</v>
      </c>
      <c r="E1797" s="19">
        <v>29690</v>
      </c>
      <c r="F1797" s="19">
        <v>29650</v>
      </c>
      <c r="G1797" s="9">
        <v>0</v>
      </c>
      <c r="H1797" s="15">
        <v>0</v>
      </c>
      <c r="I1797" s="8">
        <f t="shared" si="2213"/>
        <v>4000</v>
      </c>
      <c r="J1797" s="8">
        <v>0</v>
      </c>
      <c r="K1797" s="2">
        <v>0</v>
      </c>
      <c r="L1797" s="8">
        <f t="shared" ref="L1797:L1860" si="2214">(J1797+I1797+K1797)/C1797</f>
        <v>40</v>
      </c>
      <c r="M1797" s="8">
        <f t="shared" ref="M1797:M1860" si="2215">L1797*C1797</f>
        <v>4000</v>
      </c>
    </row>
    <row r="1798" spans="1:13" ht="15.75" customHeight="1" x14ac:dyDescent="0.25">
      <c r="A1798" s="24">
        <v>43311</v>
      </c>
      <c r="B1798" s="9" t="s">
        <v>49</v>
      </c>
      <c r="C1798" s="9">
        <v>100</v>
      </c>
      <c r="D1798" s="9" t="s">
        <v>10</v>
      </c>
      <c r="E1798" s="19">
        <v>4745</v>
      </c>
      <c r="F1798" s="19">
        <v>4765</v>
      </c>
      <c r="G1798" s="9">
        <v>4795</v>
      </c>
      <c r="H1798" s="15">
        <v>4835</v>
      </c>
      <c r="I1798" s="8">
        <f t="shared" si="2213"/>
        <v>2000</v>
      </c>
      <c r="J1798" s="8">
        <f>(IF(D1798="SELL",IF(G1798="",0,F1798-G1798),IF(D1798="BUY",IF(G1798="",0,G1798-F1798))))*C1798</f>
        <v>3000</v>
      </c>
      <c r="K1798" s="2">
        <f>(IF(D1798="SELL",IF(H1798="",0,G1798-H1798),IF(D1798="BUY",IF(H1798="",0,(H1798-G1798)))))*C1798</f>
        <v>4000</v>
      </c>
      <c r="L1798" s="8">
        <f t="shared" si="2214"/>
        <v>90</v>
      </c>
      <c r="M1798" s="8">
        <f t="shared" si="2215"/>
        <v>9000</v>
      </c>
    </row>
    <row r="1799" spans="1:13" ht="15.75" customHeight="1" x14ac:dyDescent="0.25">
      <c r="A1799" s="24">
        <v>43311</v>
      </c>
      <c r="B1799" s="9" t="s">
        <v>39</v>
      </c>
      <c r="C1799" s="9">
        <v>5000</v>
      </c>
      <c r="D1799" s="9" t="s">
        <v>11</v>
      </c>
      <c r="E1799" s="19">
        <v>177.3</v>
      </c>
      <c r="F1799" s="19">
        <v>176.7</v>
      </c>
      <c r="G1799" s="9">
        <v>0</v>
      </c>
      <c r="H1799" s="15">
        <v>0</v>
      </c>
      <c r="I1799" s="8">
        <f t="shared" si="2213"/>
        <v>3000.0000000001137</v>
      </c>
      <c r="J1799" s="8">
        <v>0</v>
      </c>
      <c r="K1799" s="2">
        <v>0</v>
      </c>
      <c r="L1799" s="8">
        <f t="shared" si="2214"/>
        <v>0.60000000000002274</v>
      </c>
      <c r="M1799" s="8">
        <f t="shared" si="2215"/>
        <v>3000.0000000001137</v>
      </c>
    </row>
    <row r="1800" spans="1:13" ht="15.75" customHeight="1" x14ac:dyDescent="0.25">
      <c r="A1800" s="24">
        <v>43308</v>
      </c>
      <c r="B1800" s="9" t="s">
        <v>30</v>
      </c>
      <c r="C1800" s="9">
        <v>100</v>
      </c>
      <c r="D1800" s="9" t="s">
        <v>11</v>
      </c>
      <c r="E1800" s="19">
        <v>29725</v>
      </c>
      <c r="F1800" s="19">
        <v>29660</v>
      </c>
      <c r="G1800" s="9">
        <v>0</v>
      </c>
      <c r="H1800" s="15">
        <v>0</v>
      </c>
      <c r="I1800" s="8">
        <f t="shared" si="2213"/>
        <v>6500</v>
      </c>
      <c r="J1800" s="8">
        <v>0</v>
      </c>
      <c r="K1800" s="2">
        <v>0</v>
      </c>
      <c r="L1800" s="8">
        <f t="shared" si="2214"/>
        <v>65</v>
      </c>
      <c r="M1800" s="8">
        <f t="shared" si="2215"/>
        <v>6500</v>
      </c>
    </row>
    <row r="1801" spans="1:13" ht="15.75" customHeight="1" x14ac:dyDescent="0.25">
      <c r="A1801" s="24">
        <v>43308</v>
      </c>
      <c r="B1801" s="9" t="s">
        <v>39</v>
      </c>
      <c r="C1801" s="9">
        <v>5000</v>
      </c>
      <c r="D1801" s="9" t="s">
        <v>11</v>
      </c>
      <c r="E1801" s="19">
        <v>178.8</v>
      </c>
      <c r="F1801" s="19">
        <v>178.2</v>
      </c>
      <c r="G1801" s="9">
        <v>0</v>
      </c>
      <c r="H1801" s="15">
        <v>0</v>
      </c>
      <c r="I1801" s="8">
        <f t="shared" si="2213"/>
        <v>3000.0000000001137</v>
      </c>
      <c r="J1801" s="8">
        <v>0</v>
      </c>
      <c r="K1801" s="2">
        <v>0</v>
      </c>
      <c r="L1801" s="8">
        <f t="shared" si="2214"/>
        <v>0.60000000000002274</v>
      </c>
      <c r="M1801" s="8">
        <f t="shared" si="2215"/>
        <v>3000.0000000001137</v>
      </c>
    </row>
    <row r="1802" spans="1:13" ht="15.75" customHeight="1" x14ac:dyDescent="0.25">
      <c r="A1802" s="24">
        <v>43307</v>
      </c>
      <c r="B1802" s="9" t="s">
        <v>29</v>
      </c>
      <c r="C1802" s="9">
        <v>30</v>
      </c>
      <c r="D1802" s="9" t="s">
        <v>10</v>
      </c>
      <c r="E1802" s="19">
        <v>433.1</v>
      </c>
      <c r="F1802" s="19">
        <v>0</v>
      </c>
      <c r="G1802" s="9">
        <v>0</v>
      </c>
      <c r="H1802" s="15">
        <v>0</v>
      </c>
      <c r="I1802" s="8">
        <v>0</v>
      </c>
      <c r="J1802" s="8">
        <v>0</v>
      </c>
      <c r="K1802" s="2">
        <v>0</v>
      </c>
      <c r="L1802" s="8">
        <f t="shared" si="2214"/>
        <v>0</v>
      </c>
      <c r="M1802" s="8">
        <f t="shared" si="2215"/>
        <v>0</v>
      </c>
    </row>
    <row r="1803" spans="1:13" ht="15.75" customHeight="1" x14ac:dyDescent="0.25">
      <c r="A1803" s="24">
        <v>43307</v>
      </c>
      <c r="B1803" s="9" t="s">
        <v>38</v>
      </c>
      <c r="C1803" s="9">
        <v>100</v>
      </c>
      <c r="D1803" s="9" t="s">
        <v>10</v>
      </c>
      <c r="E1803" s="19">
        <v>4775</v>
      </c>
      <c r="F1803" s="19">
        <v>4790</v>
      </c>
      <c r="G1803" s="9">
        <v>0</v>
      </c>
      <c r="H1803" s="15">
        <v>0</v>
      </c>
      <c r="I1803" s="8">
        <f t="shared" ref="I1803:I1834" si="2216">(IF(D1803="SELL",E1803-F1803,IF(D1803="BUY",F1803-E1803)))*C1803</f>
        <v>1500</v>
      </c>
      <c r="J1803" s="8">
        <v>0</v>
      </c>
      <c r="K1803" s="2">
        <v>0</v>
      </c>
      <c r="L1803" s="8">
        <f t="shared" si="2214"/>
        <v>15</v>
      </c>
      <c r="M1803" s="8">
        <f t="shared" si="2215"/>
        <v>1500</v>
      </c>
    </row>
    <row r="1804" spans="1:13" ht="15.75" customHeight="1" x14ac:dyDescent="0.25">
      <c r="A1804" s="24">
        <v>43305</v>
      </c>
      <c r="B1804" s="9" t="s">
        <v>31</v>
      </c>
      <c r="C1804" s="9">
        <v>250</v>
      </c>
      <c r="D1804" s="9" t="s">
        <v>10</v>
      </c>
      <c r="E1804" s="19">
        <v>925</v>
      </c>
      <c r="F1804" s="19">
        <v>929</v>
      </c>
      <c r="G1804" s="9">
        <v>936</v>
      </c>
      <c r="H1804" s="15">
        <v>0</v>
      </c>
      <c r="I1804" s="8">
        <f t="shared" si="2216"/>
        <v>1000</v>
      </c>
      <c r="J1804" s="8">
        <f>(IF(D1804="SELL",IF(G1804="",0,F1804-G1804),IF(D1804="BUY",IF(G1804="",0,G1804-F1804))))*C1804</f>
        <v>1750</v>
      </c>
      <c r="K1804" s="2">
        <v>0</v>
      </c>
      <c r="L1804" s="8">
        <f t="shared" si="2214"/>
        <v>11</v>
      </c>
      <c r="M1804" s="8">
        <f t="shared" si="2215"/>
        <v>2750</v>
      </c>
    </row>
    <row r="1805" spans="1:13" ht="15.75" customHeight="1" x14ac:dyDescent="0.25">
      <c r="A1805" s="24">
        <v>43305</v>
      </c>
      <c r="B1805" s="9" t="s">
        <v>14</v>
      </c>
      <c r="C1805" s="9">
        <v>30</v>
      </c>
      <c r="D1805" s="9" t="s">
        <v>10</v>
      </c>
      <c r="E1805" s="19">
        <v>38500</v>
      </c>
      <c r="F1805" s="19">
        <v>38640</v>
      </c>
      <c r="G1805" s="9">
        <v>0</v>
      </c>
      <c r="H1805" s="15">
        <v>0</v>
      </c>
      <c r="I1805" s="8">
        <f t="shared" si="2216"/>
        <v>4200</v>
      </c>
      <c r="J1805" s="8">
        <v>0</v>
      </c>
      <c r="K1805" s="2">
        <v>0</v>
      </c>
      <c r="L1805" s="8">
        <f t="shared" si="2214"/>
        <v>140</v>
      </c>
      <c r="M1805" s="8">
        <f t="shared" si="2215"/>
        <v>4200</v>
      </c>
    </row>
    <row r="1806" spans="1:13" ht="15.75" customHeight="1" x14ac:dyDescent="0.25">
      <c r="A1806" s="24">
        <v>43305</v>
      </c>
      <c r="B1806" s="9" t="s">
        <v>29</v>
      </c>
      <c r="C1806" s="9">
        <v>1000</v>
      </c>
      <c r="D1806" s="9" t="s">
        <v>10</v>
      </c>
      <c r="E1806" s="19">
        <v>423.55</v>
      </c>
      <c r="F1806" s="19">
        <v>424.55</v>
      </c>
      <c r="G1806" s="9">
        <v>426.6</v>
      </c>
      <c r="H1806" s="15">
        <v>430</v>
      </c>
      <c r="I1806" s="8">
        <f t="shared" si="2216"/>
        <v>1000</v>
      </c>
      <c r="J1806" s="8">
        <f>(IF(D1806="SELL",IF(G1806="",0,F1806-G1806),IF(D1806="BUY",IF(G1806="",0,G1806-F1806))))*C1806</f>
        <v>2050.0000000000114</v>
      </c>
      <c r="K1806" s="2">
        <f>(IF(D1806="SELL",IF(H1806="",0,G1806-H1806),IF(D1806="BUY",IF(H1806="",0,(H1806-G1806)))))*C1806</f>
        <v>3399.9999999999773</v>
      </c>
      <c r="L1806" s="8">
        <f t="shared" si="2214"/>
        <v>6.4499999999999895</v>
      </c>
      <c r="M1806" s="8">
        <f t="shared" si="2215"/>
        <v>6449.9999999999891</v>
      </c>
    </row>
    <row r="1807" spans="1:13" ht="15.75" customHeight="1" x14ac:dyDescent="0.25">
      <c r="A1807" s="24">
        <v>43304</v>
      </c>
      <c r="B1807" s="9" t="s">
        <v>29</v>
      </c>
      <c r="C1807" s="9">
        <v>1000</v>
      </c>
      <c r="D1807" s="9" t="s">
        <v>10</v>
      </c>
      <c r="E1807" s="19">
        <v>421.4</v>
      </c>
      <c r="F1807" s="19">
        <v>422.4</v>
      </c>
      <c r="G1807" s="9">
        <v>0</v>
      </c>
      <c r="H1807" s="15">
        <v>0</v>
      </c>
      <c r="I1807" s="8">
        <f t="shared" si="2216"/>
        <v>1000</v>
      </c>
      <c r="J1807" s="8">
        <v>0</v>
      </c>
      <c r="K1807" s="2">
        <v>0</v>
      </c>
      <c r="L1807" s="8">
        <f t="shared" si="2214"/>
        <v>1</v>
      </c>
      <c r="M1807" s="8">
        <f t="shared" si="2215"/>
        <v>1000</v>
      </c>
    </row>
    <row r="1808" spans="1:13" ht="15.75" customHeight="1" x14ac:dyDescent="0.25">
      <c r="A1808" s="24">
        <v>43304</v>
      </c>
      <c r="B1808" s="9" t="s">
        <v>38</v>
      </c>
      <c r="C1808" s="9">
        <v>100</v>
      </c>
      <c r="D1808" s="9" t="s">
        <v>10</v>
      </c>
      <c r="E1808" s="19">
        <v>4750</v>
      </c>
      <c r="F1808" s="19">
        <v>4765</v>
      </c>
      <c r="G1808" s="9">
        <v>4790</v>
      </c>
      <c r="H1808" s="15">
        <v>0</v>
      </c>
      <c r="I1808" s="8">
        <f t="shared" si="2216"/>
        <v>1500</v>
      </c>
      <c r="J1808" s="8">
        <f>(IF(D1808="SELL",IF(G1808="",0,F1808-G1808),IF(D1808="BUY",IF(G1808="",0,G1808-F1808))))*C1808</f>
        <v>2500</v>
      </c>
      <c r="K1808" s="2">
        <v>0</v>
      </c>
      <c r="L1808" s="8">
        <f t="shared" si="2214"/>
        <v>40</v>
      </c>
      <c r="M1808" s="8">
        <f t="shared" si="2215"/>
        <v>4000</v>
      </c>
    </row>
    <row r="1809" spans="1:13" ht="15.75" customHeight="1" x14ac:dyDescent="0.25">
      <c r="A1809" s="24">
        <v>43301</v>
      </c>
      <c r="B1809" s="9" t="s">
        <v>35</v>
      </c>
      <c r="C1809" s="9">
        <v>5000</v>
      </c>
      <c r="D1809" s="9" t="s">
        <v>10</v>
      </c>
      <c r="E1809" s="19">
        <v>147</v>
      </c>
      <c r="F1809" s="19">
        <v>145.30000000000001</v>
      </c>
      <c r="G1809" s="9">
        <v>0</v>
      </c>
      <c r="H1809" s="15">
        <v>0</v>
      </c>
      <c r="I1809" s="8">
        <f t="shared" si="2216"/>
        <v>-8499.9999999999436</v>
      </c>
      <c r="J1809" s="8">
        <v>0</v>
      </c>
      <c r="K1809" s="2">
        <v>0</v>
      </c>
      <c r="L1809" s="8">
        <f t="shared" si="2214"/>
        <v>-1.6999999999999886</v>
      </c>
      <c r="M1809" s="8">
        <f t="shared" si="2215"/>
        <v>-8499.9999999999436</v>
      </c>
    </row>
    <row r="1810" spans="1:13" ht="15.75" customHeight="1" x14ac:dyDescent="0.25">
      <c r="A1810" s="24">
        <v>43300</v>
      </c>
      <c r="B1810" s="9" t="s">
        <v>40</v>
      </c>
      <c r="C1810" s="9">
        <v>30</v>
      </c>
      <c r="D1810" s="9" t="s">
        <v>11</v>
      </c>
      <c r="E1810" s="19">
        <v>38190</v>
      </c>
      <c r="F1810" s="19">
        <v>38090</v>
      </c>
      <c r="G1810" s="9">
        <v>0</v>
      </c>
      <c r="H1810" s="15">
        <v>0</v>
      </c>
      <c r="I1810" s="8">
        <f t="shared" si="2216"/>
        <v>3000</v>
      </c>
      <c r="J1810" s="8">
        <v>0</v>
      </c>
      <c r="K1810" s="2">
        <v>0</v>
      </c>
      <c r="L1810" s="8">
        <f t="shared" si="2214"/>
        <v>100</v>
      </c>
      <c r="M1810" s="8">
        <f t="shared" si="2215"/>
        <v>3000</v>
      </c>
    </row>
    <row r="1811" spans="1:13" ht="15.75" customHeight="1" x14ac:dyDescent="0.25">
      <c r="A1811" s="24">
        <v>43300</v>
      </c>
      <c r="B1811" s="9" t="s">
        <v>39</v>
      </c>
      <c r="C1811" s="9">
        <v>5000</v>
      </c>
      <c r="D1811" s="9" t="s">
        <v>11</v>
      </c>
      <c r="E1811" s="19">
        <v>175</v>
      </c>
      <c r="F1811" s="19">
        <v>174.5</v>
      </c>
      <c r="G1811" s="9">
        <v>0</v>
      </c>
      <c r="H1811" s="15">
        <v>0</v>
      </c>
      <c r="I1811" s="8">
        <f t="shared" si="2216"/>
        <v>2500</v>
      </c>
      <c r="J1811" s="8">
        <v>0</v>
      </c>
      <c r="K1811" s="2">
        <v>0</v>
      </c>
      <c r="L1811" s="8">
        <f t="shared" si="2214"/>
        <v>0.5</v>
      </c>
      <c r="M1811" s="8">
        <f t="shared" si="2215"/>
        <v>2500</v>
      </c>
    </row>
    <row r="1812" spans="1:13" ht="15.75" customHeight="1" x14ac:dyDescent="0.25">
      <c r="A1812" s="24">
        <v>43300</v>
      </c>
      <c r="B1812" s="9" t="s">
        <v>31</v>
      </c>
      <c r="C1812" s="9">
        <v>250</v>
      </c>
      <c r="D1812" s="9" t="s">
        <v>11</v>
      </c>
      <c r="E1812" s="19">
        <v>917.8</v>
      </c>
      <c r="F1812" s="19">
        <v>913.8</v>
      </c>
      <c r="G1812" s="9">
        <v>0</v>
      </c>
      <c r="H1812" s="15">
        <v>0</v>
      </c>
      <c r="I1812" s="8">
        <f t="shared" si="2216"/>
        <v>1000</v>
      </c>
      <c r="J1812" s="8">
        <v>0</v>
      </c>
      <c r="K1812" s="2">
        <v>0</v>
      </c>
      <c r="L1812" s="8">
        <f t="shared" si="2214"/>
        <v>4</v>
      </c>
      <c r="M1812" s="8">
        <f t="shared" si="2215"/>
        <v>1000</v>
      </c>
    </row>
    <row r="1813" spans="1:13" ht="15.75" customHeight="1" x14ac:dyDescent="0.25">
      <c r="A1813" s="24">
        <v>43300</v>
      </c>
      <c r="B1813" s="9" t="s">
        <v>29</v>
      </c>
      <c r="C1813" s="9">
        <v>1000</v>
      </c>
      <c r="D1813" s="9" t="s">
        <v>11</v>
      </c>
      <c r="E1813" s="19">
        <v>415</v>
      </c>
      <c r="F1813" s="19">
        <v>414</v>
      </c>
      <c r="G1813" s="9">
        <v>412</v>
      </c>
      <c r="H1813" s="15">
        <v>0</v>
      </c>
      <c r="I1813" s="8">
        <f t="shared" si="2216"/>
        <v>1000</v>
      </c>
      <c r="J1813" s="8">
        <f>(IF(D1813="SELL",IF(G1813="",0,F1813-G1813),IF(D1813="BUY",IF(G1813="",0,G1813-F1813))))*C1813</f>
        <v>2000</v>
      </c>
      <c r="K1813" s="2">
        <v>0</v>
      </c>
      <c r="L1813" s="8">
        <f t="shared" si="2214"/>
        <v>3</v>
      </c>
      <c r="M1813" s="8">
        <f t="shared" si="2215"/>
        <v>3000</v>
      </c>
    </row>
    <row r="1814" spans="1:13" ht="15.75" customHeight="1" x14ac:dyDescent="0.25">
      <c r="A1814" s="24">
        <v>43299</v>
      </c>
      <c r="B1814" s="9" t="s">
        <v>16</v>
      </c>
      <c r="C1814" s="9">
        <v>100</v>
      </c>
      <c r="D1814" s="9" t="s">
        <v>11</v>
      </c>
      <c r="E1814" s="19">
        <v>4606</v>
      </c>
      <c r="F1814" s="19">
        <v>4652</v>
      </c>
      <c r="G1814" s="9">
        <v>0</v>
      </c>
      <c r="H1814" s="15">
        <v>0</v>
      </c>
      <c r="I1814" s="8">
        <f t="shared" si="2216"/>
        <v>-4600</v>
      </c>
      <c r="J1814" s="8">
        <v>0</v>
      </c>
      <c r="K1814" s="2">
        <v>0</v>
      </c>
      <c r="L1814" s="8">
        <f t="shared" si="2214"/>
        <v>-46</v>
      </c>
      <c r="M1814" s="8">
        <f t="shared" si="2215"/>
        <v>-4600</v>
      </c>
    </row>
    <row r="1815" spans="1:13" ht="15.75" customHeight="1" x14ac:dyDescent="0.25">
      <c r="A1815" s="24">
        <v>43299</v>
      </c>
      <c r="B1815" s="9" t="s">
        <v>40</v>
      </c>
      <c r="C1815" s="9">
        <v>30</v>
      </c>
      <c r="D1815" s="9" t="s">
        <v>11</v>
      </c>
      <c r="E1815" s="19">
        <v>38250</v>
      </c>
      <c r="F1815" s="19">
        <v>38150</v>
      </c>
      <c r="G1815" s="9">
        <v>0</v>
      </c>
      <c r="H1815" s="15">
        <v>0</v>
      </c>
      <c r="I1815" s="8">
        <f t="shared" si="2216"/>
        <v>3000</v>
      </c>
      <c r="J1815" s="8">
        <v>0</v>
      </c>
      <c r="K1815" s="2">
        <v>0</v>
      </c>
      <c r="L1815" s="8">
        <f t="shared" si="2214"/>
        <v>100</v>
      </c>
      <c r="M1815" s="8">
        <f t="shared" si="2215"/>
        <v>3000</v>
      </c>
    </row>
    <row r="1816" spans="1:13" ht="15.75" customHeight="1" x14ac:dyDescent="0.25">
      <c r="A1816" s="24">
        <v>43299</v>
      </c>
      <c r="B1816" s="9" t="s">
        <v>39</v>
      </c>
      <c r="C1816" s="9">
        <v>5000</v>
      </c>
      <c r="D1816" s="9" t="s">
        <v>10</v>
      </c>
      <c r="E1816" s="19">
        <v>174.9</v>
      </c>
      <c r="F1816" s="19">
        <v>175.4</v>
      </c>
      <c r="G1816" s="9">
        <v>176.4</v>
      </c>
      <c r="H1816" s="15">
        <v>178.2</v>
      </c>
      <c r="I1816" s="8">
        <f t="shared" si="2216"/>
        <v>2500</v>
      </c>
      <c r="J1816" s="8">
        <v>0</v>
      </c>
      <c r="K1816" s="2">
        <f>(IF(D1816="SELL",IF(H1816="",0,G1816-H1816),IF(D1816="BUY",IF(H1816="",0,(H1816-G1816)))))*C1816</f>
        <v>8999.9999999999145</v>
      </c>
      <c r="L1816" s="8">
        <f t="shared" si="2214"/>
        <v>2.2999999999999829</v>
      </c>
      <c r="M1816" s="8">
        <f t="shared" si="2215"/>
        <v>11499.999999999915</v>
      </c>
    </row>
    <row r="1817" spans="1:13" ht="15.75" customHeight="1" x14ac:dyDescent="0.25">
      <c r="A1817" s="24">
        <v>43299</v>
      </c>
      <c r="B1817" s="9" t="s">
        <v>31</v>
      </c>
      <c r="C1817" s="9">
        <v>250</v>
      </c>
      <c r="D1817" s="9" t="s">
        <v>11</v>
      </c>
      <c r="E1817" s="19">
        <v>917</v>
      </c>
      <c r="F1817" s="19">
        <v>913</v>
      </c>
      <c r="G1817" s="9">
        <v>0</v>
      </c>
      <c r="H1817" s="15">
        <v>0</v>
      </c>
      <c r="I1817" s="8">
        <f t="shared" si="2216"/>
        <v>1000</v>
      </c>
      <c r="J1817" s="8">
        <v>0</v>
      </c>
      <c r="K1817" s="2">
        <v>0</v>
      </c>
      <c r="L1817" s="8">
        <f t="shared" si="2214"/>
        <v>4</v>
      </c>
      <c r="M1817" s="8">
        <f t="shared" si="2215"/>
        <v>1000</v>
      </c>
    </row>
    <row r="1818" spans="1:13" ht="15.75" customHeight="1" x14ac:dyDescent="0.25">
      <c r="A1818" s="24">
        <v>43298</v>
      </c>
      <c r="B1818" s="9" t="s">
        <v>43</v>
      </c>
      <c r="C1818" s="9">
        <v>100</v>
      </c>
      <c r="D1818" s="9" t="s">
        <v>11</v>
      </c>
      <c r="E1818" s="19">
        <v>4626</v>
      </c>
      <c r="F1818" s="19">
        <v>4671</v>
      </c>
      <c r="G1818" s="9">
        <v>0</v>
      </c>
      <c r="H1818" s="15">
        <v>0</v>
      </c>
      <c r="I1818" s="8">
        <f t="shared" si="2216"/>
        <v>-4500</v>
      </c>
      <c r="J1818" s="8">
        <v>0</v>
      </c>
      <c r="K1818" s="2">
        <v>0</v>
      </c>
      <c r="L1818" s="8">
        <f t="shared" si="2214"/>
        <v>-45</v>
      </c>
      <c r="M1818" s="8">
        <f t="shared" si="2215"/>
        <v>-4500</v>
      </c>
    </row>
    <row r="1819" spans="1:13" ht="15.75" customHeight="1" x14ac:dyDescent="0.25">
      <c r="A1819" s="24">
        <v>43298</v>
      </c>
      <c r="B1819" s="9" t="s">
        <v>29</v>
      </c>
      <c r="C1819" s="9">
        <v>1000</v>
      </c>
      <c r="D1819" s="9" t="s">
        <v>10</v>
      </c>
      <c r="E1819" s="19">
        <v>425.15</v>
      </c>
      <c r="F1819" s="19">
        <v>421.3</v>
      </c>
      <c r="G1819" s="9">
        <v>0</v>
      </c>
      <c r="H1819" s="15">
        <v>0</v>
      </c>
      <c r="I1819" s="8">
        <f t="shared" si="2216"/>
        <v>-3849.9999999999659</v>
      </c>
      <c r="J1819" s="8">
        <v>0</v>
      </c>
      <c r="K1819" s="2">
        <v>0</v>
      </c>
      <c r="L1819" s="8">
        <f t="shared" si="2214"/>
        <v>-3.8499999999999659</v>
      </c>
      <c r="M1819" s="8">
        <f t="shared" si="2215"/>
        <v>-3849.9999999999659</v>
      </c>
    </row>
    <row r="1820" spans="1:13" ht="15.75" customHeight="1" x14ac:dyDescent="0.25">
      <c r="A1820" s="24">
        <v>43298</v>
      </c>
      <c r="B1820" s="9" t="s">
        <v>30</v>
      </c>
      <c r="C1820" s="9">
        <v>100</v>
      </c>
      <c r="D1820" s="9" t="s">
        <v>11</v>
      </c>
      <c r="E1820" s="19">
        <v>29990</v>
      </c>
      <c r="F1820" s="19">
        <v>29950</v>
      </c>
      <c r="G1820" s="9">
        <v>29850</v>
      </c>
      <c r="H1820" s="15">
        <v>0</v>
      </c>
      <c r="I1820" s="8">
        <f t="shared" si="2216"/>
        <v>4000</v>
      </c>
      <c r="J1820" s="8">
        <f>(IF(D1820="SELL",IF(G1820="",0,F1820-G1820),IF(D1820="BUY",IF(G1820="",0,G1820-F1820))))*C1820</f>
        <v>10000</v>
      </c>
      <c r="K1820" s="2">
        <v>0</v>
      </c>
      <c r="L1820" s="8">
        <f t="shared" si="2214"/>
        <v>140</v>
      </c>
      <c r="M1820" s="8">
        <f t="shared" si="2215"/>
        <v>14000</v>
      </c>
    </row>
    <row r="1821" spans="1:13" ht="15.75" customHeight="1" x14ac:dyDescent="0.25">
      <c r="A1821" s="24">
        <v>43298</v>
      </c>
      <c r="B1821" s="9" t="s">
        <v>40</v>
      </c>
      <c r="C1821" s="9">
        <v>30</v>
      </c>
      <c r="D1821" s="9" t="s">
        <v>11</v>
      </c>
      <c r="E1821" s="19">
        <v>38890</v>
      </c>
      <c r="F1821" s="19">
        <v>38790</v>
      </c>
      <c r="G1821" s="9">
        <v>38600</v>
      </c>
      <c r="H1821" s="15">
        <v>0</v>
      </c>
      <c r="I1821" s="8">
        <f t="shared" si="2216"/>
        <v>3000</v>
      </c>
      <c r="J1821" s="8">
        <f>(IF(D1821="SELL",IF(G1821="",0,F1821-G1821),IF(D1821="BUY",IF(G1821="",0,G1821-F1821))))*C1821</f>
        <v>5700</v>
      </c>
      <c r="K1821" s="2">
        <v>0</v>
      </c>
      <c r="L1821" s="8">
        <f t="shared" si="2214"/>
        <v>290</v>
      </c>
      <c r="M1821" s="8">
        <f t="shared" si="2215"/>
        <v>8700</v>
      </c>
    </row>
    <row r="1822" spans="1:13" ht="15.75" customHeight="1" x14ac:dyDescent="0.25">
      <c r="A1822" s="24">
        <v>43298</v>
      </c>
      <c r="B1822" s="9" t="s">
        <v>37</v>
      </c>
      <c r="C1822" s="9">
        <v>5000</v>
      </c>
      <c r="D1822" s="9" t="s">
        <v>11</v>
      </c>
      <c r="E1822" s="19">
        <v>140.80000000000001</v>
      </c>
      <c r="F1822" s="19">
        <v>140.30000000000001</v>
      </c>
      <c r="G1822" s="9">
        <v>0</v>
      </c>
      <c r="H1822" s="15">
        <v>0</v>
      </c>
      <c r="I1822" s="8">
        <f t="shared" si="2216"/>
        <v>2500</v>
      </c>
      <c r="J1822" s="8">
        <v>0</v>
      </c>
      <c r="K1822" s="2">
        <v>0</v>
      </c>
      <c r="L1822" s="8">
        <f t="shared" si="2214"/>
        <v>0.5</v>
      </c>
      <c r="M1822" s="8">
        <f t="shared" si="2215"/>
        <v>2500</v>
      </c>
    </row>
    <row r="1823" spans="1:13" ht="15.75" customHeight="1" x14ac:dyDescent="0.25">
      <c r="A1823" s="24">
        <v>43298</v>
      </c>
      <c r="B1823" s="9" t="s">
        <v>31</v>
      </c>
      <c r="C1823" s="9">
        <v>250</v>
      </c>
      <c r="D1823" s="9" t="s">
        <v>11</v>
      </c>
      <c r="E1823" s="19">
        <v>934</v>
      </c>
      <c r="F1823" s="19">
        <v>930</v>
      </c>
      <c r="G1823" s="9">
        <v>923</v>
      </c>
      <c r="H1823" s="15">
        <v>0</v>
      </c>
      <c r="I1823" s="8">
        <f t="shared" si="2216"/>
        <v>1000</v>
      </c>
      <c r="J1823" s="8">
        <f>(IF(D1823="SELL",IF(G1823="",0,F1823-G1823),IF(D1823="BUY",IF(G1823="",0,G1823-F1823))))*C1823</f>
        <v>1750</v>
      </c>
      <c r="K1823" s="2">
        <v>0</v>
      </c>
      <c r="L1823" s="8">
        <f t="shared" si="2214"/>
        <v>11</v>
      </c>
      <c r="M1823" s="8">
        <f t="shared" si="2215"/>
        <v>2750</v>
      </c>
    </row>
    <row r="1824" spans="1:13" ht="15.75" customHeight="1" x14ac:dyDescent="0.25">
      <c r="A1824" s="24">
        <v>43297</v>
      </c>
      <c r="B1824" s="9" t="s">
        <v>39</v>
      </c>
      <c r="C1824" s="9">
        <v>5000</v>
      </c>
      <c r="D1824" s="9" t="s">
        <v>11</v>
      </c>
      <c r="E1824" s="19">
        <v>176</v>
      </c>
      <c r="F1824" s="19">
        <v>175.5</v>
      </c>
      <c r="G1824" s="9">
        <v>0</v>
      </c>
      <c r="H1824" s="15">
        <v>0</v>
      </c>
      <c r="I1824" s="8">
        <f t="shared" si="2216"/>
        <v>2500</v>
      </c>
      <c r="J1824" s="8">
        <v>0</v>
      </c>
      <c r="K1824" s="2">
        <v>0</v>
      </c>
      <c r="L1824" s="8">
        <f t="shared" si="2214"/>
        <v>0.5</v>
      </c>
      <c r="M1824" s="8">
        <f t="shared" si="2215"/>
        <v>2500</v>
      </c>
    </row>
    <row r="1825" spans="1:13" ht="15.75" customHeight="1" x14ac:dyDescent="0.25">
      <c r="A1825" s="24">
        <v>43297</v>
      </c>
      <c r="B1825" s="9" t="s">
        <v>35</v>
      </c>
      <c r="C1825" s="9">
        <v>5000</v>
      </c>
      <c r="D1825" s="9" t="s">
        <v>11</v>
      </c>
      <c r="E1825" s="19">
        <v>150</v>
      </c>
      <c r="F1825" s="19">
        <v>149.5</v>
      </c>
      <c r="G1825" s="9">
        <v>0</v>
      </c>
      <c r="H1825" s="15">
        <v>0</v>
      </c>
      <c r="I1825" s="8">
        <f t="shared" si="2216"/>
        <v>2500</v>
      </c>
      <c r="J1825" s="8">
        <v>0</v>
      </c>
      <c r="K1825" s="2">
        <v>0</v>
      </c>
      <c r="L1825" s="8">
        <f t="shared" si="2214"/>
        <v>0.5</v>
      </c>
      <c r="M1825" s="8">
        <f t="shared" si="2215"/>
        <v>2500</v>
      </c>
    </row>
    <row r="1826" spans="1:13" ht="15.75" customHeight="1" x14ac:dyDescent="0.25">
      <c r="A1826" s="24">
        <v>43297</v>
      </c>
      <c r="B1826" s="9" t="s">
        <v>39</v>
      </c>
      <c r="C1826" s="9">
        <v>5000</v>
      </c>
      <c r="D1826" s="9" t="s">
        <v>11</v>
      </c>
      <c r="E1826" s="19">
        <v>176</v>
      </c>
      <c r="F1826" s="19">
        <v>175.5</v>
      </c>
      <c r="G1826" s="9">
        <v>174.6</v>
      </c>
      <c r="H1826" s="15">
        <v>172.6</v>
      </c>
      <c r="I1826" s="8">
        <f t="shared" si="2216"/>
        <v>2500</v>
      </c>
      <c r="J1826" s="8">
        <f>(IF(D1826="SELL",IF(G1826="",0,F1826-G1826),IF(D1826="BUY",IF(G1826="",0,G1826-F1826))))*C1826</f>
        <v>4500.0000000000282</v>
      </c>
      <c r="K1826" s="2">
        <f>(IF(D1826="SELL",IF(H1826="",0,G1826-H1826),IF(D1826="BUY",IF(H1826="",0,(H1826-G1826)))))*C1826</f>
        <v>10000</v>
      </c>
      <c r="L1826" s="8">
        <f t="shared" si="2214"/>
        <v>3.4000000000000057</v>
      </c>
      <c r="M1826" s="8">
        <f t="shared" si="2215"/>
        <v>17000.000000000029</v>
      </c>
    </row>
    <row r="1827" spans="1:13" ht="15.75" customHeight="1" x14ac:dyDescent="0.25">
      <c r="A1827" s="24">
        <v>43297</v>
      </c>
      <c r="B1827" s="9" t="s">
        <v>49</v>
      </c>
      <c r="C1827" s="9">
        <v>100</v>
      </c>
      <c r="D1827" s="9" t="s">
        <v>11</v>
      </c>
      <c r="E1827" s="19">
        <v>4839</v>
      </c>
      <c r="F1827" s="19">
        <v>4823</v>
      </c>
      <c r="G1827" s="9">
        <v>4795</v>
      </c>
      <c r="H1827" s="15">
        <v>4755</v>
      </c>
      <c r="I1827" s="8">
        <f t="shared" si="2216"/>
        <v>1600</v>
      </c>
      <c r="J1827" s="8">
        <f>(IF(D1827="SELL",IF(G1827="",0,F1827-G1827),IF(D1827="BUY",IF(G1827="",0,G1827-F1827))))*C1827</f>
        <v>2800</v>
      </c>
      <c r="K1827" s="2">
        <f>(IF(D1827="SELL",IF(H1827="",0,G1827-H1827),IF(D1827="BUY",IF(H1827="",0,(H1827-G1827)))))*C1827</f>
        <v>4000</v>
      </c>
      <c r="L1827" s="8">
        <f t="shared" si="2214"/>
        <v>84</v>
      </c>
      <c r="M1827" s="8">
        <f t="shared" si="2215"/>
        <v>8400</v>
      </c>
    </row>
    <row r="1828" spans="1:13" ht="15.75" customHeight="1" x14ac:dyDescent="0.25">
      <c r="A1828" s="24">
        <v>43297</v>
      </c>
      <c r="B1828" s="9" t="s">
        <v>21</v>
      </c>
      <c r="C1828" s="9">
        <v>250</v>
      </c>
      <c r="D1828" s="9" t="s">
        <v>11</v>
      </c>
      <c r="E1828" s="19">
        <v>945</v>
      </c>
      <c r="F1828" s="19">
        <v>941</v>
      </c>
      <c r="G1828" s="9">
        <v>0</v>
      </c>
      <c r="H1828" s="15">
        <v>0</v>
      </c>
      <c r="I1828" s="8">
        <f t="shared" si="2216"/>
        <v>1000</v>
      </c>
      <c r="J1828" s="8">
        <v>0</v>
      </c>
      <c r="K1828" s="2">
        <v>0</v>
      </c>
      <c r="L1828" s="8">
        <f t="shared" si="2214"/>
        <v>4</v>
      </c>
      <c r="M1828" s="8">
        <f t="shared" si="2215"/>
        <v>1000</v>
      </c>
    </row>
    <row r="1829" spans="1:13" ht="15.75" customHeight="1" x14ac:dyDescent="0.25">
      <c r="A1829" s="24">
        <v>43294</v>
      </c>
      <c r="B1829" s="9" t="s">
        <v>29</v>
      </c>
      <c r="C1829" s="9">
        <v>1000</v>
      </c>
      <c r="D1829" s="9" t="s">
        <v>11</v>
      </c>
      <c r="E1829" s="19">
        <v>420</v>
      </c>
      <c r="F1829" s="19">
        <v>419</v>
      </c>
      <c r="G1829" s="9">
        <v>0</v>
      </c>
      <c r="H1829" s="15">
        <v>0</v>
      </c>
      <c r="I1829" s="8">
        <f t="shared" si="2216"/>
        <v>1000</v>
      </c>
      <c r="J1829" s="8">
        <v>0</v>
      </c>
      <c r="K1829" s="2">
        <v>0</v>
      </c>
      <c r="L1829" s="8">
        <f t="shared" si="2214"/>
        <v>1</v>
      </c>
      <c r="M1829" s="8">
        <f t="shared" si="2215"/>
        <v>1000</v>
      </c>
    </row>
    <row r="1830" spans="1:13" ht="15.75" customHeight="1" x14ac:dyDescent="0.25">
      <c r="A1830" s="24">
        <v>43294</v>
      </c>
      <c r="B1830" s="9" t="s">
        <v>35</v>
      </c>
      <c r="C1830" s="9">
        <v>5000</v>
      </c>
      <c r="D1830" s="9" t="s">
        <v>11</v>
      </c>
      <c r="E1830" s="19">
        <v>149.5</v>
      </c>
      <c r="F1830" s="19">
        <v>149</v>
      </c>
      <c r="G1830" s="9">
        <v>0</v>
      </c>
      <c r="H1830" s="15">
        <v>0</v>
      </c>
      <c r="I1830" s="8">
        <f t="shared" si="2216"/>
        <v>2500</v>
      </c>
      <c r="J1830" s="8">
        <v>0</v>
      </c>
      <c r="K1830" s="2">
        <v>0</v>
      </c>
      <c r="L1830" s="8">
        <f t="shared" si="2214"/>
        <v>0.5</v>
      </c>
      <c r="M1830" s="8">
        <f t="shared" si="2215"/>
        <v>2500</v>
      </c>
    </row>
    <row r="1831" spans="1:13" ht="15.75" customHeight="1" x14ac:dyDescent="0.25">
      <c r="A1831" s="24">
        <v>43294</v>
      </c>
      <c r="B1831" s="9" t="s">
        <v>31</v>
      </c>
      <c r="C1831" s="9">
        <v>250</v>
      </c>
      <c r="D1831" s="9" t="s">
        <v>11</v>
      </c>
      <c r="E1831" s="19">
        <v>961</v>
      </c>
      <c r="F1831" s="19">
        <v>957</v>
      </c>
      <c r="G1831" s="9">
        <v>0</v>
      </c>
      <c r="H1831" s="15">
        <v>0</v>
      </c>
      <c r="I1831" s="8">
        <f t="shared" si="2216"/>
        <v>1000</v>
      </c>
      <c r="J1831" s="8">
        <v>0</v>
      </c>
      <c r="K1831" s="2">
        <v>0</v>
      </c>
      <c r="L1831" s="8">
        <f t="shared" si="2214"/>
        <v>4</v>
      </c>
      <c r="M1831" s="8">
        <f t="shared" si="2215"/>
        <v>1000</v>
      </c>
    </row>
    <row r="1832" spans="1:13" ht="15.75" customHeight="1" x14ac:dyDescent="0.25">
      <c r="A1832" s="24">
        <v>43294</v>
      </c>
      <c r="B1832" s="9" t="s">
        <v>38</v>
      </c>
      <c r="C1832" s="9">
        <v>100</v>
      </c>
      <c r="D1832" s="9" t="s">
        <v>11</v>
      </c>
      <c r="E1832" s="19">
        <v>4800</v>
      </c>
      <c r="F1832" s="19">
        <v>4785</v>
      </c>
      <c r="G1832" s="9">
        <v>0</v>
      </c>
      <c r="H1832" s="15">
        <v>0</v>
      </c>
      <c r="I1832" s="8">
        <f t="shared" si="2216"/>
        <v>1500</v>
      </c>
      <c r="J1832" s="8">
        <v>0</v>
      </c>
      <c r="K1832" s="2">
        <v>0</v>
      </c>
      <c r="L1832" s="8">
        <f t="shared" si="2214"/>
        <v>15</v>
      </c>
      <c r="M1832" s="8">
        <f t="shared" si="2215"/>
        <v>1500</v>
      </c>
    </row>
    <row r="1833" spans="1:13" ht="15.75" customHeight="1" x14ac:dyDescent="0.25">
      <c r="A1833" s="24">
        <v>43293</v>
      </c>
      <c r="B1833" s="9" t="s">
        <v>49</v>
      </c>
      <c r="C1833" s="9">
        <v>100</v>
      </c>
      <c r="D1833" s="9" t="s">
        <v>11</v>
      </c>
      <c r="E1833" s="19">
        <v>4805</v>
      </c>
      <c r="F1833" s="19">
        <v>4790</v>
      </c>
      <c r="G1833" s="9">
        <v>0</v>
      </c>
      <c r="H1833" s="15">
        <v>0</v>
      </c>
      <c r="I1833" s="8">
        <f t="shared" si="2216"/>
        <v>1500</v>
      </c>
      <c r="J1833" s="8">
        <v>0</v>
      </c>
      <c r="K1833" s="2">
        <v>0</v>
      </c>
      <c r="L1833" s="8">
        <f t="shared" si="2214"/>
        <v>15</v>
      </c>
      <c r="M1833" s="8">
        <f t="shared" si="2215"/>
        <v>1500</v>
      </c>
    </row>
    <row r="1834" spans="1:13" ht="15.75" customHeight="1" x14ac:dyDescent="0.25">
      <c r="A1834" s="24">
        <v>43293</v>
      </c>
      <c r="B1834" s="9" t="s">
        <v>31</v>
      </c>
      <c r="C1834" s="9">
        <v>250</v>
      </c>
      <c r="D1834" s="9" t="s">
        <v>10</v>
      </c>
      <c r="E1834" s="19">
        <v>976</v>
      </c>
      <c r="F1834" s="19">
        <v>980</v>
      </c>
      <c r="G1834" s="9">
        <v>0</v>
      </c>
      <c r="H1834" s="15">
        <v>0</v>
      </c>
      <c r="I1834" s="8">
        <f t="shared" si="2216"/>
        <v>1000</v>
      </c>
      <c r="J1834" s="8">
        <v>0</v>
      </c>
      <c r="K1834" s="2">
        <v>0</v>
      </c>
      <c r="L1834" s="8">
        <f t="shared" si="2214"/>
        <v>4</v>
      </c>
      <c r="M1834" s="8">
        <f t="shared" si="2215"/>
        <v>1000</v>
      </c>
    </row>
    <row r="1835" spans="1:13" ht="15.75" customHeight="1" x14ac:dyDescent="0.25">
      <c r="A1835" s="24">
        <v>43293</v>
      </c>
      <c r="B1835" s="9" t="s">
        <v>29</v>
      </c>
      <c r="C1835" s="9">
        <v>1000</v>
      </c>
      <c r="D1835" s="9" t="s">
        <v>10</v>
      </c>
      <c r="E1835" s="19">
        <v>422.7</v>
      </c>
      <c r="F1835" s="19">
        <v>423.7</v>
      </c>
      <c r="G1835" s="9">
        <v>0</v>
      </c>
      <c r="H1835" s="15">
        <v>0</v>
      </c>
      <c r="I1835" s="8">
        <f t="shared" ref="I1835:I1853" si="2217">(IF(D1835="SELL",E1835-F1835,IF(D1835="BUY",F1835-E1835)))*C1835</f>
        <v>1000</v>
      </c>
      <c r="J1835" s="8">
        <v>0</v>
      </c>
      <c r="K1835" s="2">
        <v>0</v>
      </c>
      <c r="L1835" s="8">
        <f t="shared" si="2214"/>
        <v>1</v>
      </c>
      <c r="M1835" s="8">
        <f t="shared" si="2215"/>
        <v>1000</v>
      </c>
    </row>
    <row r="1836" spans="1:13" ht="15.75" customHeight="1" x14ac:dyDescent="0.25">
      <c r="A1836" s="24">
        <v>43292</v>
      </c>
      <c r="B1836" s="9" t="s">
        <v>49</v>
      </c>
      <c r="C1836" s="9">
        <v>100</v>
      </c>
      <c r="D1836" s="9" t="s">
        <v>11</v>
      </c>
      <c r="E1836" s="19">
        <v>5043</v>
      </c>
      <c r="F1836" s="19">
        <v>5028</v>
      </c>
      <c r="G1836" s="9">
        <v>4998</v>
      </c>
      <c r="H1836" s="15">
        <v>0</v>
      </c>
      <c r="I1836" s="8">
        <f t="shared" si="2217"/>
        <v>1500</v>
      </c>
      <c r="J1836" s="8">
        <f>(IF(D1836="SELL",IF(G1836="",0,F1836-G1836),IF(D1836="BUY",IF(G1836="",0,G1836-F1836))))*C1836</f>
        <v>3000</v>
      </c>
      <c r="K1836" s="2">
        <v>0</v>
      </c>
      <c r="L1836" s="8">
        <f t="shared" si="2214"/>
        <v>45</v>
      </c>
      <c r="M1836" s="8">
        <f t="shared" si="2215"/>
        <v>4500</v>
      </c>
    </row>
    <row r="1837" spans="1:13" ht="15.75" customHeight="1" x14ac:dyDescent="0.25">
      <c r="A1837" s="24">
        <v>43292</v>
      </c>
      <c r="B1837" s="9" t="s">
        <v>47</v>
      </c>
      <c r="C1837" s="9">
        <v>1250</v>
      </c>
      <c r="D1837" s="9" t="s">
        <v>10</v>
      </c>
      <c r="E1837" s="19">
        <v>193</v>
      </c>
      <c r="F1837" s="19">
        <v>194</v>
      </c>
      <c r="G1837" s="9">
        <v>0</v>
      </c>
      <c r="H1837" s="15">
        <v>0</v>
      </c>
      <c r="I1837" s="8">
        <f t="shared" si="2217"/>
        <v>1250</v>
      </c>
      <c r="J1837" s="8">
        <v>0</v>
      </c>
      <c r="K1837" s="2">
        <v>0</v>
      </c>
      <c r="L1837" s="8">
        <f t="shared" si="2214"/>
        <v>1</v>
      </c>
      <c r="M1837" s="8">
        <f t="shared" si="2215"/>
        <v>1250</v>
      </c>
    </row>
    <row r="1838" spans="1:13" ht="15.75" customHeight="1" x14ac:dyDescent="0.25">
      <c r="A1838" s="24">
        <v>43292</v>
      </c>
      <c r="B1838" s="9" t="s">
        <v>35</v>
      </c>
      <c r="C1838" s="9">
        <v>5000</v>
      </c>
      <c r="D1838" s="9" t="s">
        <v>11</v>
      </c>
      <c r="E1838" s="19">
        <v>155.1</v>
      </c>
      <c r="F1838" s="19">
        <v>154.5</v>
      </c>
      <c r="G1838" s="9">
        <v>153.5</v>
      </c>
      <c r="H1838" s="15">
        <v>0</v>
      </c>
      <c r="I1838" s="8">
        <f t="shared" si="2217"/>
        <v>2999.9999999999718</v>
      </c>
      <c r="J1838" s="8">
        <f>(IF(D1838="SELL",IF(G1838="",0,F1838-G1838),IF(D1838="BUY",IF(G1838="",0,G1838-F1838))))*C1838</f>
        <v>5000</v>
      </c>
      <c r="K1838" s="2">
        <v>0</v>
      </c>
      <c r="L1838" s="8">
        <f t="shared" si="2214"/>
        <v>1.5999999999999943</v>
      </c>
      <c r="M1838" s="8">
        <f t="shared" si="2215"/>
        <v>7999.9999999999718</v>
      </c>
    </row>
    <row r="1839" spans="1:13" ht="15.75" customHeight="1" x14ac:dyDescent="0.25">
      <c r="A1839" s="24">
        <v>43292</v>
      </c>
      <c r="B1839" s="9" t="s">
        <v>31</v>
      </c>
      <c r="C1839" s="9">
        <v>250</v>
      </c>
      <c r="D1839" s="9" t="s">
        <v>11</v>
      </c>
      <c r="E1839" s="19">
        <v>947</v>
      </c>
      <c r="F1839" s="19">
        <v>943</v>
      </c>
      <c r="G1839" s="9">
        <v>937</v>
      </c>
      <c r="H1839" s="15">
        <v>0</v>
      </c>
      <c r="I1839" s="8">
        <f t="shared" si="2217"/>
        <v>1000</v>
      </c>
      <c r="J1839" s="8">
        <f>(IF(D1839="SELL",IF(G1839="",0,F1839-G1839),IF(D1839="BUY",IF(G1839="",0,G1839-F1839))))*C1839</f>
        <v>1500</v>
      </c>
      <c r="K1839" s="2">
        <v>0</v>
      </c>
      <c r="L1839" s="8">
        <f t="shared" si="2214"/>
        <v>10</v>
      </c>
      <c r="M1839" s="8">
        <f t="shared" si="2215"/>
        <v>2500</v>
      </c>
    </row>
    <row r="1840" spans="1:13" ht="15.75" customHeight="1" x14ac:dyDescent="0.25">
      <c r="A1840" s="24">
        <v>43292</v>
      </c>
      <c r="B1840" s="9" t="s">
        <v>39</v>
      </c>
      <c r="C1840" s="9">
        <v>5000</v>
      </c>
      <c r="D1840" s="9" t="s">
        <v>11</v>
      </c>
      <c r="E1840" s="19">
        <v>175</v>
      </c>
      <c r="F1840" s="19">
        <v>174.5</v>
      </c>
      <c r="G1840" s="9">
        <v>0</v>
      </c>
      <c r="H1840" s="15">
        <v>0</v>
      </c>
      <c r="I1840" s="8">
        <f t="shared" si="2217"/>
        <v>2500</v>
      </c>
      <c r="J1840" s="8">
        <v>0</v>
      </c>
      <c r="K1840" s="2">
        <v>0</v>
      </c>
      <c r="L1840" s="8">
        <f t="shared" si="2214"/>
        <v>0.5</v>
      </c>
      <c r="M1840" s="8">
        <f t="shared" si="2215"/>
        <v>2500</v>
      </c>
    </row>
    <row r="1841" spans="1:13" ht="15.75" customHeight="1" x14ac:dyDescent="0.25">
      <c r="A1841" s="24">
        <v>43292</v>
      </c>
      <c r="B1841" s="9" t="s">
        <v>29</v>
      </c>
      <c r="C1841" s="9">
        <v>1000</v>
      </c>
      <c r="D1841" s="9" t="s">
        <v>11</v>
      </c>
      <c r="E1841" s="19">
        <v>421.5</v>
      </c>
      <c r="F1841" s="19">
        <v>420.5</v>
      </c>
      <c r="G1841" s="9">
        <v>418.5</v>
      </c>
      <c r="H1841" s="15">
        <v>0</v>
      </c>
      <c r="I1841" s="8">
        <f t="shared" si="2217"/>
        <v>1000</v>
      </c>
      <c r="J1841" s="8">
        <f>(IF(D1841="SELL",IF(G1841="",0,F1841-G1841),IF(D1841="BUY",IF(G1841="",0,G1841-F1841))))*C1841</f>
        <v>2000</v>
      </c>
      <c r="K1841" s="2">
        <v>0</v>
      </c>
      <c r="L1841" s="8">
        <f t="shared" si="2214"/>
        <v>3</v>
      </c>
      <c r="M1841" s="8">
        <f t="shared" si="2215"/>
        <v>3000</v>
      </c>
    </row>
    <row r="1842" spans="1:13" ht="15.75" customHeight="1" x14ac:dyDescent="0.25">
      <c r="A1842" s="24">
        <v>43291</v>
      </c>
      <c r="B1842" s="9" t="s">
        <v>39</v>
      </c>
      <c r="C1842" s="9">
        <v>5000</v>
      </c>
      <c r="D1842" s="9" t="s">
        <v>11</v>
      </c>
      <c r="E1842" s="19">
        <v>183</v>
      </c>
      <c r="F1842" s="19">
        <v>182.5</v>
      </c>
      <c r="G1842" s="9">
        <v>0</v>
      </c>
      <c r="H1842" s="15">
        <v>0</v>
      </c>
      <c r="I1842" s="8">
        <f t="shared" si="2217"/>
        <v>2500</v>
      </c>
      <c r="J1842" s="8">
        <v>0</v>
      </c>
      <c r="K1842" s="2">
        <v>0</v>
      </c>
      <c r="L1842" s="8">
        <f t="shared" si="2214"/>
        <v>0.5</v>
      </c>
      <c r="M1842" s="8">
        <f t="shared" si="2215"/>
        <v>2500</v>
      </c>
    </row>
    <row r="1843" spans="1:13" ht="15.75" customHeight="1" x14ac:dyDescent="0.25">
      <c r="A1843" s="24">
        <v>43291</v>
      </c>
      <c r="B1843" s="9" t="s">
        <v>16</v>
      </c>
      <c r="C1843" s="9">
        <v>100</v>
      </c>
      <c r="D1843" s="9" t="s">
        <v>10</v>
      </c>
      <c r="E1843" s="19">
        <v>5103</v>
      </c>
      <c r="F1843" s="19">
        <v>5119</v>
      </c>
      <c r="G1843" s="9">
        <v>0</v>
      </c>
      <c r="H1843" s="15">
        <v>0</v>
      </c>
      <c r="I1843" s="8">
        <f t="shared" si="2217"/>
        <v>1600</v>
      </c>
      <c r="J1843" s="8">
        <v>0</v>
      </c>
      <c r="K1843" s="2">
        <v>0</v>
      </c>
      <c r="L1843" s="8">
        <f t="shared" si="2214"/>
        <v>16</v>
      </c>
      <c r="M1843" s="8">
        <f t="shared" si="2215"/>
        <v>1600</v>
      </c>
    </row>
    <row r="1844" spans="1:13" ht="15.75" customHeight="1" x14ac:dyDescent="0.25">
      <c r="A1844" s="24">
        <v>43290</v>
      </c>
      <c r="B1844" s="9" t="s">
        <v>39</v>
      </c>
      <c r="C1844" s="9">
        <v>5000</v>
      </c>
      <c r="D1844" s="9" t="s">
        <v>11</v>
      </c>
      <c r="E1844" s="19">
        <v>187.9</v>
      </c>
      <c r="F1844" s="19">
        <v>187.4</v>
      </c>
      <c r="G1844" s="9">
        <v>186.6</v>
      </c>
      <c r="H1844" s="15">
        <v>0</v>
      </c>
      <c r="I1844" s="8">
        <f t="shared" si="2217"/>
        <v>2500</v>
      </c>
      <c r="J1844" s="8">
        <f>(IF(D1844="SELL",IF(G1844="",0,F1844-G1844),IF(D1844="BUY",IF(G1844="",0,G1844-F1844))))*C1844</f>
        <v>4000.0000000000568</v>
      </c>
      <c r="K1844" s="2">
        <v>0</v>
      </c>
      <c r="L1844" s="8">
        <f t="shared" si="2214"/>
        <v>1.3000000000000114</v>
      </c>
      <c r="M1844" s="8">
        <f t="shared" si="2215"/>
        <v>6500.0000000000564</v>
      </c>
    </row>
    <row r="1845" spans="1:13" ht="15.75" customHeight="1" x14ac:dyDescent="0.25">
      <c r="A1845" s="24">
        <v>43290</v>
      </c>
      <c r="B1845" s="9" t="s">
        <v>29</v>
      </c>
      <c r="C1845" s="9">
        <v>1000</v>
      </c>
      <c r="D1845" s="9" t="s">
        <v>10</v>
      </c>
      <c r="E1845" s="19">
        <v>438.6</v>
      </c>
      <c r="F1845" s="19">
        <v>434.5</v>
      </c>
      <c r="G1845" s="9">
        <v>0</v>
      </c>
      <c r="H1845" s="15">
        <v>0</v>
      </c>
      <c r="I1845" s="8">
        <f t="shared" si="2217"/>
        <v>-4100.0000000000227</v>
      </c>
      <c r="J1845" s="8">
        <v>0</v>
      </c>
      <c r="K1845" s="2">
        <v>0</v>
      </c>
      <c r="L1845" s="8">
        <f t="shared" si="2214"/>
        <v>-4.1000000000000227</v>
      </c>
      <c r="M1845" s="8">
        <f t="shared" si="2215"/>
        <v>-4100.0000000000227</v>
      </c>
    </row>
    <row r="1846" spans="1:13" ht="15.75" customHeight="1" x14ac:dyDescent="0.25">
      <c r="A1846" s="24">
        <v>43287</v>
      </c>
      <c r="B1846" s="9" t="s">
        <v>16</v>
      </c>
      <c r="C1846" s="9">
        <v>100</v>
      </c>
      <c r="D1846" s="9" t="s">
        <v>11</v>
      </c>
      <c r="E1846" s="19">
        <v>4997</v>
      </c>
      <c r="F1846" s="19">
        <v>4982</v>
      </c>
      <c r="G1846" s="9">
        <v>0</v>
      </c>
      <c r="H1846" s="15">
        <v>0</v>
      </c>
      <c r="I1846" s="8">
        <f t="shared" si="2217"/>
        <v>1500</v>
      </c>
      <c r="J1846" s="8">
        <v>0</v>
      </c>
      <c r="K1846" s="2">
        <v>0</v>
      </c>
      <c r="L1846" s="8">
        <f t="shared" si="2214"/>
        <v>15</v>
      </c>
      <c r="M1846" s="8">
        <f t="shared" si="2215"/>
        <v>1500</v>
      </c>
    </row>
    <row r="1847" spans="1:13" ht="15.75" customHeight="1" x14ac:dyDescent="0.25">
      <c r="A1847" s="24">
        <v>43287</v>
      </c>
      <c r="B1847" s="9" t="s">
        <v>29</v>
      </c>
      <c r="C1847" s="9">
        <v>1000</v>
      </c>
      <c r="D1847" s="9" t="s">
        <v>10</v>
      </c>
      <c r="E1847" s="19">
        <v>433.2</v>
      </c>
      <c r="F1847" s="19">
        <v>434.2</v>
      </c>
      <c r="G1847" s="9">
        <v>0</v>
      </c>
      <c r="H1847" s="15">
        <v>0</v>
      </c>
      <c r="I1847" s="8">
        <f t="shared" si="2217"/>
        <v>1000</v>
      </c>
      <c r="J1847" s="8">
        <v>0</v>
      </c>
      <c r="K1847" s="2">
        <v>0</v>
      </c>
      <c r="L1847" s="8">
        <f t="shared" si="2214"/>
        <v>1</v>
      </c>
      <c r="M1847" s="8">
        <f t="shared" si="2215"/>
        <v>1000</v>
      </c>
    </row>
    <row r="1848" spans="1:13" ht="15.75" customHeight="1" x14ac:dyDescent="0.25">
      <c r="A1848" s="24">
        <v>43286</v>
      </c>
      <c r="B1848" s="9" t="s">
        <v>16</v>
      </c>
      <c r="C1848" s="9">
        <v>100</v>
      </c>
      <c r="D1848" s="9" t="s">
        <v>10</v>
      </c>
      <c r="E1848" s="19">
        <v>5135</v>
      </c>
      <c r="F1848" s="19">
        <v>5150</v>
      </c>
      <c r="G1848" s="9">
        <v>0</v>
      </c>
      <c r="H1848" s="15">
        <v>0</v>
      </c>
      <c r="I1848" s="8">
        <f t="shared" si="2217"/>
        <v>1500</v>
      </c>
      <c r="J1848" s="8">
        <v>0</v>
      </c>
      <c r="K1848" s="2">
        <v>0</v>
      </c>
      <c r="L1848" s="8">
        <f t="shared" si="2214"/>
        <v>15</v>
      </c>
      <c r="M1848" s="8">
        <f t="shared" si="2215"/>
        <v>1500</v>
      </c>
    </row>
    <row r="1849" spans="1:13" ht="15.75" customHeight="1" x14ac:dyDescent="0.25">
      <c r="A1849" s="24">
        <v>43286</v>
      </c>
      <c r="B1849" s="9" t="s">
        <v>39</v>
      </c>
      <c r="C1849" s="9">
        <v>5000</v>
      </c>
      <c r="D1849" s="9" t="s">
        <v>11</v>
      </c>
      <c r="E1849" s="19">
        <v>186.6</v>
      </c>
      <c r="F1849" s="19">
        <v>186.2</v>
      </c>
      <c r="G1849" s="9">
        <v>0</v>
      </c>
      <c r="H1849" s="15">
        <v>0</v>
      </c>
      <c r="I1849" s="8">
        <f t="shared" si="2217"/>
        <v>2000.0000000000284</v>
      </c>
      <c r="J1849" s="8">
        <v>0</v>
      </c>
      <c r="K1849" s="2">
        <v>0</v>
      </c>
      <c r="L1849" s="8">
        <f t="shared" si="2214"/>
        <v>0.40000000000000568</v>
      </c>
      <c r="M1849" s="8">
        <f t="shared" si="2215"/>
        <v>2000.0000000000284</v>
      </c>
    </row>
    <row r="1850" spans="1:13" ht="15.75" customHeight="1" x14ac:dyDescent="0.25">
      <c r="A1850" s="24">
        <v>43285</v>
      </c>
      <c r="B1850" s="9" t="s">
        <v>35</v>
      </c>
      <c r="C1850" s="9">
        <v>5000</v>
      </c>
      <c r="D1850" s="9" t="s">
        <v>11</v>
      </c>
      <c r="E1850" s="19">
        <v>163.5</v>
      </c>
      <c r="F1850" s="19">
        <v>163</v>
      </c>
      <c r="G1850" s="9">
        <v>0</v>
      </c>
      <c r="H1850" s="15">
        <v>0</v>
      </c>
      <c r="I1850" s="8">
        <f t="shared" si="2217"/>
        <v>2500</v>
      </c>
      <c r="J1850" s="8">
        <v>0</v>
      </c>
      <c r="K1850" s="2">
        <v>0</v>
      </c>
      <c r="L1850" s="8">
        <f t="shared" si="2214"/>
        <v>0.5</v>
      </c>
      <c r="M1850" s="8">
        <f t="shared" si="2215"/>
        <v>2500</v>
      </c>
    </row>
    <row r="1851" spans="1:13" ht="15.75" customHeight="1" x14ac:dyDescent="0.25">
      <c r="A1851" s="24">
        <v>43285</v>
      </c>
      <c r="B1851" s="9" t="s">
        <v>31</v>
      </c>
      <c r="C1851" s="9">
        <v>250</v>
      </c>
      <c r="D1851" s="9" t="s">
        <v>11</v>
      </c>
      <c r="E1851" s="19">
        <v>985</v>
      </c>
      <c r="F1851" s="19">
        <v>981</v>
      </c>
      <c r="G1851" s="9">
        <v>973</v>
      </c>
      <c r="H1851" s="15">
        <v>0</v>
      </c>
      <c r="I1851" s="8">
        <f t="shared" si="2217"/>
        <v>1000</v>
      </c>
      <c r="J1851" s="8">
        <f>(IF(D1851="SELL",IF(G1851="",0,F1851-G1851),IF(D1851="BUY",IF(G1851="",0,G1851-F1851))))*C1851</f>
        <v>2000</v>
      </c>
      <c r="K1851" s="2">
        <v>0</v>
      </c>
      <c r="L1851" s="8">
        <f t="shared" si="2214"/>
        <v>12</v>
      </c>
      <c r="M1851" s="8">
        <f t="shared" si="2215"/>
        <v>3000</v>
      </c>
    </row>
    <row r="1852" spans="1:13" ht="15.75" customHeight="1" x14ac:dyDescent="0.25">
      <c r="A1852" s="24">
        <v>43285</v>
      </c>
      <c r="B1852" s="9" t="s">
        <v>39</v>
      </c>
      <c r="C1852" s="9">
        <v>5000</v>
      </c>
      <c r="D1852" s="9" t="s">
        <v>11</v>
      </c>
      <c r="E1852" s="19">
        <v>192.7</v>
      </c>
      <c r="F1852" s="19">
        <v>191.7</v>
      </c>
      <c r="G1852" s="9">
        <v>190.5</v>
      </c>
      <c r="H1852" s="15">
        <v>0</v>
      </c>
      <c r="I1852" s="8">
        <f t="shared" si="2217"/>
        <v>5000</v>
      </c>
      <c r="J1852" s="8">
        <f>(IF(D1852="SELL",IF(G1852="",0,F1852-G1852),IF(D1852="BUY",IF(G1852="",0,G1852-F1852))))*C1852</f>
        <v>5999.9999999999436</v>
      </c>
      <c r="K1852" s="2">
        <v>0</v>
      </c>
      <c r="L1852" s="8">
        <f t="shared" si="2214"/>
        <v>2.1999999999999886</v>
      </c>
      <c r="M1852" s="8">
        <f t="shared" si="2215"/>
        <v>10999.999999999944</v>
      </c>
    </row>
    <row r="1853" spans="1:13" ht="15.75" customHeight="1" x14ac:dyDescent="0.25">
      <c r="A1853" s="24">
        <v>43285</v>
      </c>
      <c r="B1853" s="9" t="s">
        <v>29</v>
      </c>
      <c r="C1853" s="9">
        <v>1000</v>
      </c>
      <c r="D1853" s="9" t="s">
        <v>11</v>
      </c>
      <c r="E1853" s="19">
        <v>445</v>
      </c>
      <c r="F1853" s="19">
        <v>444</v>
      </c>
      <c r="G1853" s="9">
        <v>442</v>
      </c>
      <c r="H1853" s="15">
        <v>439</v>
      </c>
      <c r="I1853" s="8">
        <f t="shared" si="2217"/>
        <v>1000</v>
      </c>
      <c r="J1853" s="8">
        <f>(IF(D1853="SELL",IF(G1853="",0,F1853-G1853),IF(D1853="BUY",IF(G1853="",0,G1853-F1853))))*C1853</f>
        <v>2000</v>
      </c>
      <c r="K1853" s="2">
        <f>(IF(D1853="SELL",IF(H1853="",0,G1853-H1853),IF(D1853="BUY",IF(H1853="",0,(H1853-G1853)))))*C1853</f>
        <v>3000</v>
      </c>
      <c r="L1853" s="8">
        <f t="shared" si="2214"/>
        <v>6</v>
      </c>
      <c r="M1853" s="8">
        <f t="shared" si="2215"/>
        <v>6000</v>
      </c>
    </row>
    <row r="1854" spans="1:13" ht="15.75" customHeight="1" x14ac:dyDescent="0.25">
      <c r="A1854" s="24">
        <v>43284</v>
      </c>
      <c r="B1854" s="9" t="s">
        <v>16</v>
      </c>
      <c r="C1854" s="9">
        <v>100</v>
      </c>
      <c r="D1854" s="9" t="s">
        <v>11</v>
      </c>
      <c r="E1854" s="19">
        <v>4145</v>
      </c>
      <c r="F1854" s="19">
        <v>0</v>
      </c>
      <c r="G1854" s="9">
        <v>0</v>
      </c>
      <c r="H1854" s="15">
        <v>0</v>
      </c>
      <c r="I1854" s="8">
        <v>0</v>
      </c>
      <c r="J1854" s="8">
        <v>0</v>
      </c>
      <c r="K1854" s="2">
        <v>0</v>
      </c>
      <c r="L1854" s="8">
        <f t="shared" si="2214"/>
        <v>0</v>
      </c>
      <c r="M1854" s="8">
        <f t="shared" si="2215"/>
        <v>0</v>
      </c>
    </row>
    <row r="1855" spans="1:13" ht="15.75" customHeight="1" x14ac:dyDescent="0.25">
      <c r="A1855" s="24">
        <v>43283</v>
      </c>
      <c r="B1855" s="9" t="s">
        <v>47</v>
      </c>
      <c r="C1855" s="9">
        <v>1250</v>
      </c>
      <c r="D1855" s="9" t="s">
        <v>10</v>
      </c>
      <c r="E1855" s="19">
        <v>200</v>
      </c>
      <c r="F1855" s="19">
        <v>197</v>
      </c>
      <c r="G1855" s="9">
        <v>0</v>
      </c>
      <c r="H1855" s="15">
        <v>0</v>
      </c>
      <c r="I1855" s="8">
        <f t="shared" ref="I1855:I1879" si="2218">(IF(D1855="SELL",E1855-F1855,IF(D1855="BUY",F1855-E1855)))*C1855</f>
        <v>-3750</v>
      </c>
      <c r="J1855" s="8">
        <v>0</v>
      </c>
      <c r="K1855" s="2">
        <v>0</v>
      </c>
      <c r="L1855" s="8">
        <f t="shared" si="2214"/>
        <v>-3</v>
      </c>
      <c r="M1855" s="8">
        <f t="shared" si="2215"/>
        <v>-3750</v>
      </c>
    </row>
    <row r="1856" spans="1:13" ht="15.75" customHeight="1" x14ac:dyDescent="0.25">
      <c r="A1856" s="24">
        <v>43283</v>
      </c>
      <c r="B1856" s="9" t="s">
        <v>40</v>
      </c>
      <c r="C1856" s="9">
        <v>30</v>
      </c>
      <c r="D1856" s="9" t="s">
        <v>11</v>
      </c>
      <c r="E1856" s="19">
        <v>39670</v>
      </c>
      <c r="F1856" s="19">
        <v>39560</v>
      </c>
      <c r="G1856" s="9">
        <v>0</v>
      </c>
      <c r="H1856" s="15">
        <v>0</v>
      </c>
      <c r="I1856" s="8">
        <f t="shared" si="2218"/>
        <v>3300</v>
      </c>
      <c r="J1856" s="8">
        <v>0</v>
      </c>
      <c r="K1856" s="2">
        <v>0</v>
      </c>
      <c r="L1856" s="8">
        <f t="shared" si="2214"/>
        <v>110</v>
      </c>
      <c r="M1856" s="8">
        <f t="shared" si="2215"/>
        <v>3300</v>
      </c>
    </row>
    <row r="1857" spans="1:13" ht="15.75" customHeight="1" x14ac:dyDescent="0.25">
      <c r="A1857" s="24">
        <v>43283</v>
      </c>
      <c r="B1857" s="9" t="s">
        <v>16</v>
      </c>
      <c r="C1857" s="9">
        <v>100</v>
      </c>
      <c r="D1857" s="9" t="s">
        <v>10</v>
      </c>
      <c r="E1857" s="19">
        <v>5080</v>
      </c>
      <c r="F1857" s="19">
        <v>5097</v>
      </c>
      <c r="G1857" s="9">
        <v>0</v>
      </c>
      <c r="H1857" s="15">
        <v>0</v>
      </c>
      <c r="I1857" s="8">
        <f t="shared" si="2218"/>
        <v>1700</v>
      </c>
      <c r="J1857" s="8">
        <v>0</v>
      </c>
      <c r="K1857" s="2">
        <v>0</v>
      </c>
      <c r="L1857" s="8">
        <f t="shared" si="2214"/>
        <v>17</v>
      </c>
      <c r="M1857" s="8">
        <f t="shared" si="2215"/>
        <v>1700</v>
      </c>
    </row>
    <row r="1858" spans="1:13" ht="15.75" customHeight="1" x14ac:dyDescent="0.25">
      <c r="A1858" s="24">
        <v>43283</v>
      </c>
      <c r="B1858" s="9" t="s">
        <v>18</v>
      </c>
      <c r="C1858" s="9">
        <v>1000</v>
      </c>
      <c r="D1858" s="9" t="s">
        <v>11</v>
      </c>
      <c r="E1858" s="19">
        <v>449.5</v>
      </c>
      <c r="F1858" s="19">
        <v>448.5</v>
      </c>
      <c r="G1858" s="9">
        <v>0</v>
      </c>
      <c r="H1858" s="15">
        <v>0</v>
      </c>
      <c r="I1858" s="8">
        <f t="shared" si="2218"/>
        <v>1000</v>
      </c>
      <c r="J1858" s="8">
        <v>0</v>
      </c>
      <c r="K1858" s="2">
        <v>0</v>
      </c>
      <c r="L1858" s="8">
        <f t="shared" si="2214"/>
        <v>1</v>
      </c>
      <c r="M1858" s="8">
        <f t="shared" si="2215"/>
        <v>1000</v>
      </c>
    </row>
    <row r="1859" spans="1:13" ht="15.75" customHeight="1" x14ac:dyDescent="0.25">
      <c r="A1859" s="24">
        <v>43283</v>
      </c>
      <c r="B1859" s="9" t="s">
        <v>21</v>
      </c>
      <c r="C1859" s="9">
        <v>250</v>
      </c>
      <c r="D1859" s="9" t="s">
        <v>11</v>
      </c>
      <c r="E1859" s="19">
        <v>1017</v>
      </c>
      <c r="F1859" s="19">
        <v>1013</v>
      </c>
      <c r="G1859" s="9">
        <v>1007</v>
      </c>
      <c r="H1859" s="15">
        <v>0</v>
      </c>
      <c r="I1859" s="8">
        <f t="shared" si="2218"/>
        <v>1000</v>
      </c>
      <c r="J1859" s="8">
        <f>(IF(D1859="SELL",IF(G1859="",0,F1859-G1859),IF(D1859="BUY",IF(G1859="",0,G1859-F1859))))*C1859</f>
        <v>1500</v>
      </c>
      <c r="K1859" s="2">
        <v>0</v>
      </c>
      <c r="L1859" s="8">
        <f t="shared" si="2214"/>
        <v>10</v>
      </c>
      <c r="M1859" s="8">
        <f t="shared" si="2215"/>
        <v>2500</v>
      </c>
    </row>
    <row r="1860" spans="1:13" ht="15.75" customHeight="1" x14ac:dyDescent="0.25">
      <c r="A1860" s="24">
        <v>43280</v>
      </c>
      <c r="B1860" s="9" t="s">
        <v>40</v>
      </c>
      <c r="C1860" s="9">
        <v>30</v>
      </c>
      <c r="D1860" s="9" t="s">
        <v>11</v>
      </c>
      <c r="E1860" s="19">
        <v>39510</v>
      </c>
      <c r="F1860" s="19">
        <v>39410</v>
      </c>
      <c r="G1860" s="9">
        <v>0</v>
      </c>
      <c r="H1860" s="15">
        <v>0</v>
      </c>
      <c r="I1860" s="8">
        <f t="shared" si="2218"/>
        <v>3000</v>
      </c>
      <c r="J1860" s="8">
        <v>0</v>
      </c>
      <c r="K1860" s="2">
        <v>0</v>
      </c>
      <c r="L1860" s="8">
        <f t="shared" si="2214"/>
        <v>100</v>
      </c>
      <c r="M1860" s="8">
        <f t="shared" si="2215"/>
        <v>3000</v>
      </c>
    </row>
    <row r="1861" spans="1:13" ht="15.75" customHeight="1" x14ac:dyDescent="0.25">
      <c r="A1861" s="24">
        <v>43280</v>
      </c>
      <c r="B1861" s="9" t="s">
        <v>16</v>
      </c>
      <c r="C1861" s="9">
        <v>100</v>
      </c>
      <c r="D1861" s="9" t="s">
        <v>10</v>
      </c>
      <c r="E1861" s="19">
        <v>5080</v>
      </c>
      <c r="F1861" s="19">
        <v>5099</v>
      </c>
      <c r="G1861" s="9">
        <v>0</v>
      </c>
      <c r="H1861" s="15">
        <v>0</v>
      </c>
      <c r="I1861" s="8">
        <f t="shared" si="2218"/>
        <v>1900</v>
      </c>
      <c r="J1861" s="8">
        <v>0</v>
      </c>
      <c r="K1861" s="2">
        <v>0</v>
      </c>
      <c r="L1861" s="8">
        <f t="shared" ref="L1861:L1924" si="2219">(J1861+I1861+K1861)/C1861</f>
        <v>19</v>
      </c>
      <c r="M1861" s="8">
        <f t="shared" ref="M1861:M1924" si="2220">L1861*C1861</f>
        <v>1900</v>
      </c>
    </row>
    <row r="1862" spans="1:13" ht="15.75" customHeight="1" x14ac:dyDescent="0.25">
      <c r="A1862" s="24">
        <v>43280</v>
      </c>
      <c r="B1862" s="9" t="s">
        <v>39</v>
      </c>
      <c r="C1862" s="9">
        <v>5000</v>
      </c>
      <c r="D1862" s="9" t="s">
        <v>11</v>
      </c>
      <c r="E1862" s="19">
        <v>199.2</v>
      </c>
      <c r="F1862" s="19">
        <v>198.7</v>
      </c>
      <c r="G1862" s="9">
        <v>0</v>
      </c>
      <c r="H1862" s="15">
        <v>0</v>
      </c>
      <c r="I1862" s="8">
        <f t="shared" si="2218"/>
        <v>2500</v>
      </c>
      <c r="J1862" s="8">
        <v>0</v>
      </c>
      <c r="K1862" s="2">
        <v>0</v>
      </c>
      <c r="L1862" s="8">
        <f t="shared" si="2219"/>
        <v>0.5</v>
      </c>
      <c r="M1862" s="8">
        <f t="shared" si="2220"/>
        <v>2500</v>
      </c>
    </row>
    <row r="1863" spans="1:13" ht="15.75" customHeight="1" x14ac:dyDescent="0.25">
      <c r="A1863" s="24">
        <v>43280</v>
      </c>
      <c r="B1863" s="9" t="s">
        <v>40</v>
      </c>
      <c r="C1863" s="9">
        <v>30</v>
      </c>
      <c r="D1863" s="9" t="s">
        <v>11</v>
      </c>
      <c r="E1863" s="19">
        <v>39210</v>
      </c>
      <c r="F1863" s="19">
        <v>39110</v>
      </c>
      <c r="G1863" s="9">
        <v>0</v>
      </c>
      <c r="H1863" s="15">
        <v>0</v>
      </c>
      <c r="I1863" s="8">
        <f t="shared" si="2218"/>
        <v>3000</v>
      </c>
      <c r="J1863" s="8">
        <v>0</v>
      </c>
      <c r="K1863" s="2">
        <v>0</v>
      </c>
      <c r="L1863" s="8">
        <f t="shared" si="2219"/>
        <v>100</v>
      </c>
      <c r="M1863" s="8">
        <f t="shared" si="2220"/>
        <v>3000</v>
      </c>
    </row>
    <row r="1864" spans="1:13" ht="15.75" customHeight="1" x14ac:dyDescent="0.25">
      <c r="A1864" s="24">
        <v>43279</v>
      </c>
      <c r="B1864" s="9" t="s">
        <v>39</v>
      </c>
      <c r="C1864" s="9">
        <v>5000</v>
      </c>
      <c r="D1864" s="9" t="s">
        <v>11</v>
      </c>
      <c r="E1864" s="19">
        <v>200</v>
      </c>
      <c r="F1864" s="19">
        <v>201.7</v>
      </c>
      <c r="G1864" s="9">
        <v>0</v>
      </c>
      <c r="H1864" s="15">
        <v>0</v>
      </c>
      <c r="I1864" s="8">
        <f t="shared" si="2218"/>
        <v>-8499.9999999999436</v>
      </c>
      <c r="J1864" s="8">
        <v>0</v>
      </c>
      <c r="K1864" s="2">
        <v>0</v>
      </c>
      <c r="L1864" s="8">
        <f t="shared" si="2219"/>
        <v>-1.6999999999999886</v>
      </c>
      <c r="M1864" s="8">
        <f t="shared" si="2220"/>
        <v>-8499.9999999999436</v>
      </c>
    </row>
    <row r="1865" spans="1:13" ht="15.75" customHeight="1" x14ac:dyDescent="0.25">
      <c r="A1865" s="24">
        <v>43279</v>
      </c>
      <c r="B1865" s="9" t="s">
        <v>16</v>
      </c>
      <c r="C1865" s="9">
        <v>100</v>
      </c>
      <c r="D1865" s="9" t="s">
        <v>10</v>
      </c>
      <c r="E1865" s="19">
        <v>5030</v>
      </c>
      <c r="F1865" s="19">
        <v>5050</v>
      </c>
      <c r="G1865" s="9">
        <v>5080</v>
      </c>
      <c r="H1865" s="15">
        <v>0</v>
      </c>
      <c r="I1865" s="8">
        <f t="shared" si="2218"/>
        <v>2000</v>
      </c>
      <c r="J1865" s="8">
        <f>(IF(D1865="SELL",IF(G1865="",0,F1865-G1865),IF(D1865="BUY",IF(G1865="",0,G1865-F1865))))*C1865</f>
        <v>3000</v>
      </c>
      <c r="K1865" s="2">
        <v>0</v>
      </c>
      <c r="L1865" s="8">
        <f t="shared" si="2219"/>
        <v>50</v>
      </c>
      <c r="M1865" s="8">
        <f t="shared" si="2220"/>
        <v>5000</v>
      </c>
    </row>
    <row r="1866" spans="1:13" ht="15.75" customHeight="1" x14ac:dyDescent="0.25">
      <c r="A1866" s="24">
        <v>43279</v>
      </c>
      <c r="B1866" s="9" t="s">
        <v>40</v>
      </c>
      <c r="C1866" s="9">
        <v>30</v>
      </c>
      <c r="D1866" s="9" t="s">
        <v>11</v>
      </c>
      <c r="E1866" s="19">
        <v>39400</v>
      </c>
      <c r="F1866" s="19">
        <v>39300</v>
      </c>
      <c r="G1866" s="9">
        <v>39100</v>
      </c>
      <c r="H1866" s="15">
        <v>0</v>
      </c>
      <c r="I1866" s="8">
        <f t="shared" si="2218"/>
        <v>3000</v>
      </c>
      <c r="J1866" s="8">
        <f>(IF(D1866="SELL",IF(G1866="",0,F1866-G1866),IF(D1866="BUY",IF(G1866="",0,G1866-F1866))))*C1866</f>
        <v>6000</v>
      </c>
      <c r="K1866" s="2">
        <v>0</v>
      </c>
      <c r="L1866" s="8">
        <f t="shared" si="2219"/>
        <v>300</v>
      </c>
      <c r="M1866" s="8">
        <f t="shared" si="2220"/>
        <v>9000</v>
      </c>
    </row>
    <row r="1867" spans="1:13" ht="15.75" customHeight="1" x14ac:dyDescent="0.25">
      <c r="A1867" s="24">
        <v>43279</v>
      </c>
      <c r="B1867" s="9" t="s">
        <v>29</v>
      </c>
      <c r="C1867" s="9">
        <v>1000</v>
      </c>
      <c r="D1867" s="9" t="s">
        <v>11</v>
      </c>
      <c r="E1867" s="19">
        <v>452.5</v>
      </c>
      <c r="F1867" s="19">
        <v>451.2</v>
      </c>
      <c r="G1867" s="9">
        <v>0</v>
      </c>
      <c r="H1867" s="15">
        <v>0</v>
      </c>
      <c r="I1867" s="8">
        <f t="shared" si="2218"/>
        <v>1300.0000000000114</v>
      </c>
      <c r="J1867" s="8">
        <v>0</v>
      </c>
      <c r="K1867" s="2">
        <v>0</v>
      </c>
      <c r="L1867" s="8">
        <f t="shared" si="2219"/>
        <v>1.3000000000000114</v>
      </c>
      <c r="M1867" s="8">
        <f t="shared" si="2220"/>
        <v>1300.0000000000114</v>
      </c>
    </row>
    <row r="1868" spans="1:13" ht="15.75" customHeight="1" x14ac:dyDescent="0.25">
      <c r="A1868" s="24">
        <v>43278</v>
      </c>
      <c r="B1868" s="9" t="s">
        <v>29</v>
      </c>
      <c r="C1868" s="9">
        <v>1000</v>
      </c>
      <c r="D1868" s="9" t="s">
        <v>11</v>
      </c>
      <c r="E1868" s="19">
        <v>449.5</v>
      </c>
      <c r="F1868" s="19">
        <v>452.5</v>
      </c>
      <c r="G1868" s="9">
        <v>0</v>
      </c>
      <c r="H1868" s="15">
        <v>0</v>
      </c>
      <c r="I1868" s="8">
        <f t="shared" si="2218"/>
        <v>-3000</v>
      </c>
      <c r="J1868" s="8">
        <v>0</v>
      </c>
      <c r="K1868" s="2">
        <v>0</v>
      </c>
      <c r="L1868" s="8">
        <f t="shared" si="2219"/>
        <v>-3</v>
      </c>
      <c r="M1868" s="8">
        <f t="shared" si="2220"/>
        <v>-3000</v>
      </c>
    </row>
    <row r="1869" spans="1:13" ht="15.75" customHeight="1" x14ac:dyDescent="0.25">
      <c r="A1869" s="24">
        <v>43278</v>
      </c>
      <c r="B1869" s="9" t="s">
        <v>39</v>
      </c>
      <c r="C1869" s="9">
        <v>5000</v>
      </c>
      <c r="D1869" s="9" t="s">
        <v>10</v>
      </c>
      <c r="E1869" s="19">
        <v>199.4</v>
      </c>
      <c r="F1869" s="19">
        <v>199.9</v>
      </c>
      <c r="G1869" s="9">
        <v>200.7</v>
      </c>
      <c r="H1869" s="15">
        <v>0</v>
      </c>
      <c r="I1869" s="8">
        <f t="shared" si="2218"/>
        <v>2500</v>
      </c>
      <c r="J1869" s="8">
        <v>0</v>
      </c>
      <c r="K1869" s="2">
        <v>0</v>
      </c>
      <c r="L1869" s="8">
        <f t="shared" si="2219"/>
        <v>0.5</v>
      </c>
      <c r="M1869" s="8">
        <f t="shared" si="2220"/>
        <v>2500</v>
      </c>
    </row>
    <row r="1870" spans="1:13" ht="15.75" customHeight="1" x14ac:dyDescent="0.25">
      <c r="A1870" s="24">
        <v>43278</v>
      </c>
      <c r="B1870" s="9" t="s">
        <v>38</v>
      </c>
      <c r="C1870" s="9">
        <v>100</v>
      </c>
      <c r="D1870" s="9" t="s">
        <v>10</v>
      </c>
      <c r="E1870" s="19">
        <v>4862</v>
      </c>
      <c r="F1870" s="19">
        <v>4877</v>
      </c>
      <c r="G1870" s="9">
        <v>4905</v>
      </c>
      <c r="H1870" s="15">
        <v>0</v>
      </c>
      <c r="I1870" s="8">
        <f t="shared" si="2218"/>
        <v>1500</v>
      </c>
      <c r="J1870" s="8">
        <f>(IF(D1870="SELL",IF(G1870="",0,F1870-G1870),IF(D1870="BUY",IF(G1870="",0,G1870-F1870))))*C1870</f>
        <v>2800</v>
      </c>
      <c r="K1870" s="2">
        <v>0</v>
      </c>
      <c r="L1870" s="8">
        <f t="shared" si="2219"/>
        <v>43</v>
      </c>
      <c r="M1870" s="8">
        <f t="shared" si="2220"/>
        <v>4300</v>
      </c>
    </row>
    <row r="1871" spans="1:13" ht="15.75" customHeight="1" x14ac:dyDescent="0.25">
      <c r="A1871" s="24">
        <v>43278</v>
      </c>
      <c r="B1871" s="9" t="s">
        <v>31</v>
      </c>
      <c r="C1871" s="9">
        <v>250</v>
      </c>
      <c r="D1871" s="9" t="s">
        <v>11</v>
      </c>
      <c r="E1871" s="19">
        <v>996</v>
      </c>
      <c r="F1871" s="19">
        <v>992</v>
      </c>
      <c r="G1871" s="9">
        <v>0</v>
      </c>
      <c r="H1871" s="15">
        <v>0</v>
      </c>
      <c r="I1871" s="8">
        <f t="shared" si="2218"/>
        <v>1000</v>
      </c>
      <c r="J1871" s="8">
        <v>0</v>
      </c>
      <c r="K1871" s="2">
        <v>0</v>
      </c>
      <c r="L1871" s="8">
        <f t="shared" si="2219"/>
        <v>4</v>
      </c>
      <c r="M1871" s="8">
        <f t="shared" si="2220"/>
        <v>1000</v>
      </c>
    </row>
    <row r="1872" spans="1:13" ht="15.75" customHeight="1" x14ac:dyDescent="0.25">
      <c r="A1872" s="24">
        <v>43278</v>
      </c>
      <c r="B1872" s="9" t="s">
        <v>45</v>
      </c>
      <c r="C1872" s="9">
        <v>1250</v>
      </c>
      <c r="D1872" s="9" t="s">
        <v>10</v>
      </c>
      <c r="E1872" s="19">
        <v>203</v>
      </c>
      <c r="F1872" s="19">
        <v>204</v>
      </c>
      <c r="G1872" s="9">
        <v>206</v>
      </c>
      <c r="H1872" s="15">
        <v>0</v>
      </c>
      <c r="I1872" s="8">
        <f t="shared" si="2218"/>
        <v>1250</v>
      </c>
      <c r="J1872" s="8">
        <f>(IF(D1872="SELL",IF(G1872="",0,F1872-G1872),IF(D1872="BUY",IF(G1872="",0,G1872-F1872))))*C1872</f>
        <v>2500</v>
      </c>
      <c r="K1872" s="2">
        <v>0</v>
      </c>
      <c r="L1872" s="8">
        <f t="shared" si="2219"/>
        <v>3</v>
      </c>
      <c r="M1872" s="8">
        <f t="shared" si="2220"/>
        <v>3750</v>
      </c>
    </row>
    <row r="1873" spans="1:13" ht="15.75" customHeight="1" x14ac:dyDescent="0.25">
      <c r="A1873" s="24">
        <v>43277</v>
      </c>
      <c r="B1873" s="9" t="s">
        <v>40</v>
      </c>
      <c r="C1873" s="9">
        <v>30</v>
      </c>
      <c r="D1873" s="9" t="s">
        <v>11</v>
      </c>
      <c r="E1873" s="19">
        <v>39510</v>
      </c>
      <c r="F1873" s="19">
        <v>39410</v>
      </c>
      <c r="G1873" s="9">
        <v>0</v>
      </c>
      <c r="H1873" s="15">
        <v>0</v>
      </c>
      <c r="I1873" s="8">
        <f t="shared" si="2218"/>
        <v>3000</v>
      </c>
      <c r="J1873" s="8">
        <v>0</v>
      </c>
      <c r="K1873" s="2">
        <v>0</v>
      </c>
      <c r="L1873" s="8">
        <f t="shared" si="2219"/>
        <v>100</v>
      </c>
      <c r="M1873" s="8">
        <f t="shared" si="2220"/>
        <v>3000</v>
      </c>
    </row>
    <row r="1874" spans="1:13" ht="15.75" customHeight="1" x14ac:dyDescent="0.25">
      <c r="A1874" s="24">
        <v>43277</v>
      </c>
      <c r="B1874" s="9" t="s">
        <v>30</v>
      </c>
      <c r="C1874" s="9">
        <v>100</v>
      </c>
      <c r="D1874" s="9" t="s">
        <v>11</v>
      </c>
      <c r="E1874" s="19">
        <v>30585</v>
      </c>
      <c r="F1874" s="19">
        <v>30545</v>
      </c>
      <c r="G1874" s="9">
        <v>0</v>
      </c>
      <c r="H1874" s="15">
        <v>0</v>
      </c>
      <c r="I1874" s="8">
        <f t="shared" si="2218"/>
        <v>4000</v>
      </c>
      <c r="J1874" s="8">
        <v>0</v>
      </c>
      <c r="K1874" s="2">
        <v>0</v>
      </c>
      <c r="L1874" s="8">
        <f t="shared" si="2219"/>
        <v>40</v>
      </c>
      <c r="M1874" s="8">
        <f t="shared" si="2220"/>
        <v>4000</v>
      </c>
    </row>
    <row r="1875" spans="1:13" ht="15.75" customHeight="1" x14ac:dyDescent="0.25">
      <c r="A1875" s="24">
        <v>43277</v>
      </c>
      <c r="B1875" s="9" t="s">
        <v>39</v>
      </c>
      <c r="C1875" s="9">
        <v>5000</v>
      </c>
      <c r="D1875" s="9" t="s">
        <v>11</v>
      </c>
      <c r="E1875" s="19">
        <v>196.6</v>
      </c>
      <c r="F1875" s="19">
        <v>196.1</v>
      </c>
      <c r="G1875" s="9">
        <v>195.2</v>
      </c>
      <c r="H1875" s="15">
        <v>0</v>
      </c>
      <c r="I1875" s="8">
        <f t="shared" si="2218"/>
        <v>2500</v>
      </c>
      <c r="J1875" s="8">
        <f>(IF(D1875="SELL",IF(G1875="",0,F1875-G1875),IF(D1875="BUY",IF(G1875="",0,G1875-F1875))))*C1875</f>
        <v>4500.0000000000282</v>
      </c>
      <c r="K1875" s="2">
        <v>0</v>
      </c>
      <c r="L1875" s="8">
        <f t="shared" si="2219"/>
        <v>1.4000000000000057</v>
      </c>
      <c r="M1875" s="8">
        <f t="shared" si="2220"/>
        <v>7000.0000000000282</v>
      </c>
    </row>
    <row r="1876" spans="1:13" ht="15.75" customHeight="1" x14ac:dyDescent="0.25">
      <c r="A1876" s="24">
        <v>43276</v>
      </c>
      <c r="B1876" s="9" t="s">
        <v>15</v>
      </c>
      <c r="C1876" s="9">
        <v>5000</v>
      </c>
      <c r="D1876" s="9" t="s">
        <v>11</v>
      </c>
      <c r="E1876" s="19">
        <v>163.1</v>
      </c>
      <c r="F1876" s="19">
        <v>164.6</v>
      </c>
      <c r="G1876" s="9">
        <v>0</v>
      </c>
      <c r="H1876" s="15">
        <v>0</v>
      </c>
      <c r="I1876" s="8">
        <f t="shared" si="2218"/>
        <v>-7500</v>
      </c>
      <c r="J1876" s="8">
        <v>0</v>
      </c>
      <c r="K1876" s="2">
        <v>0</v>
      </c>
      <c r="L1876" s="8">
        <f t="shared" si="2219"/>
        <v>-1.5</v>
      </c>
      <c r="M1876" s="8">
        <f t="shared" si="2220"/>
        <v>-7500</v>
      </c>
    </row>
    <row r="1877" spans="1:13" ht="15.75" customHeight="1" x14ac:dyDescent="0.25">
      <c r="A1877" s="24">
        <v>43276</v>
      </c>
      <c r="B1877" s="9" t="s">
        <v>31</v>
      </c>
      <c r="C1877" s="9">
        <v>250</v>
      </c>
      <c r="D1877" s="9" t="s">
        <v>11</v>
      </c>
      <c r="E1877" s="19">
        <v>1025.5</v>
      </c>
      <c r="F1877" s="19">
        <v>1021</v>
      </c>
      <c r="G1877" s="9">
        <v>0</v>
      </c>
      <c r="H1877" s="15">
        <v>0</v>
      </c>
      <c r="I1877" s="8">
        <f t="shared" si="2218"/>
        <v>1125</v>
      </c>
      <c r="J1877" s="8">
        <v>0</v>
      </c>
      <c r="K1877" s="2">
        <v>0</v>
      </c>
      <c r="L1877" s="8">
        <f t="shared" si="2219"/>
        <v>4.5</v>
      </c>
      <c r="M1877" s="8">
        <f t="shared" si="2220"/>
        <v>1125</v>
      </c>
    </row>
    <row r="1878" spans="1:13" ht="15.75" customHeight="1" x14ac:dyDescent="0.25">
      <c r="A1878" s="24">
        <v>43276</v>
      </c>
      <c r="B1878" s="9" t="s">
        <v>39</v>
      </c>
      <c r="C1878" s="9">
        <v>5000</v>
      </c>
      <c r="D1878" s="9" t="s">
        <v>11</v>
      </c>
      <c r="E1878" s="19">
        <v>199.5</v>
      </c>
      <c r="F1878" s="19">
        <v>198.9</v>
      </c>
      <c r="G1878" s="9">
        <v>0</v>
      </c>
      <c r="H1878" s="15">
        <v>0</v>
      </c>
      <c r="I1878" s="8">
        <f t="shared" si="2218"/>
        <v>2999.9999999999718</v>
      </c>
      <c r="J1878" s="8">
        <v>0</v>
      </c>
      <c r="K1878" s="2">
        <v>0</v>
      </c>
      <c r="L1878" s="8">
        <f t="shared" si="2219"/>
        <v>0.59999999999999432</v>
      </c>
      <c r="M1878" s="8">
        <f t="shared" si="2220"/>
        <v>2999.9999999999718</v>
      </c>
    </row>
    <row r="1879" spans="1:13" ht="15.75" customHeight="1" x14ac:dyDescent="0.25">
      <c r="A1879" s="24">
        <v>43276</v>
      </c>
      <c r="B1879" s="9" t="s">
        <v>29</v>
      </c>
      <c r="C1879" s="9">
        <v>1000</v>
      </c>
      <c r="D1879" s="9" t="s">
        <v>11</v>
      </c>
      <c r="E1879" s="19">
        <v>454</v>
      </c>
      <c r="F1879" s="19">
        <v>453</v>
      </c>
      <c r="G1879" s="9">
        <v>0</v>
      </c>
      <c r="H1879" s="15">
        <v>0</v>
      </c>
      <c r="I1879" s="8">
        <f t="shared" si="2218"/>
        <v>1000</v>
      </c>
      <c r="J1879" s="8">
        <v>0</v>
      </c>
      <c r="K1879" s="2">
        <v>0</v>
      </c>
      <c r="L1879" s="8">
        <f t="shared" si="2219"/>
        <v>1</v>
      </c>
      <c r="M1879" s="8">
        <f t="shared" si="2220"/>
        <v>1000</v>
      </c>
    </row>
    <row r="1880" spans="1:13" ht="15.75" customHeight="1" x14ac:dyDescent="0.25">
      <c r="A1880" s="24">
        <v>43273</v>
      </c>
      <c r="B1880" s="9" t="s">
        <v>29</v>
      </c>
      <c r="C1880" s="9">
        <v>1000</v>
      </c>
      <c r="D1880" s="9" t="s">
        <v>11</v>
      </c>
      <c r="E1880" s="19">
        <v>454</v>
      </c>
      <c r="F1880" s="19">
        <v>0</v>
      </c>
      <c r="G1880" s="9">
        <v>0</v>
      </c>
      <c r="H1880" s="15">
        <v>0</v>
      </c>
      <c r="I1880" s="8">
        <v>0</v>
      </c>
      <c r="J1880" s="8">
        <f>(IF(D1880="SELL",IF(G1880="",0,F1880-G1880),IF(D1880="BUY",IF(G1880="",0,G1880-F1880))))*C1880</f>
        <v>0</v>
      </c>
      <c r="K1880" s="2">
        <v>0</v>
      </c>
      <c r="L1880" s="8">
        <f t="shared" si="2219"/>
        <v>0</v>
      </c>
      <c r="M1880" s="8">
        <f t="shared" si="2220"/>
        <v>0</v>
      </c>
    </row>
    <row r="1881" spans="1:13" ht="15.75" customHeight="1" x14ac:dyDescent="0.25">
      <c r="A1881" s="24">
        <v>43272</v>
      </c>
      <c r="B1881" s="9" t="s">
        <v>15</v>
      </c>
      <c r="C1881" s="9">
        <v>5000</v>
      </c>
      <c r="D1881" s="9" t="s">
        <v>11</v>
      </c>
      <c r="E1881" s="19">
        <v>162.6</v>
      </c>
      <c r="F1881" s="19">
        <v>162.1</v>
      </c>
      <c r="G1881" s="9">
        <v>161.30000000000001</v>
      </c>
      <c r="H1881" s="15">
        <v>0</v>
      </c>
      <c r="I1881" s="8">
        <f t="shared" ref="I1881:I1899" si="2221">(IF(D1881="SELL",E1881-F1881,IF(D1881="BUY",F1881-E1881)))*C1881</f>
        <v>2500</v>
      </c>
      <c r="J1881" s="8">
        <f>(IF(D1881="SELL",IF(G1881="",0,F1881-G1881),IF(D1881="BUY",IF(G1881="",0,G1881-F1881))))*C1881</f>
        <v>3999.9999999999145</v>
      </c>
      <c r="K1881" s="2">
        <v>0</v>
      </c>
      <c r="L1881" s="8">
        <f t="shared" si="2219"/>
        <v>1.2999999999999829</v>
      </c>
      <c r="M1881" s="8">
        <f t="shared" si="2220"/>
        <v>6499.9999999999145</v>
      </c>
    </row>
    <row r="1882" spans="1:13" ht="15.75" customHeight="1" x14ac:dyDescent="0.25">
      <c r="A1882" s="24">
        <v>43272</v>
      </c>
      <c r="B1882" s="9" t="s">
        <v>16</v>
      </c>
      <c r="C1882" s="9">
        <v>100</v>
      </c>
      <c r="D1882" s="9" t="s">
        <v>11</v>
      </c>
      <c r="E1882" s="19">
        <v>4415</v>
      </c>
      <c r="F1882" s="19">
        <v>4400</v>
      </c>
      <c r="G1882" s="9">
        <v>0</v>
      </c>
      <c r="H1882" s="15">
        <v>0</v>
      </c>
      <c r="I1882" s="8">
        <f t="shared" si="2221"/>
        <v>1500</v>
      </c>
      <c r="J1882" s="8">
        <v>0</v>
      </c>
      <c r="K1882" s="2">
        <v>0</v>
      </c>
      <c r="L1882" s="8">
        <f t="shared" si="2219"/>
        <v>15</v>
      </c>
      <c r="M1882" s="8">
        <f t="shared" si="2220"/>
        <v>1500</v>
      </c>
    </row>
    <row r="1883" spans="1:13" ht="15.75" customHeight="1" x14ac:dyDescent="0.25">
      <c r="A1883" s="24">
        <v>43272</v>
      </c>
      <c r="B1883" s="9" t="s">
        <v>39</v>
      </c>
      <c r="C1883" s="9">
        <v>5000</v>
      </c>
      <c r="D1883" s="9" t="s">
        <v>11</v>
      </c>
      <c r="E1883" s="19">
        <v>205</v>
      </c>
      <c r="F1883" s="19">
        <v>204.3</v>
      </c>
      <c r="G1883" s="9">
        <v>0</v>
      </c>
      <c r="H1883" s="15">
        <v>0</v>
      </c>
      <c r="I1883" s="8">
        <f t="shared" si="2221"/>
        <v>3499.9999999999432</v>
      </c>
      <c r="J1883" s="8">
        <v>0</v>
      </c>
      <c r="K1883" s="2">
        <v>0</v>
      </c>
      <c r="L1883" s="8">
        <f t="shared" si="2219"/>
        <v>0.69999999999998863</v>
      </c>
      <c r="M1883" s="8">
        <f t="shared" si="2220"/>
        <v>3499.9999999999432</v>
      </c>
    </row>
    <row r="1884" spans="1:13" ht="15.75" customHeight="1" x14ac:dyDescent="0.25">
      <c r="A1884" s="24">
        <v>43272</v>
      </c>
      <c r="B1884" s="9" t="s">
        <v>20</v>
      </c>
      <c r="C1884" s="9">
        <v>1250</v>
      </c>
      <c r="D1884" s="9" t="s">
        <v>10</v>
      </c>
      <c r="E1884" s="19">
        <v>203.2</v>
      </c>
      <c r="F1884" s="19">
        <v>204.2</v>
      </c>
      <c r="G1884" s="9">
        <v>0</v>
      </c>
      <c r="H1884" s="15">
        <v>0</v>
      </c>
      <c r="I1884" s="8">
        <f t="shared" si="2221"/>
        <v>1250</v>
      </c>
      <c r="J1884" s="8">
        <v>0</v>
      </c>
      <c r="K1884" s="2">
        <v>0</v>
      </c>
      <c r="L1884" s="8">
        <f t="shared" si="2219"/>
        <v>1</v>
      </c>
      <c r="M1884" s="8">
        <f t="shared" si="2220"/>
        <v>1250</v>
      </c>
    </row>
    <row r="1885" spans="1:13" ht="15.75" customHeight="1" x14ac:dyDescent="0.25">
      <c r="A1885" s="24">
        <v>43271</v>
      </c>
      <c r="B1885" s="9" t="s">
        <v>39</v>
      </c>
      <c r="C1885" s="9">
        <v>5000</v>
      </c>
      <c r="D1885" s="9" t="s">
        <v>11</v>
      </c>
      <c r="E1885" s="19">
        <v>206.65</v>
      </c>
      <c r="F1885" s="19">
        <v>206.15</v>
      </c>
      <c r="G1885" s="9">
        <v>0</v>
      </c>
      <c r="H1885" s="15">
        <v>0</v>
      </c>
      <c r="I1885" s="8">
        <f t="shared" si="2221"/>
        <v>2500</v>
      </c>
      <c r="J1885" s="8">
        <v>0</v>
      </c>
      <c r="K1885" s="2">
        <v>0</v>
      </c>
      <c r="L1885" s="8">
        <f t="shared" si="2219"/>
        <v>0.5</v>
      </c>
      <c r="M1885" s="8">
        <f t="shared" si="2220"/>
        <v>2500</v>
      </c>
    </row>
    <row r="1886" spans="1:13" ht="15.75" customHeight="1" x14ac:dyDescent="0.25">
      <c r="A1886" s="24">
        <v>43271</v>
      </c>
      <c r="B1886" s="9" t="s">
        <v>16</v>
      </c>
      <c r="C1886" s="9">
        <v>100</v>
      </c>
      <c r="D1886" s="9" t="s">
        <v>10</v>
      </c>
      <c r="E1886" s="19">
        <v>4480</v>
      </c>
      <c r="F1886" s="19">
        <v>4499</v>
      </c>
      <c r="G1886" s="9">
        <v>0</v>
      </c>
      <c r="H1886" s="15">
        <v>0</v>
      </c>
      <c r="I1886" s="8">
        <f t="shared" si="2221"/>
        <v>1900</v>
      </c>
      <c r="J1886" s="8">
        <v>0</v>
      </c>
      <c r="K1886" s="2">
        <v>0</v>
      </c>
      <c r="L1886" s="8">
        <f t="shared" si="2219"/>
        <v>19</v>
      </c>
      <c r="M1886" s="8">
        <f t="shared" si="2220"/>
        <v>1900</v>
      </c>
    </row>
    <row r="1887" spans="1:13" ht="15.75" customHeight="1" x14ac:dyDescent="0.25">
      <c r="A1887" s="24">
        <v>43271</v>
      </c>
      <c r="B1887" s="9" t="s">
        <v>54</v>
      </c>
      <c r="C1887" s="9">
        <v>1250</v>
      </c>
      <c r="D1887" s="9" t="s">
        <v>10</v>
      </c>
      <c r="E1887" s="19">
        <v>200.9</v>
      </c>
      <c r="F1887" s="19">
        <v>202</v>
      </c>
      <c r="G1887" s="9">
        <v>0</v>
      </c>
      <c r="H1887" s="15">
        <v>0</v>
      </c>
      <c r="I1887" s="8">
        <f t="shared" si="2221"/>
        <v>1374.999999999993</v>
      </c>
      <c r="J1887" s="8">
        <v>0</v>
      </c>
      <c r="K1887" s="2">
        <v>0</v>
      </c>
      <c r="L1887" s="8">
        <f t="shared" si="2219"/>
        <v>1.0999999999999943</v>
      </c>
      <c r="M1887" s="8">
        <f t="shared" si="2220"/>
        <v>1374.999999999993</v>
      </c>
    </row>
    <row r="1888" spans="1:13" ht="15.75" customHeight="1" x14ac:dyDescent="0.25">
      <c r="A1888" s="24">
        <v>43271</v>
      </c>
      <c r="B1888" s="9" t="s">
        <v>29</v>
      </c>
      <c r="C1888" s="9">
        <v>1000</v>
      </c>
      <c r="D1888" s="9" t="s">
        <v>11</v>
      </c>
      <c r="E1888" s="19">
        <v>458.2</v>
      </c>
      <c r="F1888" s="19">
        <v>457.2</v>
      </c>
      <c r="G1888" s="9">
        <v>0</v>
      </c>
      <c r="H1888" s="15">
        <v>0</v>
      </c>
      <c r="I1888" s="8">
        <f t="shared" si="2221"/>
        <v>1000</v>
      </c>
      <c r="J1888" s="8">
        <v>0</v>
      </c>
      <c r="K1888" s="2">
        <v>0</v>
      </c>
      <c r="L1888" s="8">
        <f t="shared" si="2219"/>
        <v>1</v>
      </c>
      <c r="M1888" s="8">
        <f t="shared" si="2220"/>
        <v>1000</v>
      </c>
    </row>
    <row r="1889" spans="1:13" ht="15.75" customHeight="1" x14ac:dyDescent="0.25">
      <c r="A1889" s="24">
        <v>43270</v>
      </c>
      <c r="B1889" s="9" t="s">
        <v>31</v>
      </c>
      <c r="C1889" s="9">
        <v>250</v>
      </c>
      <c r="D1889" s="9" t="s">
        <v>11</v>
      </c>
      <c r="E1889" s="19">
        <v>1007</v>
      </c>
      <c r="F1889" s="19">
        <v>1003</v>
      </c>
      <c r="G1889" s="9">
        <v>996</v>
      </c>
      <c r="H1889" s="15">
        <v>0</v>
      </c>
      <c r="I1889" s="8">
        <f t="shared" si="2221"/>
        <v>1000</v>
      </c>
      <c r="J1889" s="8">
        <f>(IF(D1889="SELL",IF(G1889="",0,F1889-G1889),IF(D1889="BUY",IF(G1889="",0,G1889-F1889))))*C1889</f>
        <v>1750</v>
      </c>
      <c r="K1889" s="2">
        <v>0</v>
      </c>
      <c r="L1889" s="8">
        <f t="shared" si="2219"/>
        <v>11</v>
      </c>
      <c r="M1889" s="8">
        <f t="shared" si="2220"/>
        <v>2750</v>
      </c>
    </row>
    <row r="1890" spans="1:13" ht="15.75" customHeight="1" x14ac:dyDescent="0.25">
      <c r="A1890" s="24">
        <v>43270</v>
      </c>
      <c r="B1890" s="9" t="s">
        <v>39</v>
      </c>
      <c r="C1890" s="9">
        <v>5000</v>
      </c>
      <c r="D1890" s="9" t="s">
        <v>11</v>
      </c>
      <c r="E1890" s="19">
        <v>209.9</v>
      </c>
      <c r="F1890" s="19">
        <v>209.4</v>
      </c>
      <c r="G1890" s="9">
        <v>208.5</v>
      </c>
      <c r="H1890" s="15">
        <v>206.5</v>
      </c>
      <c r="I1890" s="8">
        <f t="shared" si="2221"/>
        <v>2500</v>
      </c>
      <c r="J1890" s="8">
        <f>(IF(D1890="SELL",IF(G1890="",0,F1890-G1890),IF(D1890="BUY",IF(G1890="",0,G1890-F1890))))*C1890</f>
        <v>4500.0000000000282</v>
      </c>
      <c r="K1890" s="2">
        <f>(IF(D1890="SELL",IF(H1890="",0,G1890-H1890),IF(D1890="BUY",IF(H1890="",0,(H1890-G1890)))))*C1890</f>
        <v>10000</v>
      </c>
      <c r="L1890" s="8">
        <f t="shared" si="2219"/>
        <v>3.4000000000000057</v>
      </c>
      <c r="M1890" s="8">
        <f t="shared" si="2220"/>
        <v>17000.000000000029</v>
      </c>
    </row>
    <row r="1891" spans="1:13" ht="15.75" customHeight="1" x14ac:dyDescent="0.25">
      <c r="A1891" s="24">
        <v>43270</v>
      </c>
      <c r="B1891" s="9" t="s">
        <v>29</v>
      </c>
      <c r="C1891" s="9">
        <v>1000</v>
      </c>
      <c r="D1891" s="9" t="s">
        <v>11</v>
      </c>
      <c r="E1891" s="19">
        <v>464</v>
      </c>
      <c r="F1891" s="19">
        <v>463</v>
      </c>
      <c r="G1891" s="9">
        <v>462</v>
      </c>
      <c r="H1891" s="15">
        <v>0</v>
      </c>
      <c r="I1891" s="8">
        <f t="shared" si="2221"/>
        <v>1000</v>
      </c>
      <c r="J1891" s="8">
        <f>(IF(D1891="SELL",IF(G1891="",0,F1891-G1891),IF(D1891="BUY",IF(G1891="",0,G1891-F1891))))*C1891</f>
        <v>1000</v>
      </c>
      <c r="K1891" s="2">
        <v>0</v>
      </c>
      <c r="L1891" s="8">
        <f t="shared" si="2219"/>
        <v>2</v>
      </c>
      <c r="M1891" s="8">
        <f t="shared" si="2220"/>
        <v>2000</v>
      </c>
    </row>
    <row r="1892" spans="1:13" ht="15.75" customHeight="1" x14ac:dyDescent="0.25">
      <c r="A1892" s="24">
        <v>43270</v>
      </c>
      <c r="B1892" s="9" t="s">
        <v>30</v>
      </c>
      <c r="C1892" s="9">
        <v>100</v>
      </c>
      <c r="D1892" s="9" t="s">
        <v>10</v>
      </c>
      <c r="E1892" s="19">
        <v>31075</v>
      </c>
      <c r="F1892" s="19">
        <v>30970</v>
      </c>
      <c r="G1892" s="9">
        <v>0</v>
      </c>
      <c r="H1892" s="15">
        <v>0</v>
      </c>
      <c r="I1892" s="8">
        <f t="shared" si="2221"/>
        <v>-10500</v>
      </c>
      <c r="J1892" s="8">
        <v>0</v>
      </c>
      <c r="K1892" s="2">
        <v>0</v>
      </c>
      <c r="L1892" s="8">
        <f t="shared" si="2219"/>
        <v>-105</v>
      </c>
      <c r="M1892" s="8">
        <f t="shared" si="2220"/>
        <v>-10500</v>
      </c>
    </row>
    <row r="1893" spans="1:13" ht="15.75" customHeight="1" x14ac:dyDescent="0.25">
      <c r="A1893" s="24">
        <v>43269</v>
      </c>
      <c r="B1893" s="9" t="s">
        <v>29</v>
      </c>
      <c r="C1893" s="9">
        <v>1000</v>
      </c>
      <c r="D1893" s="9" t="s">
        <v>11</v>
      </c>
      <c r="E1893" s="19">
        <v>469.5</v>
      </c>
      <c r="F1893" s="19">
        <v>468.2</v>
      </c>
      <c r="G1893" s="9">
        <v>0</v>
      </c>
      <c r="H1893" s="15">
        <v>0</v>
      </c>
      <c r="I1893" s="8">
        <f t="shared" si="2221"/>
        <v>1300.0000000000114</v>
      </c>
      <c r="J1893" s="8">
        <v>0</v>
      </c>
      <c r="K1893" s="2">
        <v>0</v>
      </c>
      <c r="L1893" s="8">
        <f t="shared" si="2219"/>
        <v>1.3000000000000114</v>
      </c>
      <c r="M1893" s="8">
        <f t="shared" si="2220"/>
        <v>1300.0000000000114</v>
      </c>
    </row>
    <row r="1894" spans="1:13" ht="15.75" customHeight="1" x14ac:dyDescent="0.25">
      <c r="A1894" s="24">
        <v>43266</v>
      </c>
      <c r="B1894" s="9" t="s">
        <v>46</v>
      </c>
      <c r="C1894" s="9">
        <v>1250</v>
      </c>
      <c r="D1894" s="9" t="s">
        <v>10</v>
      </c>
      <c r="E1894" s="19">
        <v>203.4</v>
      </c>
      <c r="F1894" s="19">
        <v>204.4</v>
      </c>
      <c r="G1894" s="9">
        <v>0</v>
      </c>
      <c r="H1894" s="15">
        <v>0</v>
      </c>
      <c r="I1894" s="8">
        <f t="shared" si="2221"/>
        <v>1250</v>
      </c>
      <c r="J1894" s="8">
        <v>0</v>
      </c>
      <c r="K1894" s="2">
        <v>0</v>
      </c>
      <c r="L1894" s="8">
        <f t="shared" si="2219"/>
        <v>1</v>
      </c>
      <c r="M1894" s="8">
        <f t="shared" si="2220"/>
        <v>1250</v>
      </c>
    </row>
    <row r="1895" spans="1:13" ht="15.75" customHeight="1" x14ac:dyDescent="0.25">
      <c r="A1895" s="24">
        <v>43265</v>
      </c>
      <c r="B1895" s="9" t="s">
        <v>19</v>
      </c>
      <c r="C1895" s="9">
        <v>100</v>
      </c>
      <c r="D1895" s="9" t="s">
        <v>10</v>
      </c>
      <c r="E1895" s="19">
        <v>31240</v>
      </c>
      <c r="F1895" s="19">
        <v>31280</v>
      </c>
      <c r="G1895" s="9">
        <v>31350</v>
      </c>
      <c r="H1895" s="15">
        <v>0</v>
      </c>
      <c r="I1895" s="8">
        <f t="shared" si="2221"/>
        <v>4000</v>
      </c>
      <c r="J1895" s="8">
        <f>(IF(D1895="SELL",IF(G1895="",0,F1895-G1895),IF(D1895="BUY",IF(G1895="",0,G1895-F1895))))*C1895</f>
        <v>7000</v>
      </c>
      <c r="K1895" s="2">
        <v>0</v>
      </c>
      <c r="L1895" s="8">
        <f t="shared" si="2219"/>
        <v>110</v>
      </c>
      <c r="M1895" s="8">
        <f t="shared" si="2220"/>
        <v>11000</v>
      </c>
    </row>
    <row r="1896" spans="1:13" ht="15.75" customHeight="1" x14ac:dyDescent="0.25">
      <c r="A1896" s="24">
        <v>43265</v>
      </c>
      <c r="B1896" s="9" t="s">
        <v>14</v>
      </c>
      <c r="C1896" s="9">
        <v>30</v>
      </c>
      <c r="D1896" s="9" t="s">
        <v>10</v>
      </c>
      <c r="E1896" s="19">
        <v>41140</v>
      </c>
      <c r="F1896" s="19">
        <v>41240</v>
      </c>
      <c r="G1896" s="9">
        <v>41400</v>
      </c>
      <c r="H1896" s="15">
        <v>0</v>
      </c>
      <c r="I1896" s="8">
        <f t="shared" si="2221"/>
        <v>3000</v>
      </c>
      <c r="J1896" s="8">
        <f>(IF(D1896="SELL",IF(G1896="",0,F1896-G1896),IF(D1896="BUY",IF(G1896="",0,G1896-F1896))))*C1896</f>
        <v>4800</v>
      </c>
      <c r="K1896" s="2">
        <v>0</v>
      </c>
      <c r="L1896" s="8">
        <f t="shared" si="2219"/>
        <v>260</v>
      </c>
      <c r="M1896" s="8">
        <f t="shared" si="2220"/>
        <v>7800</v>
      </c>
    </row>
    <row r="1897" spans="1:13" ht="15.75" customHeight="1" x14ac:dyDescent="0.25">
      <c r="A1897" s="24">
        <v>43265</v>
      </c>
      <c r="B1897" s="9" t="s">
        <v>21</v>
      </c>
      <c r="C1897" s="9">
        <v>1250</v>
      </c>
      <c r="D1897" s="9" t="s">
        <v>11</v>
      </c>
      <c r="E1897" s="19">
        <v>1033</v>
      </c>
      <c r="F1897" s="19">
        <v>1029</v>
      </c>
      <c r="G1897" s="9">
        <v>0</v>
      </c>
      <c r="H1897" s="15">
        <v>0</v>
      </c>
      <c r="I1897" s="8">
        <f t="shared" si="2221"/>
        <v>5000</v>
      </c>
      <c r="J1897" s="8">
        <v>0</v>
      </c>
      <c r="K1897" s="2">
        <v>0</v>
      </c>
      <c r="L1897" s="8">
        <f t="shared" si="2219"/>
        <v>4</v>
      </c>
      <c r="M1897" s="8">
        <f t="shared" si="2220"/>
        <v>5000</v>
      </c>
    </row>
    <row r="1898" spans="1:13" ht="15.75" customHeight="1" x14ac:dyDescent="0.25">
      <c r="A1898" s="24">
        <v>43264</v>
      </c>
      <c r="B1898" s="9" t="s">
        <v>18</v>
      </c>
      <c r="C1898" s="9">
        <v>1000</v>
      </c>
      <c r="D1898" s="9" t="s">
        <v>11</v>
      </c>
      <c r="E1898" s="19">
        <v>482.2</v>
      </c>
      <c r="F1898" s="19">
        <v>485.5</v>
      </c>
      <c r="G1898" s="9">
        <v>0</v>
      </c>
      <c r="H1898" s="15">
        <v>0</v>
      </c>
      <c r="I1898" s="8">
        <f t="shared" si="2221"/>
        <v>-3300.0000000000114</v>
      </c>
      <c r="J1898" s="8">
        <v>0</v>
      </c>
      <c r="K1898" s="2">
        <v>0</v>
      </c>
      <c r="L1898" s="8">
        <f t="shared" si="2219"/>
        <v>-3.3000000000000114</v>
      </c>
      <c r="M1898" s="8">
        <f t="shared" si="2220"/>
        <v>-3300.0000000000114</v>
      </c>
    </row>
    <row r="1899" spans="1:13" ht="15.75" customHeight="1" x14ac:dyDescent="0.25">
      <c r="A1899" s="24">
        <v>43264</v>
      </c>
      <c r="B1899" s="9" t="s">
        <v>22</v>
      </c>
      <c r="C1899" s="9">
        <v>5000</v>
      </c>
      <c r="D1899" s="9" t="s">
        <v>11</v>
      </c>
      <c r="E1899" s="19">
        <v>155.55000000000001</v>
      </c>
      <c r="F1899" s="19">
        <v>155</v>
      </c>
      <c r="G1899" s="9">
        <v>0</v>
      </c>
      <c r="H1899" s="15">
        <v>0</v>
      </c>
      <c r="I1899" s="8">
        <f t="shared" si="2221"/>
        <v>2750.0000000000568</v>
      </c>
      <c r="J1899" s="8">
        <v>0</v>
      </c>
      <c r="K1899" s="2">
        <v>0</v>
      </c>
      <c r="L1899" s="8">
        <f t="shared" si="2219"/>
        <v>0.55000000000001137</v>
      </c>
      <c r="M1899" s="8">
        <f t="shared" si="2220"/>
        <v>2750.0000000000568</v>
      </c>
    </row>
    <row r="1900" spans="1:13" ht="15.75" customHeight="1" x14ac:dyDescent="0.25">
      <c r="A1900" s="24">
        <v>43263</v>
      </c>
      <c r="B1900" s="9" t="s">
        <v>18</v>
      </c>
      <c r="C1900" s="9">
        <v>1000</v>
      </c>
      <c r="D1900" s="9" t="s">
        <v>10</v>
      </c>
      <c r="E1900" s="19">
        <v>482.5</v>
      </c>
      <c r="F1900" s="19">
        <v>0</v>
      </c>
      <c r="G1900" s="9">
        <v>0</v>
      </c>
      <c r="H1900" s="15">
        <v>0</v>
      </c>
      <c r="I1900" s="8">
        <v>0</v>
      </c>
      <c r="J1900" s="8">
        <v>0</v>
      </c>
      <c r="K1900" s="2">
        <v>0</v>
      </c>
      <c r="L1900" s="8">
        <f t="shared" si="2219"/>
        <v>0</v>
      </c>
      <c r="M1900" s="8">
        <f t="shared" si="2220"/>
        <v>0</v>
      </c>
    </row>
    <row r="1901" spans="1:13" ht="15.75" customHeight="1" x14ac:dyDescent="0.25">
      <c r="A1901" s="24">
        <v>43262</v>
      </c>
      <c r="B1901" s="9" t="s">
        <v>50</v>
      </c>
      <c r="C1901" s="9">
        <v>1250</v>
      </c>
      <c r="D1901" s="9" t="s">
        <v>10</v>
      </c>
      <c r="E1901" s="19">
        <v>198.3</v>
      </c>
      <c r="F1901" s="19">
        <v>199.3</v>
      </c>
      <c r="G1901" s="9">
        <v>0</v>
      </c>
      <c r="H1901" s="15">
        <v>0</v>
      </c>
      <c r="I1901" s="8">
        <f t="shared" ref="I1901:I1932" si="2222">(IF(D1901="SELL",E1901-F1901,IF(D1901="BUY",F1901-E1901)))*C1901</f>
        <v>1250</v>
      </c>
      <c r="J1901" s="8">
        <v>0</v>
      </c>
      <c r="K1901" s="2">
        <v>0</v>
      </c>
      <c r="L1901" s="8">
        <f t="shared" si="2219"/>
        <v>1</v>
      </c>
      <c r="M1901" s="8">
        <f t="shared" si="2220"/>
        <v>1250</v>
      </c>
    </row>
    <row r="1902" spans="1:13" ht="15.75" customHeight="1" x14ac:dyDescent="0.25">
      <c r="A1902" s="24">
        <v>43262</v>
      </c>
      <c r="B1902" s="9" t="s">
        <v>39</v>
      </c>
      <c r="C1902" s="9">
        <v>5000</v>
      </c>
      <c r="D1902" s="9" t="s">
        <v>10</v>
      </c>
      <c r="E1902" s="19">
        <v>217.1</v>
      </c>
      <c r="F1902" s="19">
        <v>217.7</v>
      </c>
      <c r="G1902" s="9">
        <v>0</v>
      </c>
      <c r="H1902" s="15">
        <v>0</v>
      </c>
      <c r="I1902" s="8">
        <f t="shared" si="2222"/>
        <v>2999.9999999999718</v>
      </c>
      <c r="J1902" s="8">
        <v>0</v>
      </c>
      <c r="K1902" s="2">
        <v>0</v>
      </c>
      <c r="L1902" s="8">
        <f t="shared" si="2219"/>
        <v>0.59999999999999432</v>
      </c>
      <c r="M1902" s="8">
        <f t="shared" si="2220"/>
        <v>2999.9999999999718</v>
      </c>
    </row>
    <row r="1903" spans="1:13" ht="15.75" customHeight="1" x14ac:dyDescent="0.25">
      <c r="A1903" s="24">
        <v>43259</v>
      </c>
      <c r="B1903" s="9" t="s">
        <v>30</v>
      </c>
      <c r="C1903" s="9">
        <v>100</v>
      </c>
      <c r="D1903" s="9" t="s">
        <v>10</v>
      </c>
      <c r="E1903" s="19">
        <v>31220</v>
      </c>
      <c r="F1903" s="19">
        <v>31270</v>
      </c>
      <c r="G1903" s="9">
        <v>0</v>
      </c>
      <c r="H1903" s="15">
        <v>0</v>
      </c>
      <c r="I1903" s="8">
        <f t="shared" si="2222"/>
        <v>5000</v>
      </c>
      <c r="J1903" s="8">
        <v>0</v>
      </c>
      <c r="K1903" s="2">
        <v>0</v>
      </c>
      <c r="L1903" s="8">
        <f t="shared" si="2219"/>
        <v>50</v>
      </c>
      <c r="M1903" s="8">
        <f t="shared" si="2220"/>
        <v>5000</v>
      </c>
    </row>
    <row r="1904" spans="1:13" ht="15.75" customHeight="1" x14ac:dyDescent="0.25">
      <c r="A1904" s="24">
        <v>43259</v>
      </c>
      <c r="B1904" s="9" t="s">
        <v>39</v>
      </c>
      <c r="C1904" s="9">
        <v>5000</v>
      </c>
      <c r="D1904" s="9" t="s">
        <v>10</v>
      </c>
      <c r="E1904" s="19">
        <v>215.4</v>
      </c>
      <c r="F1904" s="19">
        <v>215.9</v>
      </c>
      <c r="G1904" s="9">
        <v>0</v>
      </c>
      <c r="H1904" s="15">
        <v>0</v>
      </c>
      <c r="I1904" s="8">
        <f t="shared" si="2222"/>
        <v>2500</v>
      </c>
      <c r="J1904" s="8">
        <v>0</v>
      </c>
      <c r="K1904" s="2">
        <v>0</v>
      </c>
      <c r="L1904" s="8">
        <f t="shared" si="2219"/>
        <v>0.5</v>
      </c>
      <c r="M1904" s="8">
        <f t="shared" si="2220"/>
        <v>2500</v>
      </c>
    </row>
    <row r="1905" spans="1:13" ht="15.75" customHeight="1" x14ac:dyDescent="0.25">
      <c r="A1905" s="24">
        <v>43258</v>
      </c>
      <c r="B1905" s="9" t="s">
        <v>29</v>
      </c>
      <c r="C1905" s="9">
        <v>1000</v>
      </c>
      <c r="D1905" s="9" t="s">
        <v>10</v>
      </c>
      <c r="E1905" s="19">
        <v>489.7</v>
      </c>
      <c r="F1905" s="19">
        <v>491</v>
      </c>
      <c r="G1905" s="9">
        <v>0</v>
      </c>
      <c r="H1905" s="15">
        <v>0</v>
      </c>
      <c r="I1905" s="8">
        <f t="shared" si="2222"/>
        <v>1300.0000000000114</v>
      </c>
      <c r="J1905" s="8">
        <v>0</v>
      </c>
      <c r="K1905" s="2">
        <v>0</v>
      </c>
      <c r="L1905" s="8">
        <f t="shared" si="2219"/>
        <v>1.3000000000000114</v>
      </c>
      <c r="M1905" s="8">
        <f t="shared" si="2220"/>
        <v>1300.0000000000114</v>
      </c>
    </row>
    <row r="1906" spans="1:13" ht="15.75" customHeight="1" x14ac:dyDescent="0.25">
      <c r="A1906" s="24">
        <v>43258</v>
      </c>
      <c r="B1906" s="9" t="s">
        <v>39</v>
      </c>
      <c r="C1906" s="9">
        <v>5000</v>
      </c>
      <c r="D1906" s="9" t="s">
        <v>10</v>
      </c>
      <c r="E1906" s="19">
        <v>214.6</v>
      </c>
      <c r="F1906" s="19">
        <v>215.2</v>
      </c>
      <c r="G1906" s="9">
        <v>0</v>
      </c>
      <c r="H1906" s="15">
        <v>0</v>
      </c>
      <c r="I1906" s="8">
        <f t="shared" si="2222"/>
        <v>2999.9999999999718</v>
      </c>
      <c r="J1906" s="8">
        <v>0</v>
      </c>
      <c r="K1906" s="2">
        <v>0</v>
      </c>
      <c r="L1906" s="8">
        <f t="shared" si="2219"/>
        <v>0.59999999999999432</v>
      </c>
      <c r="M1906" s="8">
        <f t="shared" si="2220"/>
        <v>2999.9999999999718</v>
      </c>
    </row>
    <row r="1907" spans="1:13" ht="15.75" customHeight="1" x14ac:dyDescent="0.25">
      <c r="A1907" s="24">
        <v>43257</v>
      </c>
      <c r="B1907" s="9" t="s">
        <v>39</v>
      </c>
      <c r="C1907" s="9">
        <v>5000</v>
      </c>
      <c r="D1907" s="9" t="s">
        <v>10</v>
      </c>
      <c r="E1907" s="19">
        <v>216.3</v>
      </c>
      <c r="F1907" s="19">
        <v>216.9</v>
      </c>
      <c r="G1907" s="9">
        <v>0</v>
      </c>
      <c r="H1907" s="15">
        <v>0</v>
      </c>
      <c r="I1907" s="8">
        <f t="shared" si="2222"/>
        <v>2999.9999999999718</v>
      </c>
      <c r="J1907" s="8">
        <v>0</v>
      </c>
      <c r="K1907" s="2">
        <v>0</v>
      </c>
      <c r="L1907" s="8">
        <f t="shared" si="2219"/>
        <v>0.59999999999999432</v>
      </c>
      <c r="M1907" s="8">
        <f t="shared" si="2220"/>
        <v>2999.9999999999718</v>
      </c>
    </row>
    <row r="1908" spans="1:13" ht="15.75" customHeight="1" x14ac:dyDescent="0.25">
      <c r="A1908" s="24">
        <v>43256</v>
      </c>
      <c r="B1908" s="9" t="s">
        <v>29</v>
      </c>
      <c r="C1908" s="9">
        <v>1000</v>
      </c>
      <c r="D1908" s="9" t="s">
        <v>10</v>
      </c>
      <c r="E1908" s="19">
        <v>468</v>
      </c>
      <c r="F1908" s="19">
        <v>469</v>
      </c>
      <c r="G1908" s="9">
        <v>0</v>
      </c>
      <c r="H1908" s="15">
        <v>0</v>
      </c>
      <c r="I1908" s="8">
        <f t="shared" si="2222"/>
        <v>1000</v>
      </c>
      <c r="J1908" s="8">
        <v>0</v>
      </c>
      <c r="K1908" s="2">
        <v>0</v>
      </c>
      <c r="L1908" s="8">
        <f t="shared" si="2219"/>
        <v>1</v>
      </c>
      <c r="M1908" s="8">
        <f t="shared" si="2220"/>
        <v>1000</v>
      </c>
    </row>
    <row r="1909" spans="1:13" ht="15.75" customHeight="1" x14ac:dyDescent="0.25">
      <c r="A1909" s="24">
        <v>43256</v>
      </c>
      <c r="B1909" s="9" t="s">
        <v>20</v>
      </c>
      <c r="C1909" s="9">
        <v>1250</v>
      </c>
      <c r="D1909" s="9" t="s">
        <v>11</v>
      </c>
      <c r="E1909" s="19">
        <v>196</v>
      </c>
      <c r="F1909" s="19">
        <v>195</v>
      </c>
      <c r="G1909" s="9">
        <v>0</v>
      </c>
      <c r="H1909" s="15">
        <v>0</v>
      </c>
      <c r="I1909" s="8">
        <f t="shared" si="2222"/>
        <v>1250</v>
      </c>
      <c r="J1909" s="8">
        <v>0</v>
      </c>
      <c r="K1909" s="2">
        <v>0</v>
      </c>
      <c r="L1909" s="8">
        <f t="shared" si="2219"/>
        <v>1</v>
      </c>
      <c r="M1909" s="8">
        <f t="shared" si="2220"/>
        <v>1250</v>
      </c>
    </row>
    <row r="1910" spans="1:13" ht="15.75" customHeight="1" x14ac:dyDescent="0.25">
      <c r="A1910" s="24">
        <v>43256</v>
      </c>
      <c r="B1910" s="9" t="s">
        <v>31</v>
      </c>
      <c r="C1910" s="9">
        <v>1000</v>
      </c>
      <c r="D1910" s="9" t="s">
        <v>10</v>
      </c>
      <c r="E1910" s="19">
        <v>1041.5</v>
      </c>
      <c r="F1910" s="19">
        <v>1045</v>
      </c>
      <c r="G1910" s="9">
        <v>0</v>
      </c>
      <c r="H1910" s="15">
        <v>0</v>
      </c>
      <c r="I1910" s="8">
        <f t="shared" si="2222"/>
        <v>3500</v>
      </c>
      <c r="J1910" s="8">
        <v>0</v>
      </c>
      <c r="K1910" s="2">
        <v>0</v>
      </c>
      <c r="L1910" s="8">
        <f t="shared" si="2219"/>
        <v>3.5</v>
      </c>
      <c r="M1910" s="8">
        <f t="shared" si="2220"/>
        <v>3500</v>
      </c>
    </row>
    <row r="1911" spans="1:13" ht="15.75" customHeight="1" x14ac:dyDescent="0.25">
      <c r="A1911" s="24">
        <v>43255</v>
      </c>
      <c r="B1911" s="9" t="s">
        <v>29</v>
      </c>
      <c r="C1911" s="9">
        <v>1000</v>
      </c>
      <c r="D1911" s="9" t="s">
        <v>10</v>
      </c>
      <c r="E1911" s="19">
        <v>463.4</v>
      </c>
      <c r="F1911" s="19">
        <v>464.4</v>
      </c>
      <c r="G1911" s="9">
        <v>0</v>
      </c>
      <c r="H1911" s="15">
        <v>0</v>
      </c>
      <c r="I1911" s="8">
        <f t="shared" si="2222"/>
        <v>1000</v>
      </c>
      <c r="J1911" s="8">
        <v>0</v>
      </c>
      <c r="K1911" s="2">
        <v>0</v>
      </c>
      <c r="L1911" s="8">
        <f t="shared" si="2219"/>
        <v>1</v>
      </c>
      <c r="M1911" s="8">
        <f t="shared" si="2220"/>
        <v>1000</v>
      </c>
    </row>
    <row r="1912" spans="1:13" ht="15.75" customHeight="1" x14ac:dyDescent="0.25">
      <c r="A1912" s="24">
        <v>43249</v>
      </c>
      <c r="B1912" s="9" t="s">
        <v>29</v>
      </c>
      <c r="C1912" s="9">
        <v>1000</v>
      </c>
      <c r="D1912" s="9" t="s">
        <v>11</v>
      </c>
      <c r="E1912" s="19">
        <v>456.2</v>
      </c>
      <c r="F1912" s="19">
        <v>455</v>
      </c>
      <c r="G1912" s="9">
        <v>453</v>
      </c>
      <c r="H1912" s="15">
        <v>0</v>
      </c>
      <c r="I1912" s="8">
        <f t="shared" si="2222"/>
        <v>1199.9999999999886</v>
      </c>
      <c r="J1912" s="8">
        <f>(IF(D1912="SELL",IF(G1912="",0,F1912-G1912),IF(D1912="BUY",IF(G1912="",0,G1912-F1912))))*C1912</f>
        <v>2000</v>
      </c>
      <c r="K1912" s="2">
        <v>0</v>
      </c>
      <c r="L1912" s="8">
        <f t="shared" si="2219"/>
        <v>3.1999999999999886</v>
      </c>
      <c r="M1912" s="8">
        <f t="shared" si="2220"/>
        <v>3199.9999999999886</v>
      </c>
    </row>
    <row r="1913" spans="1:13" ht="15.75" customHeight="1" x14ac:dyDescent="0.25">
      <c r="A1913" s="24">
        <v>43249</v>
      </c>
      <c r="B1913" s="9" t="s">
        <v>35</v>
      </c>
      <c r="C1913" s="9">
        <v>5000</v>
      </c>
      <c r="D1913" s="9" t="s">
        <v>10</v>
      </c>
      <c r="E1913" s="19">
        <v>166.4</v>
      </c>
      <c r="F1913" s="19">
        <v>167</v>
      </c>
      <c r="G1913" s="9">
        <v>0</v>
      </c>
      <c r="H1913" s="15">
        <v>0</v>
      </c>
      <c r="I1913" s="8">
        <f t="shared" si="2222"/>
        <v>2999.9999999999718</v>
      </c>
      <c r="J1913" s="8">
        <v>0</v>
      </c>
      <c r="K1913" s="2">
        <v>0</v>
      </c>
      <c r="L1913" s="8">
        <f t="shared" si="2219"/>
        <v>0.59999999999999432</v>
      </c>
      <c r="M1913" s="8">
        <f t="shared" si="2220"/>
        <v>2999.9999999999718</v>
      </c>
    </row>
    <row r="1914" spans="1:13" ht="15.75" customHeight="1" x14ac:dyDescent="0.25">
      <c r="A1914" s="24">
        <v>43249</v>
      </c>
      <c r="B1914" s="9" t="s">
        <v>29</v>
      </c>
      <c r="C1914" s="9">
        <v>1000</v>
      </c>
      <c r="D1914" s="9" t="s">
        <v>10</v>
      </c>
      <c r="E1914" s="19">
        <v>463.3</v>
      </c>
      <c r="F1914" s="19">
        <v>464.3</v>
      </c>
      <c r="G1914" s="9">
        <v>466</v>
      </c>
      <c r="H1914" s="15">
        <v>0</v>
      </c>
      <c r="I1914" s="8">
        <f t="shared" si="2222"/>
        <v>1000</v>
      </c>
      <c r="J1914" s="8">
        <f>(IF(D1914="SELL",IF(G1914="",0,F1914-G1914),IF(D1914="BUY",IF(G1914="",0,G1914-F1914))))*C1914</f>
        <v>1699.9999999999886</v>
      </c>
      <c r="K1914" s="2">
        <v>0</v>
      </c>
      <c r="L1914" s="8">
        <f t="shared" si="2219"/>
        <v>2.6999999999999886</v>
      </c>
      <c r="M1914" s="8">
        <f t="shared" si="2220"/>
        <v>2699.9999999999886</v>
      </c>
    </row>
    <row r="1915" spans="1:13" ht="15.75" customHeight="1" x14ac:dyDescent="0.25">
      <c r="A1915" s="24">
        <v>43249</v>
      </c>
      <c r="B1915" s="9" t="s">
        <v>17</v>
      </c>
      <c r="C1915" s="9">
        <v>5000</v>
      </c>
      <c r="D1915" s="9" t="s">
        <v>10</v>
      </c>
      <c r="E1915" s="19">
        <v>208.7</v>
      </c>
      <c r="F1915" s="19">
        <v>209.3</v>
      </c>
      <c r="G1915" s="9">
        <v>210.2</v>
      </c>
      <c r="H1915" s="15">
        <v>0</v>
      </c>
      <c r="I1915" s="8">
        <f t="shared" si="2222"/>
        <v>3000.0000000001137</v>
      </c>
      <c r="J1915" s="8">
        <f>(IF(D1915="SELL",IF(G1915="",0,F1915-G1915),IF(D1915="BUY",IF(G1915="",0,G1915-F1915))))*C1915</f>
        <v>4499.9999999998863</v>
      </c>
      <c r="K1915" s="2">
        <v>0</v>
      </c>
      <c r="L1915" s="8">
        <f t="shared" si="2219"/>
        <v>1.5</v>
      </c>
      <c r="M1915" s="8">
        <f t="shared" si="2220"/>
        <v>7500</v>
      </c>
    </row>
    <row r="1916" spans="1:13" ht="15.75" customHeight="1" x14ac:dyDescent="0.25">
      <c r="A1916" s="24">
        <v>43248</v>
      </c>
      <c r="B1916" s="9" t="s">
        <v>29</v>
      </c>
      <c r="C1916" s="9">
        <v>1000</v>
      </c>
      <c r="D1916" s="9" t="s">
        <v>11</v>
      </c>
      <c r="E1916" s="19">
        <v>458.7</v>
      </c>
      <c r="F1916" s="19">
        <v>457.7</v>
      </c>
      <c r="G1916" s="9">
        <v>0</v>
      </c>
      <c r="H1916" s="15">
        <v>0</v>
      </c>
      <c r="I1916" s="8">
        <f t="shared" si="2222"/>
        <v>1000</v>
      </c>
      <c r="J1916" s="8">
        <v>0</v>
      </c>
      <c r="K1916" s="2">
        <v>0</v>
      </c>
      <c r="L1916" s="8">
        <f t="shared" si="2219"/>
        <v>1</v>
      </c>
      <c r="M1916" s="8">
        <f t="shared" si="2220"/>
        <v>1000</v>
      </c>
    </row>
    <row r="1917" spans="1:13" ht="15.75" customHeight="1" x14ac:dyDescent="0.25">
      <c r="A1917" s="24">
        <v>43245</v>
      </c>
      <c r="B1917" s="9" t="s">
        <v>36</v>
      </c>
      <c r="C1917" s="9">
        <v>100</v>
      </c>
      <c r="D1917" s="9" t="s">
        <v>11</v>
      </c>
      <c r="E1917" s="19">
        <v>4755</v>
      </c>
      <c r="F1917" s="19">
        <v>4740</v>
      </c>
      <c r="G1917" s="9">
        <v>4715</v>
      </c>
      <c r="H1917" s="15">
        <v>0</v>
      </c>
      <c r="I1917" s="8">
        <f t="shared" si="2222"/>
        <v>1500</v>
      </c>
      <c r="J1917" s="8">
        <f>(IF(D1917="SELL",IF(G1917="",0,F1917-G1917),IF(D1917="BUY",IF(G1917="",0,G1917-F1917))))*C1917</f>
        <v>2500</v>
      </c>
      <c r="K1917" s="2">
        <v>0</v>
      </c>
      <c r="L1917" s="8">
        <f t="shared" si="2219"/>
        <v>40</v>
      </c>
      <c r="M1917" s="8">
        <f t="shared" si="2220"/>
        <v>4000</v>
      </c>
    </row>
    <row r="1918" spans="1:13" ht="15.75" customHeight="1" x14ac:dyDescent="0.25">
      <c r="A1918" s="24">
        <v>43243</v>
      </c>
      <c r="B1918" s="9" t="s">
        <v>17</v>
      </c>
      <c r="C1918" s="9">
        <v>5000</v>
      </c>
      <c r="D1918" s="9" t="s">
        <v>11</v>
      </c>
      <c r="E1918" s="19">
        <v>206.1</v>
      </c>
      <c r="F1918" s="19">
        <v>205.5</v>
      </c>
      <c r="G1918" s="9">
        <v>0</v>
      </c>
      <c r="H1918" s="15">
        <v>0</v>
      </c>
      <c r="I1918" s="8">
        <f t="shared" si="2222"/>
        <v>2999.9999999999718</v>
      </c>
      <c r="J1918" s="8">
        <v>0</v>
      </c>
      <c r="K1918" s="2">
        <v>0</v>
      </c>
      <c r="L1918" s="8">
        <f t="shared" si="2219"/>
        <v>0.59999999999999432</v>
      </c>
      <c r="M1918" s="8">
        <f t="shared" si="2220"/>
        <v>2999.9999999999718</v>
      </c>
    </row>
    <row r="1919" spans="1:13" ht="15.75" customHeight="1" x14ac:dyDescent="0.25">
      <c r="A1919" s="24">
        <v>43243</v>
      </c>
      <c r="B1919" s="9" t="s">
        <v>31</v>
      </c>
      <c r="C1919" s="9">
        <v>250</v>
      </c>
      <c r="D1919" s="9" t="s">
        <v>11</v>
      </c>
      <c r="E1919" s="19">
        <v>993</v>
      </c>
      <c r="F1919" s="19">
        <v>989</v>
      </c>
      <c r="G1919" s="9">
        <v>0</v>
      </c>
      <c r="H1919" s="15">
        <v>0</v>
      </c>
      <c r="I1919" s="8">
        <f t="shared" si="2222"/>
        <v>1000</v>
      </c>
      <c r="J1919" s="8">
        <v>0</v>
      </c>
      <c r="K1919" s="2">
        <v>0</v>
      </c>
      <c r="L1919" s="8">
        <f t="shared" si="2219"/>
        <v>4</v>
      </c>
      <c r="M1919" s="8">
        <f t="shared" si="2220"/>
        <v>1000</v>
      </c>
    </row>
    <row r="1920" spans="1:13" ht="15.75" customHeight="1" x14ac:dyDescent="0.25">
      <c r="A1920" s="24">
        <v>43242</v>
      </c>
      <c r="B1920" s="9" t="s">
        <v>17</v>
      </c>
      <c r="C1920" s="9">
        <v>5000</v>
      </c>
      <c r="D1920" s="9" t="s">
        <v>11</v>
      </c>
      <c r="E1920" s="19">
        <v>209.8</v>
      </c>
      <c r="F1920" s="19">
        <v>209.3</v>
      </c>
      <c r="G1920" s="9">
        <v>208.6</v>
      </c>
      <c r="H1920" s="15">
        <v>0</v>
      </c>
      <c r="I1920" s="8">
        <f t="shared" si="2222"/>
        <v>2500</v>
      </c>
      <c r="J1920" s="8">
        <f>(IF(D1920="SELL",IF(G1920="",0,F1920-G1920),IF(D1920="BUY",IF(G1920="",0,G1920-F1920))))*C1920</f>
        <v>3500.0000000000855</v>
      </c>
      <c r="K1920" s="2">
        <v>0</v>
      </c>
      <c r="L1920" s="8">
        <f t="shared" si="2219"/>
        <v>1.2000000000000171</v>
      </c>
      <c r="M1920" s="8">
        <f t="shared" si="2220"/>
        <v>6000.0000000000855</v>
      </c>
    </row>
    <row r="1921" spans="1:13" ht="15.75" customHeight="1" x14ac:dyDescent="0.25">
      <c r="A1921" s="24">
        <v>43241</v>
      </c>
      <c r="B1921" s="9" t="s">
        <v>17</v>
      </c>
      <c r="C1921" s="9">
        <v>5000</v>
      </c>
      <c r="D1921" s="9" t="s">
        <v>10</v>
      </c>
      <c r="E1921" s="19">
        <v>211.8</v>
      </c>
      <c r="F1921" s="19">
        <v>212.3</v>
      </c>
      <c r="G1921" s="9">
        <v>0</v>
      </c>
      <c r="H1921" s="15">
        <v>0</v>
      </c>
      <c r="I1921" s="8">
        <f t="shared" si="2222"/>
        <v>2500</v>
      </c>
      <c r="J1921" s="8">
        <v>0</v>
      </c>
      <c r="K1921" s="2">
        <v>0</v>
      </c>
      <c r="L1921" s="8">
        <f t="shared" si="2219"/>
        <v>0.5</v>
      </c>
      <c r="M1921" s="8">
        <f t="shared" si="2220"/>
        <v>2500</v>
      </c>
    </row>
    <row r="1922" spans="1:13" ht="15.75" customHeight="1" x14ac:dyDescent="0.25">
      <c r="A1922" s="24">
        <v>43241</v>
      </c>
      <c r="B1922" s="9" t="s">
        <v>20</v>
      </c>
      <c r="C1922" s="9">
        <v>1250</v>
      </c>
      <c r="D1922" s="9" t="s">
        <v>11</v>
      </c>
      <c r="E1922" s="19">
        <v>193</v>
      </c>
      <c r="F1922" s="19">
        <v>192</v>
      </c>
      <c r="G1922" s="9">
        <v>0</v>
      </c>
      <c r="H1922" s="15">
        <v>0</v>
      </c>
      <c r="I1922" s="8">
        <f t="shared" si="2222"/>
        <v>1250</v>
      </c>
      <c r="J1922" s="8">
        <v>0</v>
      </c>
      <c r="K1922" s="2">
        <v>0</v>
      </c>
      <c r="L1922" s="8">
        <f t="shared" si="2219"/>
        <v>1</v>
      </c>
      <c r="M1922" s="8">
        <f t="shared" si="2220"/>
        <v>1250</v>
      </c>
    </row>
    <row r="1923" spans="1:13" ht="15.75" customHeight="1" x14ac:dyDescent="0.25">
      <c r="A1923" s="24">
        <v>43241</v>
      </c>
      <c r="B1923" s="9" t="s">
        <v>29</v>
      </c>
      <c r="C1923" s="9">
        <v>5000</v>
      </c>
      <c r="D1923" s="9" t="s">
        <v>10</v>
      </c>
      <c r="E1923" s="19">
        <v>465.2</v>
      </c>
      <c r="F1923" s="19">
        <v>466.3</v>
      </c>
      <c r="G1923" s="9">
        <v>0</v>
      </c>
      <c r="H1923" s="15">
        <v>0</v>
      </c>
      <c r="I1923" s="8">
        <f t="shared" si="2222"/>
        <v>5500.0000000001137</v>
      </c>
      <c r="J1923" s="8">
        <v>0</v>
      </c>
      <c r="K1923" s="2">
        <v>0</v>
      </c>
      <c r="L1923" s="8">
        <f t="shared" si="2219"/>
        <v>1.1000000000000227</v>
      </c>
      <c r="M1923" s="8">
        <f t="shared" si="2220"/>
        <v>5500.0000000001137</v>
      </c>
    </row>
    <row r="1924" spans="1:13" ht="15.75" customHeight="1" x14ac:dyDescent="0.25">
      <c r="A1924" s="24">
        <v>43238</v>
      </c>
      <c r="B1924" s="9" t="s">
        <v>17</v>
      </c>
      <c r="C1924" s="9">
        <v>5000</v>
      </c>
      <c r="D1924" s="9" t="s">
        <v>10</v>
      </c>
      <c r="E1924" s="19">
        <v>210.5</v>
      </c>
      <c r="F1924" s="19">
        <v>211</v>
      </c>
      <c r="G1924" s="9">
        <v>0</v>
      </c>
      <c r="H1924" s="15">
        <v>0</v>
      </c>
      <c r="I1924" s="8">
        <f t="shared" si="2222"/>
        <v>2500</v>
      </c>
      <c r="J1924" s="8">
        <v>0</v>
      </c>
      <c r="K1924" s="2">
        <v>0</v>
      </c>
      <c r="L1924" s="8">
        <f t="shared" si="2219"/>
        <v>0.5</v>
      </c>
      <c r="M1924" s="8">
        <f t="shared" si="2220"/>
        <v>2500</v>
      </c>
    </row>
    <row r="1925" spans="1:13" ht="15.75" customHeight="1" x14ac:dyDescent="0.25">
      <c r="A1925" s="24">
        <v>43238</v>
      </c>
      <c r="B1925" s="9" t="s">
        <v>40</v>
      </c>
      <c r="C1925" s="9">
        <v>30</v>
      </c>
      <c r="D1925" s="9" t="s">
        <v>10</v>
      </c>
      <c r="E1925" s="19">
        <v>41120</v>
      </c>
      <c r="F1925" s="19">
        <v>41220</v>
      </c>
      <c r="G1925" s="9">
        <v>0</v>
      </c>
      <c r="H1925" s="15">
        <v>0</v>
      </c>
      <c r="I1925" s="8">
        <f t="shared" si="2222"/>
        <v>3000</v>
      </c>
      <c r="J1925" s="8">
        <v>0</v>
      </c>
      <c r="K1925" s="2">
        <v>0</v>
      </c>
      <c r="L1925" s="8">
        <f t="shared" ref="L1925:L1988" si="2223">(J1925+I1925+K1925)/C1925</f>
        <v>100</v>
      </c>
      <c r="M1925" s="8">
        <f t="shared" ref="M1925:M1988" si="2224">L1925*C1925</f>
        <v>3000</v>
      </c>
    </row>
    <row r="1926" spans="1:13" ht="15.75" customHeight="1" x14ac:dyDescent="0.25">
      <c r="A1926" s="24">
        <v>43238</v>
      </c>
      <c r="B1926" s="9" t="s">
        <v>31</v>
      </c>
      <c r="C1926" s="9">
        <v>250</v>
      </c>
      <c r="D1926" s="9" t="s">
        <v>10</v>
      </c>
      <c r="E1926" s="19">
        <v>1000</v>
      </c>
      <c r="F1926" s="19">
        <v>1004</v>
      </c>
      <c r="G1926" s="9">
        <v>1010</v>
      </c>
      <c r="H1926" s="15">
        <v>0</v>
      </c>
      <c r="I1926" s="8">
        <f t="shared" si="2222"/>
        <v>1000</v>
      </c>
      <c r="J1926" s="8">
        <f>(IF(D1926="SELL",IF(G1926="",0,F1926-G1926),IF(D1926="BUY",IF(G1926="",0,G1926-F1926))))*C1926</f>
        <v>1500</v>
      </c>
      <c r="K1926" s="2">
        <v>0</v>
      </c>
      <c r="L1926" s="8">
        <f t="shared" si="2223"/>
        <v>10</v>
      </c>
      <c r="M1926" s="8">
        <f t="shared" si="2224"/>
        <v>2500</v>
      </c>
    </row>
    <row r="1927" spans="1:13" ht="15.75" customHeight="1" x14ac:dyDescent="0.25">
      <c r="A1927" s="24">
        <v>43237</v>
      </c>
      <c r="B1927" s="9" t="s">
        <v>40</v>
      </c>
      <c r="C1927" s="9">
        <v>30</v>
      </c>
      <c r="D1927" s="9" t="s">
        <v>10</v>
      </c>
      <c r="E1927" s="19">
        <v>39980</v>
      </c>
      <c r="F1927" s="19">
        <v>40080</v>
      </c>
      <c r="G1927" s="9">
        <v>40200</v>
      </c>
      <c r="H1927" s="15">
        <v>0</v>
      </c>
      <c r="I1927" s="8">
        <f t="shared" si="2222"/>
        <v>3000</v>
      </c>
      <c r="J1927" s="8">
        <f>(IF(D1927="SELL",IF(G1927="",0,F1927-G1927),IF(D1927="BUY",IF(G1927="",0,G1927-F1927))))*C1927</f>
        <v>3600</v>
      </c>
      <c r="K1927" s="2">
        <v>0</v>
      </c>
      <c r="L1927" s="8">
        <f t="shared" si="2223"/>
        <v>220</v>
      </c>
      <c r="M1927" s="8">
        <f t="shared" si="2224"/>
        <v>6600</v>
      </c>
    </row>
    <row r="1928" spans="1:13" ht="15.75" customHeight="1" x14ac:dyDescent="0.25">
      <c r="A1928" s="24">
        <v>43237</v>
      </c>
      <c r="B1928" s="9" t="s">
        <v>39</v>
      </c>
      <c r="C1928" s="9">
        <v>5000</v>
      </c>
      <c r="D1928" s="9" t="s">
        <v>10</v>
      </c>
      <c r="E1928" s="19">
        <v>208.5</v>
      </c>
      <c r="F1928" s="19">
        <v>209</v>
      </c>
      <c r="G1928" s="9">
        <v>210</v>
      </c>
      <c r="H1928" s="15">
        <v>0</v>
      </c>
      <c r="I1928" s="8">
        <f t="shared" si="2222"/>
        <v>2500</v>
      </c>
      <c r="J1928" s="8">
        <f>(IF(D1928="SELL",IF(G1928="",0,F1928-G1928),IF(D1928="BUY",IF(G1928="",0,G1928-F1928))))*C1928</f>
        <v>5000</v>
      </c>
      <c r="K1928" s="2">
        <v>0</v>
      </c>
      <c r="L1928" s="8">
        <f t="shared" si="2223"/>
        <v>1.5</v>
      </c>
      <c r="M1928" s="8">
        <f t="shared" si="2224"/>
        <v>7500</v>
      </c>
    </row>
    <row r="1929" spans="1:13" ht="15.75" customHeight="1" x14ac:dyDescent="0.25">
      <c r="A1929" s="24">
        <v>43237</v>
      </c>
      <c r="B1929" s="9" t="s">
        <v>29</v>
      </c>
      <c r="C1929" s="9">
        <v>1000</v>
      </c>
      <c r="D1929" s="9" t="s">
        <v>10</v>
      </c>
      <c r="E1929" s="19">
        <v>463.5</v>
      </c>
      <c r="F1929" s="19">
        <v>464.5</v>
      </c>
      <c r="G1929" s="9">
        <v>0</v>
      </c>
      <c r="H1929" s="15">
        <v>0</v>
      </c>
      <c r="I1929" s="8">
        <f t="shared" si="2222"/>
        <v>1000</v>
      </c>
      <c r="J1929" s="8">
        <v>0</v>
      </c>
      <c r="K1929" s="2">
        <f t="shared" ref="K1929:K1936" si="2225">(IF(D1929="SELL",IF(H1929="",0,G1929-H1929),IF(D1929="BUY",IF(H1929="",0,(H1929-G1929)))))*C1929</f>
        <v>0</v>
      </c>
      <c r="L1929" s="8">
        <f t="shared" si="2223"/>
        <v>1</v>
      </c>
      <c r="M1929" s="8">
        <f t="shared" si="2224"/>
        <v>1000</v>
      </c>
    </row>
    <row r="1930" spans="1:13" ht="15.75" customHeight="1" x14ac:dyDescent="0.25">
      <c r="A1930" s="24">
        <v>43237</v>
      </c>
      <c r="B1930" s="9" t="s">
        <v>31</v>
      </c>
      <c r="C1930" s="9">
        <v>250</v>
      </c>
      <c r="D1930" s="9" t="s">
        <v>10</v>
      </c>
      <c r="E1930" s="19">
        <v>993</v>
      </c>
      <c r="F1930" s="19">
        <v>997</v>
      </c>
      <c r="G1930" s="9">
        <v>0</v>
      </c>
      <c r="H1930" s="15">
        <v>0</v>
      </c>
      <c r="I1930" s="8">
        <f t="shared" si="2222"/>
        <v>1000</v>
      </c>
      <c r="J1930" s="8">
        <v>0</v>
      </c>
      <c r="K1930" s="2">
        <f t="shared" si="2225"/>
        <v>0</v>
      </c>
      <c r="L1930" s="8">
        <f t="shared" si="2223"/>
        <v>4</v>
      </c>
      <c r="M1930" s="8">
        <f t="shared" si="2224"/>
        <v>1000</v>
      </c>
    </row>
    <row r="1931" spans="1:13" ht="15.75" customHeight="1" x14ac:dyDescent="0.25">
      <c r="A1931" s="24">
        <v>43237</v>
      </c>
      <c r="B1931" s="9" t="s">
        <v>29</v>
      </c>
      <c r="C1931" s="9">
        <v>1000</v>
      </c>
      <c r="D1931" s="9" t="s">
        <v>10</v>
      </c>
      <c r="E1931" s="19">
        <v>463</v>
      </c>
      <c r="F1931" s="19">
        <v>464.5</v>
      </c>
      <c r="G1931" s="9">
        <v>0</v>
      </c>
      <c r="H1931" s="15">
        <v>0</v>
      </c>
      <c r="I1931" s="8">
        <f t="shared" si="2222"/>
        <v>1500</v>
      </c>
      <c r="J1931" s="8">
        <v>0</v>
      </c>
      <c r="K1931" s="2">
        <f t="shared" si="2225"/>
        <v>0</v>
      </c>
      <c r="L1931" s="8">
        <f t="shared" si="2223"/>
        <v>1.5</v>
      </c>
      <c r="M1931" s="8">
        <f t="shared" si="2224"/>
        <v>1500</v>
      </c>
    </row>
    <row r="1932" spans="1:13" ht="15.75" customHeight="1" x14ac:dyDescent="0.25">
      <c r="A1932" s="24">
        <v>43235</v>
      </c>
      <c r="B1932" s="9" t="s">
        <v>30</v>
      </c>
      <c r="C1932" s="9">
        <v>100</v>
      </c>
      <c r="D1932" s="9" t="s">
        <v>10</v>
      </c>
      <c r="E1932" s="19">
        <v>31460</v>
      </c>
      <c r="F1932" s="19">
        <v>31510</v>
      </c>
      <c r="G1932" s="9">
        <v>0</v>
      </c>
      <c r="H1932" s="15">
        <v>0</v>
      </c>
      <c r="I1932" s="8">
        <f t="shared" si="2222"/>
        <v>5000</v>
      </c>
      <c r="J1932" s="8">
        <v>0</v>
      </c>
      <c r="K1932" s="2">
        <f t="shared" si="2225"/>
        <v>0</v>
      </c>
      <c r="L1932" s="8">
        <f t="shared" si="2223"/>
        <v>50</v>
      </c>
      <c r="M1932" s="8">
        <f t="shared" si="2224"/>
        <v>5000</v>
      </c>
    </row>
    <row r="1933" spans="1:13" ht="15.75" customHeight="1" x14ac:dyDescent="0.25">
      <c r="A1933" s="24">
        <v>43235</v>
      </c>
      <c r="B1933" s="9" t="s">
        <v>53</v>
      </c>
      <c r="C1933" s="9">
        <v>1250</v>
      </c>
      <c r="D1933" s="9" t="s">
        <v>10</v>
      </c>
      <c r="E1933" s="19">
        <v>192.8</v>
      </c>
      <c r="F1933" s="19">
        <v>193.8</v>
      </c>
      <c r="G1933" s="9">
        <v>0</v>
      </c>
      <c r="H1933" s="15">
        <v>0</v>
      </c>
      <c r="I1933" s="8">
        <f t="shared" ref="I1933:I1961" si="2226">(IF(D1933="SELL",E1933-F1933,IF(D1933="BUY",F1933-E1933)))*C1933</f>
        <v>1250</v>
      </c>
      <c r="J1933" s="8">
        <v>0</v>
      </c>
      <c r="K1933" s="2">
        <f t="shared" si="2225"/>
        <v>0</v>
      </c>
      <c r="L1933" s="8">
        <f t="shared" si="2223"/>
        <v>1</v>
      </c>
      <c r="M1933" s="8">
        <f t="shared" si="2224"/>
        <v>1250</v>
      </c>
    </row>
    <row r="1934" spans="1:13" ht="15.75" customHeight="1" x14ac:dyDescent="0.25">
      <c r="A1934" s="24">
        <v>43235</v>
      </c>
      <c r="B1934" s="9" t="s">
        <v>31</v>
      </c>
      <c r="C1934" s="9">
        <v>250</v>
      </c>
      <c r="D1934" s="9" t="s">
        <v>10</v>
      </c>
      <c r="E1934" s="19">
        <v>988</v>
      </c>
      <c r="F1934" s="19">
        <v>995</v>
      </c>
      <c r="G1934" s="9">
        <v>0</v>
      </c>
      <c r="H1934" s="15">
        <v>0</v>
      </c>
      <c r="I1934" s="8">
        <f t="shared" si="2226"/>
        <v>1750</v>
      </c>
      <c r="J1934" s="8">
        <v>0</v>
      </c>
      <c r="K1934" s="2">
        <f t="shared" si="2225"/>
        <v>0</v>
      </c>
      <c r="L1934" s="8">
        <f t="shared" si="2223"/>
        <v>7</v>
      </c>
      <c r="M1934" s="8">
        <f t="shared" si="2224"/>
        <v>1750</v>
      </c>
    </row>
    <row r="1935" spans="1:13" ht="15.75" customHeight="1" x14ac:dyDescent="0.25">
      <c r="A1935" s="24">
        <v>43235</v>
      </c>
      <c r="B1935" s="9" t="s">
        <v>39</v>
      </c>
      <c r="C1935" s="9">
        <v>5000</v>
      </c>
      <c r="D1935" s="9" t="s">
        <v>11</v>
      </c>
      <c r="E1935" s="19">
        <v>206.9</v>
      </c>
      <c r="F1935" s="19">
        <v>208.2</v>
      </c>
      <c r="G1935" s="9">
        <v>0</v>
      </c>
      <c r="H1935" s="15">
        <v>0</v>
      </c>
      <c r="I1935" s="8">
        <f t="shared" si="2226"/>
        <v>-6499.9999999999145</v>
      </c>
      <c r="J1935" s="8">
        <v>0</v>
      </c>
      <c r="K1935" s="2">
        <f t="shared" si="2225"/>
        <v>0</v>
      </c>
      <c r="L1935" s="8">
        <f t="shared" si="2223"/>
        <v>-1.2999999999999829</v>
      </c>
      <c r="M1935" s="8">
        <f t="shared" si="2224"/>
        <v>-6499.9999999999145</v>
      </c>
    </row>
    <row r="1936" spans="1:13" ht="15.75" customHeight="1" x14ac:dyDescent="0.25">
      <c r="A1936" s="24">
        <v>43234</v>
      </c>
      <c r="B1936" s="9" t="s">
        <v>37</v>
      </c>
      <c r="C1936" s="9">
        <v>5000</v>
      </c>
      <c r="D1936" s="9" t="s">
        <v>10</v>
      </c>
      <c r="E1936" s="19">
        <v>154.69999999999999</v>
      </c>
      <c r="F1936" s="19">
        <v>155.1</v>
      </c>
      <c r="G1936" s="9">
        <v>156</v>
      </c>
      <c r="H1936" s="15">
        <v>157</v>
      </c>
      <c r="I1936" s="8">
        <f t="shared" si="2226"/>
        <v>2000.0000000000284</v>
      </c>
      <c r="J1936" s="8">
        <f>(IF(D1936="SELL",IF(G1936="",0,F1936-G1936),IF(D1936="BUY",IF(G1936="",0,G1936-F1936))))*C1936</f>
        <v>4500.0000000000282</v>
      </c>
      <c r="K1936" s="2">
        <f t="shared" si="2225"/>
        <v>5000</v>
      </c>
      <c r="L1936" s="8">
        <f t="shared" si="2223"/>
        <v>2.3000000000000114</v>
      </c>
      <c r="M1936" s="8">
        <f t="shared" si="2224"/>
        <v>11500.000000000056</v>
      </c>
    </row>
    <row r="1937" spans="1:13" ht="15.75" customHeight="1" x14ac:dyDescent="0.25">
      <c r="A1937" s="24">
        <v>43234</v>
      </c>
      <c r="B1937" s="9" t="s">
        <v>52</v>
      </c>
      <c r="C1937" s="9">
        <v>1250</v>
      </c>
      <c r="D1937" s="9" t="s">
        <v>10</v>
      </c>
      <c r="E1937" s="19">
        <v>191.6</v>
      </c>
      <c r="F1937" s="19">
        <v>192.6</v>
      </c>
      <c r="G1937" s="9">
        <v>0</v>
      </c>
      <c r="H1937" s="15">
        <v>0</v>
      </c>
      <c r="I1937" s="8">
        <f t="shared" si="2226"/>
        <v>1250</v>
      </c>
      <c r="J1937" s="8">
        <v>0</v>
      </c>
      <c r="K1937" s="2">
        <v>0</v>
      </c>
      <c r="L1937" s="8">
        <f t="shared" si="2223"/>
        <v>1</v>
      </c>
      <c r="M1937" s="8">
        <f t="shared" si="2224"/>
        <v>1250</v>
      </c>
    </row>
    <row r="1938" spans="1:13" ht="15.75" customHeight="1" x14ac:dyDescent="0.25">
      <c r="A1938" s="24">
        <v>43234</v>
      </c>
      <c r="B1938" s="9" t="s">
        <v>15</v>
      </c>
      <c r="C1938" s="9">
        <v>5000</v>
      </c>
      <c r="D1938" s="9" t="s">
        <v>10</v>
      </c>
      <c r="E1938" s="19">
        <v>160.69999999999999</v>
      </c>
      <c r="F1938" s="19">
        <v>161</v>
      </c>
      <c r="G1938" s="9">
        <v>161.69999999999999</v>
      </c>
      <c r="H1938" s="15">
        <v>0</v>
      </c>
      <c r="I1938" s="8">
        <f t="shared" si="2226"/>
        <v>1500.0000000000568</v>
      </c>
      <c r="J1938" s="8">
        <f>(IF(D1938="SELL",IF(G1938="",0,F1938-G1938),IF(D1938="BUY",IF(G1938="",0,G1938-F1938))))*C1938</f>
        <v>3499.9999999999432</v>
      </c>
      <c r="K1938" s="2">
        <v>0</v>
      </c>
      <c r="L1938" s="8">
        <f t="shared" si="2223"/>
        <v>1</v>
      </c>
      <c r="M1938" s="8">
        <f t="shared" si="2224"/>
        <v>5000</v>
      </c>
    </row>
    <row r="1939" spans="1:13" ht="15.75" customHeight="1" x14ac:dyDescent="0.25">
      <c r="A1939" s="24">
        <v>43234</v>
      </c>
      <c r="B1939" s="9" t="s">
        <v>35</v>
      </c>
      <c r="C1939" s="9">
        <v>5000</v>
      </c>
      <c r="D1939" s="9" t="s">
        <v>10</v>
      </c>
      <c r="E1939" s="19">
        <v>160.1</v>
      </c>
      <c r="F1939" s="19">
        <v>160.5</v>
      </c>
      <c r="G1939" s="9">
        <v>0</v>
      </c>
      <c r="H1939" s="15">
        <v>0</v>
      </c>
      <c r="I1939" s="8">
        <f t="shared" si="2226"/>
        <v>2000.0000000000284</v>
      </c>
      <c r="J1939" s="8">
        <v>0</v>
      </c>
      <c r="K1939" s="2">
        <v>0</v>
      </c>
      <c r="L1939" s="8">
        <f t="shared" si="2223"/>
        <v>0.40000000000000568</v>
      </c>
      <c r="M1939" s="8">
        <f t="shared" si="2224"/>
        <v>2000.0000000000284</v>
      </c>
    </row>
    <row r="1940" spans="1:13" ht="15.75" customHeight="1" x14ac:dyDescent="0.25">
      <c r="A1940" s="24">
        <v>43234</v>
      </c>
      <c r="B1940" s="9" t="s">
        <v>31</v>
      </c>
      <c r="C1940" s="9">
        <v>250</v>
      </c>
      <c r="D1940" s="9" t="s">
        <v>10</v>
      </c>
      <c r="E1940" s="19">
        <v>959</v>
      </c>
      <c r="F1940" s="19">
        <v>962</v>
      </c>
      <c r="G1940" s="9">
        <v>967</v>
      </c>
      <c r="H1940" s="15">
        <v>975</v>
      </c>
      <c r="I1940" s="8">
        <f t="shared" si="2226"/>
        <v>750</v>
      </c>
      <c r="J1940" s="8">
        <f>(IF(D1940="SELL",IF(G1940="",0,F1940-G1940),IF(D1940="BUY",IF(G1940="",0,G1940-F1940))))*C1940</f>
        <v>1250</v>
      </c>
      <c r="K1940" s="2">
        <f>(IF(D1940="SELL",IF(H1940="",0,G1940-H1940),IF(D1940="BUY",IF(H1940="",0,(H1940-G1940)))))*C1940</f>
        <v>2000</v>
      </c>
      <c r="L1940" s="8">
        <f t="shared" si="2223"/>
        <v>16</v>
      </c>
      <c r="M1940" s="8">
        <f t="shared" si="2224"/>
        <v>4000</v>
      </c>
    </row>
    <row r="1941" spans="1:13" ht="15.75" customHeight="1" x14ac:dyDescent="0.25">
      <c r="A1941" s="24">
        <v>43231</v>
      </c>
      <c r="B1941" s="9" t="s">
        <v>37</v>
      </c>
      <c r="C1941" s="9">
        <v>5000</v>
      </c>
      <c r="D1941" s="9" t="s">
        <v>10</v>
      </c>
      <c r="E1941" s="19">
        <v>154.5</v>
      </c>
      <c r="F1941" s="19">
        <v>155</v>
      </c>
      <c r="G1941" s="9">
        <v>0</v>
      </c>
      <c r="H1941" s="15">
        <v>0</v>
      </c>
      <c r="I1941" s="8">
        <f t="shared" si="2226"/>
        <v>2500</v>
      </c>
      <c r="J1941" s="8">
        <v>0</v>
      </c>
      <c r="K1941" s="2">
        <v>0</v>
      </c>
      <c r="L1941" s="8">
        <f t="shared" si="2223"/>
        <v>0.5</v>
      </c>
      <c r="M1941" s="8">
        <f t="shared" si="2224"/>
        <v>2500</v>
      </c>
    </row>
    <row r="1942" spans="1:13" ht="15.75" customHeight="1" x14ac:dyDescent="0.25">
      <c r="A1942" s="24">
        <v>43231</v>
      </c>
      <c r="B1942" s="9" t="s">
        <v>39</v>
      </c>
      <c r="C1942" s="9">
        <v>5000</v>
      </c>
      <c r="D1942" s="9" t="s">
        <v>10</v>
      </c>
      <c r="E1942" s="19">
        <v>208.5</v>
      </c>
      <c r="F1942" s="19">
        <v>208.8</v>
      </c>
      <c r="G1942" s="9">
        <v>0</v>
      </c>
      <c r="H1942" s="15">
        <v>0</v>
      </c>
      <c r="I1942" s="8">
        <f t="shared" si="2226"/>
        <v>1500.0000000000568</v>
      </c>
      <c r="J1942" s="8">
        <v>0</v>
      </c>
      <c r="K1942" s="2">
        <v>0</v>
      </c>
      <c r="L1942" s="8">
        <f t="shared" si="2223"/>
        <v>0.30000000000001137</v>
      </c>
      <c r="M1942" s="8">
        <f t="shared" si="2224"/>
        <v>1500.0000000000568</v>
      </c>
    </row>
    <row r="1943" spans="1:13" ht="15.75" customHeight="1" x14ac:dyDescent="0.25">
      <c r="A1943" s="24">
        <v>43231</v>
      </c>
      <c r="B1943" s="9" t="s">
        <v>31</v>
      </c>
      <c r="C1943" s="9">
        <v>250</v>
      </c>
      <c r="D1943" s="9" t="s">
        <v>10</v>
      </c>
      <c r="E1943" s="19">
        <v>936</v>
      </c>
      <c r="F1943" s="19">
        <v>940</v>
      </c>
      <c r="G1943" s="9">
        <v>947</v>
      </c>
      <c r="H1943" s="15">
        <v>0</v>
      </c>
      <c r="I1943" s="8">
        <f t="shared" si="2226"/>
        <v>1000</v>
      </c>
      <c r="J1943" s="8">
        <f>(IF(D1943="SELL",IF(G1943="",0,F1943-G1943),IF(D1943="BUY",IF(G1943="",0,G1943-F1943))))*C1943</f>
        <v>1750</v>
      </c>
      <c r="K1943" s="2">
        <v>0</v>
      </c>
      <c r="L1943" s="8">
        <f t="shared" si="2223"/>
        <v>11</v>
      </c>
      <c r="M1943" s="8">
        <f t="shared" si="2224"/>
        <v>2750</v>
      </c>
    </row>
    <row r="1944" spans="1:13" ht="15.75" customHeight="1" x14ac:dyDescent="0.25">
      <c r="A1944" s="24">
        <v>43230</v>
      </c>
      <c r="B1944" s="9" t="s">
        <v>40</v>
      </c>
      <c r="C1944" s="9">
        <v>30</v>
      </c>
      <c r="D1944" s="9" t="s">
        <v>10</v>
      </c>
      <c r="E1944" s="19">
        <v>40290</v>
      </c>
      <c r="F1944" s="19">
        <v>40400</v>
      </c>
      <c r="G1944" s="9">
        <v>40500</v>
      </c>
      <c r="H1944" s="15">
        <v>0</v>
      </c>
      <c r="I1944" s="8">
        <f t="shared" si="2226"/>
        <v>3300</v>
      </c>
      <c r="J1944" s="8">
        <f>(IF(D1944="SELL",IF(G1944="",0,F1944-G1944),IF(D1944="BUY",IF(G1944="",0,G1944-F1944))))*C1944</f>
        <v>3000</v>
      </c>
      <c r="K1944" s="2">
        <v>0</v>
      </c>
      <c r="L1944" s="8">
        <f t="shared" si="2223"/>
        <v>210</v>
      </c>
      <c r="M1944" s="8">
        <f t="shared" si="2224"/>
        <v>6300</v>
      </c>
    </row>
    <row r="1945" spans="1:13" ht="15.75" customHeight="1" x14ac:dyDescent="0.25">
      <c r="A1945" s="24">
        <v>43230</v>
      </c>
      <c r="B1945" s="9" t="s">
        <v>35</v>
      </c>
      <c r="C1945" s="9">
        <v>5000</v>
      </c>
      <c r="D1945" s="9" t="s">
        <v>10</v>
      </c>
      <c r="E1945" s="19">
        <v>156.19999999999999</v>
      </c>
      <c r="F1945" s="19">
        <v>156.5</v>
      </c>
      <c r="G1945" s="9">
        <v>157</v>
      </c>
      <c r="H1945" s="15">
        <v>0</v>
      </c>
      <c r="I1945" s="8">
        <f t="shared" si="2226"/>
        <v>1500.0000000000568</v>
      </c>
      <c r="J1945" s="8">
        <f>(IF(D1945="SELL",IF(G1945="",0,F1945-G1945),IF(D1945="BUY",IF(G1945="",0,G1945-F1945))))*C1945</f>
        <v>2500</v>
      </c>
      <c r="K1945" s="2">
        <v>0</v>
      </c>
      <c r="L1945" s="8">
        <f t="shared" si="2223"/>
        <v>0.80000000000001137</v>
      </c>
      <c r="M1945" s="8">
        <f t="shared" si="2224"/>
        <v>4000.0000000000568</v>
      </c>
    </row>
    <row r="1946" spans="1:13" ht="15.75" customHeight="1" x14ac:dyDescent="0.25">
      <c r="A1946" s="24">
        <v>43230</v>
      </c>
      <c r="B1946" s="9" t="s">
        <v>39</v>
      </c>
      <c r="C1946" s="9">
        <v>5000</v>
      </c>
      <c r="D1946" s="9" t="s">
        <v>11</v>
      </c>
      <c r="E1946" s="19">
        <v>207</v>
      </c>
      <c r="F1946" s="19">
        <v>206.7</v>
      </c>
      <c r="G1946" s="9">
        <v>0</v>
      </c>
      <c r="H1946" s="15">
        <v>0</v>
      </c>
      <c r="I1946" s="8">
        <f t="shared" si="2226"/>
        <v>1500.0000000000568</v>
      </c>
      <c r="J1946" s="8">
        <v>0</v>
      </c>
      <c r="K1946" s="2">
        <v>0</v>
      </c>
      <c r="L1946" s="8">
        <f t="shared" si="2223"/>
        <v>0.30000000000001137</v>
      </c>
      <c r="M1946" s="8">
        <f t="shared" si="2224"/>
        <v>1500.0000000000568</v>
      </c>
    </row>
    <row r="1947" spans="1:13" ht="15.75" customHeight="1" x14ac:dyDescent="0.25">
      <c r="A1947" s="24">
        <v>43230</v>
      </c>
      <c r="B1947" s="9" t="s">
        <v>39</v>
      </c>
      <c r="C1947" s="9">
        <v>5000</v>
      </c>
      <c r="D1947" s="9" t="s">
        <v>10</v>
      </c>
      <c r="E1947" s="19">
        <v>208.55</v>
      </c>
      <c r="F1947" s="19">
        <v>209</v>
      </c>
      <c r="G1947" s="9">
        <v>0</v>
      </c>
      <c r="H1947" s="15">
        <v>0</v>
      </c>
      <c r="I1947" s="8">
        <f t="shared" si="2226"/>
        <v>2249.9999999999432</v>
      </c>
      <c r="J1947" s="8">
        <v>0</v>
      </c>
      <c r="K1947" s="2">
        <v>0</v>
      </c>
      <c r="L1947" s="8">
        <f t="shared" si="2223"/>
        <v>0.44999999999998863</v>
      </c>
      <c r="M1947" s="8">
        <f t="shared" si="2224"/>
        <v>2249.9999999999432</v>
      </c>
    </row>
    <row r="1948" spans="1:13" ht="15.75" customHeight="1" x14ac:dyDescent="0.25">
      <c r="A1948" s="24">
        <v>43230</v>
      </c>
      <c r="B1948" s="9" t="s">
        <v>35</v>
      </c>
      <c r="C1948" s="9">
        <v>5000</v>
      </c>
      <c r="D1948" s="9" t="s">
        <v>10</v>
      </c>
      <c r="E1948" s="19">
        <v>155.65</v>
      </c>
      <c r="F1948" s="19">
        <v>156</v>
      </c>
      <c r="G1948" s="9">
        <v>0</v>
      </c>
      <c r="H1948" s="15">
        <v>0</v>
      </c>
      <c r="I1948" s="8">
        <f t="shared" si="2226"/>
        <v>1749.9999999999716</v>
      </c>
      <c r="J1948" s="8">
        <v>0</v>
      </c>
      <c r="K1948" s="2">
        <v>0</v>
      </c>
      <c r="L1948" s="8">
        <f t="shared" si="2223"/>
        <v>0.34999999999999432</v>
      </c>
      <c r="M1948" s="8">
        <f t="shared" si="2224"/>
        <v>1749.9999999999716</v>
      </c>
    </row>
    <row r="1949" spans="1:13" ht="15.75" customHeight="1" x14ac:dyDescent="0.25">
      <c r="A1949" s="24">
        <v>43230</v>
      </c>
      <c r="B1949" s="9" t="s">
        <v>31</v>
      </c>
      <c r="C1949" s="9">
        <v>250</v>
      </c>
      <c r="D1949" s="9" t="s">
        <v>10</v>
      </c>
      <c r="E1949" s="19">
        <v>934</v>
      </c>
      <c r="F1949" s="19">
        <v>937.2</v>
      </c>
      <c r="G1949" s="9">
        <v>0</v>
      </c>
      <c r="H1949" s="15">
        <v>0</v>
      </c>
      <c r="I1949" s="8">
        <f t="shared" si="2226"/>
        <v>800.00000000001137</v>
      </c>
      <c r="J1949" s="8">
        <v>0</v>
      </c>
      <c r="K1949" s="2">
        <v>0</v>
      </c>
      <c r="L1949" s="8">
        <f t="shared" si="2223"/>
        <v>3.2000000000000455</v>
      </c>
      <c r="M1949" s="8">
        <f t="shared" si="2224"/>
        <v>800.00000000001137</v>
      </c>
    </row>
    <row r="1950" spans="1:13" ht="15.75" customHeight="1" x14ac:dyDescent="0.25">
      <c r="A1950" s="24">
        <v>43229</v>
      </c>
      <c r="B1950" s="9" t="s">
        <v>14</v>
      </c>
      <c r="C1950" s="9">
        <v>30</v>
      </c>
      <c r="D1950" s="9" t="s">
        <v>10</v>
      </c>
      <c r="E1950" s="19">
        <v>40000</v>
      </c>
      <c r="F1950" s="19">
        <v>40100</v>
      </c>
      <c r="G1950" s="9">
        <v>40270</v>
      </c>
      <c r="H1950" s="15">
        <v>0</v>
      </c>
      <c r="I1950" s="8">
        <f t="shared" si="2226"/>
        <v>3000</v>
      </c>
      <c r="J1950" s="8">
        <v>0</v>
      </c>
      <c r="K1950" s="2">
        <v>0</v>
      </c>
      <c r="L1950" s="8">
        <f t="shared" si="2223"/>
        <v>100</v>
      </c>
      <c r="M1950" s="8">
        <f t="shared" si="2224"/>
        <v>3000</v>
      </c>
    </row>
    <row r="1951" spans="1:13" ht="15.75" customHeight="1" x14ac:dyDescent="0.25">
      <c r="A1951" s="24">
        <v>43229</v>
      </c>
      <c r="B1951" s="9" t="s">
        <v>30</v>
      </c>
      <c r="C1951" s="9">
        <v>100</v>
      </c>
      <c r="D1951" s="9" t="s">
        <v>10</v>
      </c>
      <c r="E1951" s="19">
        <v>31285</v>
      </c>
      <c r="F1951" s="19">
        <v>31330</v>
      </c>
      <c r="G1951" s="9">
        <v>0</v>
      </c>
      <c r="H1951" s="15">
        <v>0</v>
      </c>
      <c r="I1951" s="8">
        <f t="shared" si="2226"/>
        <v>4500</v>
      </c>
      <c r="J1951" s="8">
        <v>0</v>
      </c>
      <c r="K1951" s="2">
        <v>0</v>
      </c>
      <c r="L1951" s="8">
        <f t="shared" si="2223"/>
        <v>45</v>
      </c>
      <c r="M1951" s="8">
        <f t="shared" si="2224"/>
        <v>4500</v>
      </c>
    </row>
    <row r="1952" spans="1:13" ht="15.75" customHeight="1" x14ac:dyDescent="0.25">
      <c r="A1952" s="24">
        <v>43229</v>
      </c>
      <c r="B1952" s="9" t="s">
        <v>35</v>
      </c>
      <c r="C1952" s="9">
        <v>5000</v>
      </c>
      <c r="D1952" s="9" t="s">
        <v>10</v>
      </c>
      <c r="E1952" s="19">
        <v>155.30000000000001</v>
      </c>
      <c r="F1952" s="19">
        <v>155.80000000000001</v>
      </c>
      <c r="G1952" s="9">
        <v>0</v>
      </c>
      <c r="H1952" s="15">
        <v>0</v>
      </c>
      <c r="I1952" s="8">
        <f t="shared" si="2226"/>
        <v>2500</v>
      </c>
      <c r="J1952" s="8">
        <v>0</v>
      </c>
      <c r="K1952" s="2">
        <v>0</v>
      </c>
      <c r="L1952" s="8">
        <f t="shared" si="2223"/>
        <v>0.5</v>
      </c>
      <c r="M1952" s="8">
        <f t="shared" si="2224"/>
        <v>2500</v>
      </c>
    </row>
    <row r="1953" spans="1:13" ht="15.75" customHeight="1" x14ac:dyDescent="0.25">
      <c r="A1953" s="24">
        <v>43229</v>
      </c>
      <c r="B1953" s="9" t="s">
        <v>39</v>
      </c>
      <c r="C1953" s="9">
        <v>5000</v>
      </c>
      <c r="D1953" s="9" t="s">
        <v>10</v>
      </c>
      <c r="E1953" s="19">
        <v>208.15</v>
      </c>
      <c r="F1953" s="19">
        <v>208.5</v>
      </c>
      <c r="G1953" s="9">
        <v>209.3</v>
      </c>
      <c r="H1953" s="15">
        <v>0</v>
      </c>
      <c r="I1953" s="8">
        <f t="shared" si="2226"/>
        <v>1749.9999999999716</v>
      </c>
      <c r="J1953" s="8">
        <f>(IF(D1953="SELL",IF(G1953="",0,F1953-G1953),IF(D1953="BUY",IF(G1953="",0,G1953-F1953))))*C1953</f>
        <v>4000.0000000000568</v>
      </c>
      <c r="K1953" s="2">
        <v>0</v>
      </c>
      <c r="L1953" s="8">
        <f t="shared" si="2223"/>
        <v>1.1500000000000057</v>
      </c>
      <c r="M1953" s="8">
        <f t="shared" si="2224"/>
        <v>5750.0000000000282</v>
      </c>
    </row>
    <row r="1954" spans="1:13" ht="15.75" customHeight="1" x14ac:dyDescent="0.25">
      <c r="A1954" s="24">
        <v>43229</v>
      </c>
      <c r="B1954" s="9" t="s">
        <v>31</v>
      </c>
      <c r="C1954" s="9">
        <v>250</v>
      </c>
      <c r="D1954" s="9" t="s">
        <v>10</v>
      </c>
      <c r="E1954" s="19">
        <v>933.5</v>
      </c>
      <c r="F1954" s="19">
        <v>937</v>
      </c>
      <c r="G1954" s="9">
        <v>0</v>
      </c>
      <c r="H1954" s="15">
        <v>0</v>
      </c>
      <c r="I1954" s="8">
        <f t="shared" si="2226"/>
        <v>875</v>
      </c>
      <c r="J1954" s="8">
        <v>0</v>
      </c>
      <c r="K1954" s="2">
        <v>0</v>
      </c>
      <c r="L1954" s="8">
        <f t="shared" si="2223"/>
        <v>3.5</v>
      </c>
      <c r="M1954" s="8">
        <f t="shared" si="2224"/>
        <v>875</v>
      </c>
    </row>
    <row r="1955" spans="1:13" ht="15.75" customHeight="1" x14ac:dyDescent="0.25">
      <c r="A1955" s="24">
        <v>43229</v>
      </c>
      <c r="B1955" s="9" t="s">
        <v>29</v>
      </c>
      <c r="C1955" s="9">
        <v>1000</v>
      </c>
      <c r="D1955" s="9" t="s">
        <v>11</v>
      </c>
      <c r="E1955" s="19">
        <v>456.5</v>
      </c>
      <c r="F1955" s="19">
        <v>455.5</v>
      </c>
      <c r="G1955" s="9">
        <v>0</v>
      </c>
      <c r="H1955" s="15">
        <v>0</v>
      </c>
      <c r="I1955" s="8">
        <f t="shared" si="2226"/>
        <v>1000</v>
      </c>
      <c r="J1955" s="8">
        <v>0</v>
      </c>
      <c r="K1955" s="2">
        <v>0</v>
      </c>
      <c r="L1955" s="8">
        <f t="shared" si="2223"/>
        <v>1</v>
      </c>
      <c r="M1955" s="8">
        <f t="shared" si="2224"/>
        <v>1000</v>
      </c>
    </row>
    <row r="1956" spans="1:13" ht="15.75" customHeight="1" x14ac:dyDescent="0.25">
      <c r="A1956" s="24">
        <v>43228</v>
      </c>
      <c r="B1956" s="9" t="s">
        <v>30</v>
      </c>
      <c r="C1956" s="9">
        <v>100</v>
      </c>
      <c r="D1956" s="9" t="s">
        <v>11</v>
      </c>
      <c r="E1956" s="19">
        <v>31240</v>
      </c>
      <c r="F1956" s="19">
        <v>31200</v>
      </c>
      <c r="G1956" s="9">
        <v>0</v>
      </c>
      <c r="H1956" s="15">
        <v>0</v>
      </c>
      <c r="I1956" s="8">
        <f t="shared" si="2226"/>
        <v>4000</v>
      </c>
      <c r="J1956" s="8">
        <v>0</v>
      </c>
      <c r="K1956" s="2">
        <v>0</v>
      </c>
      <c r="L1956" s="8">
        <f t="shared" si="2223"/>
        <v>40</v>
      </c>
      <c r="M1956" s="8">
        <f t="shared" si="2224"/>
        <v>4000</v>
      </c>
    </row>
    <row r="1957" spans="1:13" ht="15.75" customHeight="1" x14ac:dyDescent="0.25">
      <c r="A1957" s="24">
        <v>43228</v>
      </c>
      <c r="B1957" s="9" t="s">
        <v>29</v>
      </c>
      <c r="C1957" s="9">
        <v>1000</v>
      </c>
      <c r="D1957" s="9" t="s">
        <v>11</v>
      </c>
      <c r="E1957" s="19">
        <v>460</v>
      </c>
      <c r="F1957" s="19">
        <v>459</v>
      </c>
      <c r="G1957" s="9">
        <v>0</v>
      </c>
      <c r="H1957" s="15">
        <v>0</v>
      </c>
      <c r="I1957" s="8">
        <f t="shared" si="2226"/>
        <v>1000</v>
      </c>
      <c r="J1957" s="8">
        <v>0</v>
      </c>
      <c r="K1957" s="2">
        <v>0</v>
      </c>
      <c r="L1957" s="8">
        <f t="shared" si="2223"/>
        <v>1</v>
      </c>
      <c r="M1957" s="8">
        <f t="shared" si="2224"/>
        <v>1000</v>
      </c>
    </row>
    <row r="1958" spans="1:13" ht="15.75" customHeight="1" x14ac:dyDescent="0.25">
      <c r="A1958" s="24">
        <v>43228</v>
      </c>
      <c r="B1958" s="9" t="s">
        <v>31</v>
      </c>
      <c r="C1958" s="9">
        <v>250</v>
      </c>
      <c r="D1958" s="9" t="s">
        <v>11</v>
      </c>
      <c r="E1958" s="19">
        <v>940</v>
      </c>
      <c r="F1958" s="19">
        <v>936</v>
      </c>
      <c r="G1958" s="9">
        <v>0</v>
      </c>
      <c r="H1958" s="15">
        <v>0</v>
      </c>
      <c r="I1958" s="8">
        <f t="shared" si="2226"/>
        <v>1000</v>
      </c>
      <c r="J1958" s="8">
        <v>0</v>
      </c>
      <c r="K1958" s="2">
        <v>0</v>
      </c>
      <c r="L1958" s="8">
        <f t="shared" si="2223"/>
        <v>4</v>
      </c>
      <c r="M1958" s="8">
        <f t="shared" si="2224"/>
        <v>1000</v>
      </c>
    </row>
    <row r="1959" spans="1:13" ht="15.75" customHeight="1" x14ac:dyDescent="0.25">
      <c r="A1959" s="24">
        <v>43227</v>
      </c>
      <c r="B1959" s="9" t="s">
        <v>14</v>
      </c>
      <c r="C1959" s="9">
        <v>30</v>
      </c>
      <c r="D1959" s="9" t="s">
        <v>11</v>
      </c>
      <c r="E1959" s="19">
        <v>39920</v>
      </c>
      <c r="F1959" s="19">
        <v>39820</v>
      </c>
      <c r="G1959" s="9">
        <v>0</v>
      </c>
      <c r="H1959" s="15">
        <v>0</v>
      </c>
      <c r="I1959" s="8">
        <f t="shared" si="2226"/>
        <v>3000</v>
      </c>
      <c r="J1959" s="8">
        <v>0</v>
      </c>
      <c r="K1959" s="2">
        <v>0</v>
      </c>
      <c r="L1959" s="8">
        <f t="shared" si="2223"/>
        <v>100</v>
      </c>
      <c r="M1959" s="8">
        <f t="shared" si="2224"/>
        <v>3000</v>
      </c>
    </row>
    <row r="1960" spans="1:13" ht="15.75" customHeight="1" x14ac:dyDescent="0.25">
      <c r="A1960" s="24">
        <v>43227</v>
      </c>
      <c r="B1960" s="9" t="s">
        <v>37</v>
      </c>
      <c r="C1960" s="9">
        <v>5000</v>
      </c>
      <c r="D1960" s="9" t="s">
        <v>10</v>
      </c>
      <c r="E1960" s="19">
        <v>158.69999999999999</v>
      </c>
      <c r="F1960" s="19">
        <v>159.1</v>
      </c>
      <c r="G1960" s="9">
        <v>0</v>
      </c>
      <c r="H1960" s="15">
        <v>0</v>
      </c>
      <c r="I1960" s="8">
        <f t="shared" si="2226"/>
        <v>2000.0000000000284</v>
      </c>
      <c r="J1960" s="8">
        <v>0</v>
      </c>
      <c r="K1960" s="2">
        <v>0</v>
      </c>
      <c r="L1960" s="8">
        <f t="shared" si="2223"/>
        <v>0.40000000000000568</v>
      </c>
      <c r="M1960" s="8">
        <f t="shared" si="2224"/>
        <v>2000.0000000000284</v>
      </c>
    </row>
    <row r="1961" spans="1:13" ht="15.75" customHeight="1" x14ac:dyDescent="0.25">
      <c r="A1961" s="24">
        <v>43227</v>
      </c>
      <c r="B1961" s="9" t="s">
        <v>31</v>
      </c>
      <c r="C1961" s="9">
        <v>250</v>
      </c>
      <c r="D1961" s="9" t="s">
        <v>10</v>
      </c>
      <c r="E1961" s="19">
        <v>942</v>
      </c>
      <c r="F1961" s="19">
        <v>946</v>
      </c>
      <c r="G1961" s="9">
        <v>202.6</v>
      </c>
      <c r="H1961" s="15">
        <v>0</v>
      </c>
      <c r="I1961" s="8">
        <f t="shared" si="2226"/>
        <v>1000</v>
      </c>
      <c r="J1961" s="8">
        <v>0</v>
      </c>
      <c r="K1961" s="2">
        <v>0</v>
      </c>
      <c r="L1961" s="8">
        <f t="shared" si="2223"/>
        <v>4</v>
      </c>
      <c r="M1961" s="8">
        <f t="shared" si="2224"/>
        <v>1000</v>
      </c>
    </row>
    <row r="1962" spans="1:13" ht="15.75" customHeight="1" x14ac:dyDescent="0.25">
      <c r="A1962" s="24">
        <v>43224</v>
      </c>
      <c r="B1962" s="9" t="s">
        <v>37</v>
      </c>
      <c r="C1962" s="9">
        <v>5000</v>
      </c>
      <c r="D1962" s="9" t="s">
        <v>11</v>
      </c>
      <c r="E1962" s="19">
        <v>154</v>
      </c>
      <c r="F1962" s="19">
        <v>0</v>
      </c>
      <c r="G1962" s="9">
        <v>0</v>
      </c>
      <c r="H1962" s="15">
        <v>0</v>
      </c>
      <c r="I1962" s="8">
        <v>0</v>
      </c>
      <c r="J1962" s="8">
        <v>0</v>
      </c>
      <c r="K1962" s="2">
        <v>0</v>
      </c>
      <c r="L1962" s="8">
        <f t="shared" si="2223"/>
        <v>0</v>
      </c>
      <c r="M1962" s="8">
        <f t="shared" si="2224"/>
        <v>0</v>
      </c>
    </row>
    <row r="1963" spans="1:13" ht="15.75" customHeight="1" x14ac:dyDescent="0.25">
      <c r="A1963" s="24">
        <v>43223</v>
      </c>
      <c r="B1963" s="9" t="s">
        <v>39</v>
      </c>
      <c r="C1963" s="9">
        <v>5000</v>
      </c>
      <c r="D1963" s="9" t="s">
        <v>11</v>
      </c>
      <c r="E1963" s="19">
        <v>203.6</v>
      </c>
      <c r="F1963" s="19">
        <v>203.1</v>
      </c>
      <c r="G1963" s="9">
        <v>202.6</v>
      </c>
      <c r="H1963" s="15">
        <v>0</v>
      </c>
      <c r="I1963" s="8">
        <f t="shared" ref="I1963:I1994" si="2227">(IF(D1963="SELL",E1963-F1963,IF(D1963="BUY",F1963-E1963)))*C1963</f>
        <v>2500</v>
      </c>
      <c r="J1963" s="8">
        <f>(IF(D1963="SELL",IF(G1963="",0,F1963-G1963),IF(D1963="BUY",IF(G1963="",0,G1963-F1963))))*C1963</f>
        <v>2500</v>
      </c>
      <c r="K1963" s="2">
        <v>0</v>
      </c>
      <c r="L1963" s="8">
        <f t="shared" si="2223"/>
        <v>1</v>
      </c>
      <c r="M1963" s="8">
        <f t="shared" si="2224"/>
        <v>5000</v>
      </c>
    </row>
    <row r="1964" spans="1:13" ht="15.75" customHeight="1" x14ac:dyDescent="0.25">
      <c r="A1964" s="24">
        <v>43223</v>
      </c>
      <c r="B1964" s="9" t="s">
        <v>29</v>
      </c>
      <c r="C1964" s="9">
        <v>1000</v>
      </c>
      <c r="D1964" s="9" t="s">
        <v>10</v>
      </c>
      <c r="E1964" s="19">
        <v>458</v>
      </c>
      <c r="F1964" s="19">
        <v>459</v>
      </c>
      <c r="G1964" s="9">
        <v>461</v>
      </c>
      <c r="H1964" s="15">
        <v>0</v>
      </c>
      <c r="I1964" s="8">
        <f t="shared" si="2227"/>
        <v>1000</v>
      </c>
      <c r="J1964" s="8">
        <f>(IF(D1964="SELL",IF(G1964="",0,F1964-G1964),IF(D1964="BUY",IF(G1964="",0,G1964-F1964))))*C1964</f>
        <v>2000</v>
      </c>
      <c r="K1964" s="2">
        <v>0</v>
      </c>
      <c r="L1964" s="8">
        <f t="shared" si="2223"/>
        <v>3</v>
      </c>
      <c r="M1964" s="8">
        <f t="shared" si="2224"/>
        <v>3000</v>
      </c>
    </row>
    <row r="1965" spans="1:13" ht="15.75" customHeight="1" x14ac:dyDescent="0.25">
      <c r="A1965" s="24">
        <v>43223</v>
      </c>
      <c r="B1965" s="9" t="s">
        <v>31</v>
      </c>
      <c r="C1965" s="9">
        <v>250</v>
      </c>
      <c r="D1965" s="9" t="s">
        <v>10</v>
      </c>
      <c r="E1965" s="19">
        <v>937</v>
      </c>
      <c r="F1965" s="19">
        <v>941</v>
      </c>
      <c r="G1965" s="9">
        <v>0</v>
      </c>
      <c r="H1965" s="15">
        <v>0</v>
      </c>
      <c r="I1965" s="8">
        <f t="shared" si="2227"/>
        <v>1000</v>
      </c>
      <c r="J1965" s="8">
        <v>0</v>
      </c>
      <c r="K1965" s="2">
        <v>0</v>
      </c>
      <c r="L1965" s="8">
        <f t="shared" si="2223"/>
        <v>4</v>
      </c>
      <c r="M1965" s="8">
        <f t="shared" si="2224"/>
        <v>1000</v>
      </c>
    </row>
    <row r="1966" spans="1:13" ht="15.75" customHeight="1" x14ac:dyDescent="0.25">
      <c r="A1966" s="24">
        <v>43222</v>
      </c>
      <c r="B1966" s="9" t="s">
        <v>31</v>
      </c>
      <c r="C1966" s="9">
        <v>250</v>
      </c>
      <c r="D1966" s="9" t="s">
        <v>10</v>
      </c>
      <c r="E1966" s="19">
        <v>927.5</v>
      </c>
      <c r="F1966" s="19">
        <v>931.5</v>
      </c>
      <c r="G1966" s="9">
        <v>0</v>
      </c>
      <c r="H1966" s="15">
        <v>0</v>
      </c>
      <c r="I1966" s="8">
        <f t="shared" si="2227"/>
        <v>1000</v>
      </c>
      <c r="J1966" s="8">
        <v>0</v>
      </c>
      <c r="K1966" s="2">
        <v>0</v>
      </c>
      <c r="L1966" s="8">
        <f t="shared" si="2223"/>
        <v>4</v>
      </c>
      <c r="M1966" s="8">
        <f t="shared" si="2224"/>
        <v>1000</v>
      </c>
    </row>
    <row r="1967" spans="1:13" ht="15.75" customHeight="1" x14ac:dyDescent="0.25">
      <c r="A1967" s="24">
        <v>43222</v>
      </c>
      <c r="B1967" s="9" t="s">
        <v>29</v>
      </c>
      <c r="C1967" s="9">
        <v>1000</v>
      </c>
      <c r="D1967" s="9" t="s">
        <v>10</v>
      </c>
      <c r="E1967" s="19">
        <v>455.1</v>
      </c>
      <c r="F1967" s="19">
        <v>456.1</v>
      </c>
      <c r="G1967" s="9">
        <v>0</v>
      </c>
      <c r="H1967" s="15">
        <v>0</v>
      </c>
      <c r="I1967" s="8">
        <f t="shared" si="2227"/>
        <v>1000</v>
      </c>
      <c r="J1967" s="8">
        <v>0</v>
      </c>
      <c r="K1967" s="2">
        <v>0</v>
      </c>
      <c r="L1967" s="8">
        <f t="shared" si="2223"/>
        <v>1</v>
      </c>
      <c r="M1967" s="8">
        <f t="shared" si="2224"/>
        <v>1000</v>
      </c>
    </row>
    <row r="1968" spans="1:13" ht="15.75" customHeight="1" x14ac:dyDescent="0.25">
      <c r="A1968" s="24">
        <v>43220</v>
      </c>
      <c r="B1968" s="9" t="s">
        <v>30</v>
      </c>
      <c r="C1968" s="9">
        <v>100</v>
      </c>
      <c r="D1968" s="9" t="s">
        <v>11</v>
      </c>
      <c r="E1968" s="19">
        <v>31060</v>
      </c>
      <c r="F1968" s="19">
        <v>31030</v>
      </c>
      <c r="G1968" s="9">
        <v>0</v>
      </c>
      <c r="H1968" s="15">
        <v>0</v>
      </c>
      <c r="I1968" s="8">
        <f t="shared" si="2227"/>
        <v>3000</v>
      </c>
      <c r="J1968" s="8">
        <v>0</v>
      </c>
      <c r="K1968" s="2">
        <v>0</v>
      </c>
      <c r="L1968" s="8">
        <f t="shared" si="2223"/>
        <v>30</v>
      </c>
      <c r="M1968" s="8">
        <f t="shared" si="2224"/>
        <v>3000</v>
      </c>
    </row>
    <row r="1969" spans="1:13" ht="15.75" customHeight="1" x14ac:dyDescent="0.25">
      <c r="A1969" s="24">
        <v>43217</v>
      </c>
      <c r="B1969" s="9" t="s">
        <v>39</v>
      </c>
      <c r="C1969" s="9">
        <v>5000</v>
      </c>
      <c r="D1969" s="9" t="s">
        <v>11</v>
      </c>
      <c r="E1969" s="19">
        <v>208.3</v>
      </c>
      <c r="F1969" s="19">
        <v>207.6</v>
      </c>
      <c r="G1969" s="9">
        <v>0</v>
      </c>
      <c r="H1969" s="15">
        <v>0</v>
      </c>
      <c r="I1969" s="8">
        <f t="shared" si="2227"/>
        <v>3500.0000000000855</v>
      </c>
      <c r="J1969" s="8">
        <v>0</v>
      </c>
      <c r="K1969" s="2">
        <v>0</v>
      </c>
      <c r="L1969" s="8">
        <f t="shared" si="2223"/>
        <v>0.70000000000001705</v>
      </c>
      <c r="M1969" s="8">
        <f t="shared" si="2224"/>
        <v>3500.0000000000855</v>
      </c>
    </row>
    <row r="1970" spans="1:13" ht="15.75" customHeight="1" x14ac:dyDescent="0.25">
      <c r="A1970" s="24">
        <v>43217</v>
      </c>
      <c r="B1970" s="9" t="s">
        <v>20</v>
      </c>
      <c r="C1970" s="9">
        <v>1250</v>
      </c>
      <c r="D1970" s="9" t="s">
        <v>11</v>
      </c>
      <c r="E1970" s="19">
        <v>188.5</v>
      </c>
      <c r="F1970" s="19">
        <v>187.5</v>
      </c>
      <c r="G1970" s="9">
        <v>210.1</v>
      </c>
      <c r="H1970" s="15">
        <v>0</v>
      </c>
      <c r="I1970" s="8">
        <f t="shared" si="2227"/>
        <v>1250</v>
      </c>
      <c r="J1970" s="8">
        <v>0</v>
      </c>
      <c r="K1970" s="2">
        <v>0</v>
      </c>
      <c r="L1970" s="8">
        <f t="shared" si="2223"/>
        <v>1</v>
      </c>
      <c r="M1970" s="8">
        <f t="shared" si="2224"/>
        <v>1250</v>
      </c>
    </row>
    <row r="1971" spans="1:13" ht="15.75" customHeight="1" x14ac:dyDescent="0.25">
      <c r="A1971" s="24">
        <v>43217</v>
      </c>
      <c r="B1971" s="9" t="s">
        <v>18</v>
      </c>
      <c r="C1971" s="9">
        <v>1000</v>
      </c>
      <c r="D1971" s="9" t="s">
        <v>11</v>
      </c>
      <c r="E1971" s="19">
        <v>456.6</v>
      </c>
      <c r="F1971" s="19">
        <v>455.6</v>
      </c>
      <c r="G1971" s="9">
        <v>453.5</v>
      </c>
      <c r="H1971" s="15">
        <v>450.3</v>
      </c>
      <c r="I1971" s="8">
        <f t="shared" si="2227"/>
        <v>1000</v>
      </c>
      <c r="J1971" s="8">
        <f>(IF(D1971="SELL",IF(G1971="",0,F1971-G1971),IF(D1971="BUY",IF(G1971="",0,G1971-F1971))))*C1971</f>
        <v>2100.0000000000227</v>
      </c>
      <c r="K1971" s="2">
        <f>(IF(D1971="SELL",IF(H1971="",0,G1971-H1971),IF(D1971="BUY",IF(H1971="",0,(H1971-G1971)))))*C1971</f>
        <v>3199.9999999999886</v>
      </c>
      <c r="L1971" s="8">
        <f t="shared" si="2223"/>
        <v>6.3000000000000105</v>
      </c>
      <c r="M1971" s="8">
        <f t="shared" si="2224"/>
        <v>6300.0000000000109</v>
      </c>
    </row>
    <row r="1972" spans="1:13" ht="15.75" customHeight="1" x14ac:dyDescent="0.25">
      <c r="A1972" s="24">
        <v>43217</v>
      </c>
      <c r="B1972" s="9" t="s">
        <v>21</v>
      </c>
      <c r="C1972" s="9">
        <v>250</v>
      </c>
      <c r="D1972" s="9" t="s">
        <v>11</v>
      </c>
      <c r="E1972" s="19">
        <v>947</v>
      </c>
      <c r="F1972" s="19">
        <v>943</v>
      </c>
      <c r="G1972" s="9">
        <v>936</v>
      </c>
      <c r="H1972" s="15">
        <v>926</v>
      </c>
      <c r="I1972" s="8">
        <f t="shared" si="2227"/>
        <v>1000</v>
      </c>
      <c r="J1972" s="8">
        <f>(IF(D1972="SELL",IF(G1972="",0,F1972-G1972),IF(D1972="BUY",IF(G1972="",0,G1972-F1972))))*C1972</f>
        <v>1750</v>
      </c>
      <c r="K1972" s="2">
        <f>(IF(D1972="SELL",IF(H1972="",0,G1972-H1972),IF(D1972="BUY",IF(H1972="",0,(H1972-G1972)))))*C1972</f>
        <v>2500</v>
      </c>
      <c r="L1972" s="8">
        <f t="shared" si="2223"/>
        <v>21</v>
      </c>
      <c r="M1972" s="8">
        <f t="shared" si="2224"/>
        <v>5250</v>
      </c>
    </row>
    <row r="1973" spans="1:13" ht="15.75" customHeight="1" x14ac:dyDescent="0.25">
      <c r="A1973" s="24">
        <v>43216</v>
      </c>
      <c r="B1973" s="9" t="s">
        <v>18</v>
      </c>
      <c r="C1973" s="9">
        <v>1000</v>
      </c>
      <c r="D1973" s="9" t="s">
        <v>11</v>
      </c>
      <c r="E1973" s="19">
        <v>458.5</v>
      </c>
      <c r="F1973" s="19">
        <v>457</v>
      </c>
      <c r="G1973" s="9">
        <v>0</v>
      </c>
      <c r="H1973" s="15">
        <v>0</v>
      </c>
      <c r="I1973" s="8">
        <f t="shared" si="2227"/>
        <v>1500</v>
      </c>
      <c r="J1973" s="8">
        <v>0</v>
      </c>
      <c r="K1973" s="2">
        <v>0</v>
      </c>
      <c r="L1973" s="8">
        <f t="shared" si="2223"/>
        <v>1.5</v>
      </c>
      <c r="M1973" s="8">
        <f t="shared" si="2224"/>
        <v>1500</v>
      </c>
    </row>
    <row r="1974" spans="1:13" ht="15.75" customHeight="1" x14ac:dyDescent="0.25">
      <c r="A1974" s="24">
        <v>43216</v>
      </c>
      <c r="B1974" s="9" t="s">
        <v>31</v>
      </c>
      <c r="C1974" s="9">
        <v>250</v>
      </c>
      <c r="D1974" s="9" t="s">
        <v>11</v>
      </c>
      <c r="E1974" s="19">
        <v>933</v>
      </c>
      <c r="F1974" s="19">
        <v>928</v>
      </c>
      <c r="G1974" s="9">
        <v>0</v>
      </c>
      <c r="H1974" s="15">
        <v>0</v>
      </c>
      <c r="I1974" s="8">
        <f t="shared" si="2227"/>
        <v>1250</v>
      </c>
      <c r="J1974" s="8">
        <v>0</v>
      </c>
      <c r="K1974" s="2">
        <v>0</v>
      </c>
      <c r="L1974" s="8">
        <f t="shared" si="2223"/>
        <v>5</v>
      </c>
      <c r="M1974" s="8">
        <f t="shared" si="2224"/>
        <v>1250</v>
      </c>
    </row>
    <row r="1975" spans="1:13" ht="15.75" customHeight="1" x14ac:dyDescent="0.25">
      <c r="A1975" s="24">
        <v>43216</v>
      </c>
      <c r="B1975" s="9" t="s">
        <v>39</v>
      </c>
      <c r="C1975" s="9">
        <v>5000</v>
      </c>
      <c r="D1975" s="9" t="s">
        <v>11</v>
      </c>
      <c r="E1975" s="19">
        <v>207.8</v>
      </c>
      <c r="F1975" s="19">
        <v>207.3</v>
      </c>
      <c r="G1975" s="9">
        <v>206.4</v>
      </c>
      <c r="H1975" s="15">
        <v>0</v>
      </c>
      <c r="I1975" s="8">
        <f t="shared" si="2227"/>
        <v>2500</v>
      </c>
      <c r="J1975" s="8">
        <f>(IF(D1975="SELL",IF(G1975="",0,F1975-G1975),IF(D1975="BUY",IF(G1975="",0,G1975-F1975))))*C1975</f>
        <v>4500.0000000000282</v>
      </c>
      <c r="K1975" s="2">
        <v>0</v>
      </c>
      <c r="L1975" s="8">
        <f t="shared" si="2223"/>
        <v>1.4000000000000057</v>
      </c>
      <c r="M1975" s="8">
        <f t="shared" si="2224"/>
        <v>7000.0000000000282</v>
      </c>
    </row>
    <row r="1976" spans="1:13" ht="15.75" customHeight="1" x14ac:dyDescent="0.25">
      <c r="A1976" s="24">
        <v>43215</v>
      </c>
      <c r="B1976" s="9" t="s">
        <v>39</v>
      </c>
      <c r="C1976" s="9">
        <v>5000</v>
      </c>
      <c r="D1976" s="9" t="s">
        <v>11</v>
      </c>
      <c r="E1976" s="19">
        <v>211.4</v>
      </c>
      <c r="F1976" s="19">
        <v>210.9</v>
      </c>
      <c r="G1976" s="9">
        <v>210.1</v>
      </c>
      <c r="H1976" s="15">
        <v>0</v>
      </c>
      <c r="I1976" s="8">
        <f t="shared" si="2227"/>
        <v>2500</v>
      </c>
      <c r="J1976" s="8">
        <f>(IF(D1976="SELL",IF(G1976="",0,F1976-G1976),IF(D1976="BUY",IF(G1976="",0,G1976-F1976))))*C1976</f>
        <v>4000.0000000000568</v>
      </c>
      <c r="K1976" s="2">
        <v>0</v>
      </c>
      <c r="L1976" s="8">
        <f t="shared" si="2223"/>
        <v>1.3000000000000114</v>
      </c>
      <c r="M1976" s="8">
        <f t="shared" si="2224"/>
        <v>6500.0000000000564</v>
      </c>
    </row>
    <row r="1977" spans="1:13" ht="15.75" customHeight="1" x14ac:dyDescent="0.25">
      <c r="A1977" s="24">
        <v>43215</v>
      </c>
      <c r="B1977" s="9" t="s">
        <v>20</v>
      </c>
      <c r="C1977" s="9">
        <v>1250</v>
      </c>
      <c r="D1977" s="9" t="s">
        <v>10</v>
      </c>
      <c r="E1977" s="19">
        <v>185.2</v>
      </c>
      <c r="F1977" s="19">
        <v>186.3</v>
      </c>
      <c r="G1977" s="9">
        <v>0</v>
      </c>
      <c r="H1977" s="15">
        <v>0</v>
      </c>
      <c r="I1977" s="8">
        <f t="shared" si="2227"/>
        <v>1375.0000000000284</v>
      </c>
      <c r="J1977" s="8">
        <v>0</v>
      </c>
      <c r="K1977" s="2">
        <v>0</v>
      </c>
      <c r="L1977" s="8">
        <f t="shared" si="2223"/>
        <v>1.1000000000000227</v>
      </c>
      <c r="M1977" s="8">
        <f t="shared" si="2224"/>
        <v>1375.0000000000284</v>
      </c>
    </row>
    <row r="1978" spans="1:13" ht="15.75" customHeight="1" x14ac:dyDescent="0.25">
      <c r="A1978" s="24">
        <v>43214</v>
      </c>
      <c r="B1978" s="9" t="s">
        <v>39</v>
      </c>
      <c r="C1978" s="9">
        <v>5000</v>
      </c>
      <c r="D1978" s="9" t="s">
        <v>10</v>
      </c>
      <c r="E1978" s="19">
        <v>215.2</v>
      </c>
      <c r="F1978" s="19">
        <v>215.7</v>
      </c>
      <c r="G1978" s="9">
        <v>0</v>
      </c>
      <c r="H1978" s="15">
        <v>0</v>
      </c>
      <c r="I1978" s="8">
        <f t="shared" si="2227"/>
        <v>2500</v>
      </c>
      <c r="J1978" s="8">
        <v>0</v>
      </c>
      <c r="K1978" s="2">
        <v>0</v>
      </c>
      <c r="L1978" s="8">
        <f t="shared" si="2223"/>
        <v>0.5</v>
      </c>
      <c r="M1978" s="8">
        <f t="shared" si="2224"/>
        <v>2500</v>
      </c>
    </row>
    <row r="1979" spans="1:13" ht="15.75" customHeight="1" x14ac:dyDescent="0.25">
      <c r="A1979" s="24">
        <v>43214</v>
      </c>
      <c r="B1979" s="9" t="s">
        <v>37</v>
      </c>
      <c r="C1979" s="9">
        <v>5000</v>
      </c>
      <c r="D1979" s="9" t="s">
        <v>10</v>
      </c>
      <c r="E1979" s="19">
        <v>151.19999999999999</v>
      </c>
      <c r="F1979" s="19">
        <v>151.69999999999999</v>
      </c>
      <c r="G1979" s="9">
        <v>0</v>
      </c>
      <c r="H1979" s="15">
        <v>0</v>
      </c>
      <c r="I1979" s="8">
        <f t="shared" si="2227"/>
        <v>2500</v>
      </c>
      <c r="J1979" s="8">
        <v>0</v>
      </c>
      <c r="K1979" s="2">
        <v>0</v>
      </c>
      <c r="L1979" s="8">
        <f t="shared" si="2223"/>
        <v>0.5</v>
      </c>
      <c r="M1979" s="8">
        <f t="shared" si="2224"/>
        <v>2500</v>
      </c>
    </row>
    <row r="1980" spans="1:13" ht="15.75" customHeight="1" x14ac:dyDescent="0.25">
      <c r="A1980" s="24">
        <v>43213</v>
      </c>
      <c r="B1980" s="9" t="s">
        <v>15</v>
      </c>
      <c r="C1980" s="9">
        <v>5000</v>
      </c>
      <c r="D1980" s="9" t="s">
        <v>11</v>
      </c>
      <c r="E1980" s="19">
        <v>154.69999999999999</v>
      </c>
      <c r="F1980" s="19">
        <v>154.1</v>
      </c>
      <c r="G1980" s="9">
        <v>0</v>
      </c>
      <c r="H1980" s="15">
        <v>0</v>
      </c>
      <c r="I1980" s="8">
        <f t="shared" si="2227"/>
        <v>2999.9999999999718</v>
      </c>
      <c r="J1980" s="8">
        <v>0</v>
      </c>
      <c r="K1980" s="2">
        <v>0</v>
      </c>
      <c r="L1980" s="8">
        <f t="shared" si="2223"/>
        <v>0.59999999999999432</v>
      </c>
      <c r="M1980" s="8">
        <f t="shared" si="2224"/>
        <v>2999.9999999999718</v>
      </c>
    </row>
    <row r="1981" spans="1:13" ht="15.75" customHeight="1" x14ac:dyDescent="0.25">
      <c r="A1981" s="24">
        <v>43213</v>
      </c>
      <c r="B1981" s="9" t="s">
        <v>29</v>
      </c>
      <c r="C1981" s="9">
        <v>1000</v>
      </c>
      <c r="D1981" s="9" t="s">
        <v>11</v>
      </c>
      <c r="E1981" s="19">
        <v>454.5</v>
      </c>
      <c r="F1981" s="19">
        <v>453.5</v>
      </c>
      <c r="G1981" s="9">
        <v>0</v>
      </c>
      <c r="H1981" s="15">
        <v>0</v>
      </c>
      <c r="I1981" s="8">
        <f t="shared" si="2227"/>
        <v>1000</v>
      </c>
      <c r="J1981" s="8">
        <v>0</v>
      </c>
      <c r="K1981" s="2">
        <v>0</v>
      </c>
      <c r="L1981" s="8">
        <f t="shared" si="2223"/>
        <v>1</v>
      </c>
      <c r="M1981" s="8">
        <f t="shared" si="2224"/>
        <v>1000</v>
      </c>
    </row>
    <row r="1982" spans="1:13" ht="15.75" customHeight="1" x14ac:dyDescent="0.25">
      <c r="A1982" s="24">
        <v>43213</v>
      </c>
      <c r="B1982" s="9" t="s">
        <v>37</v>
      </c>
      <c r="C1982" s="9">
        <v>5000</v>
      </c>
      <c r="D1982" s="9" t="s">
        <v>11</v>
      </c>
      <c r="E1982" s="19">
        <v>157.69999999999999</v>
      </c>
      <c r="F1982" s="19">
        <v>157.19999999999999</v>
      </c>
      <c r="G1982" s="9">
        <v>0</v>
      </c>
      <c r="H1982" s="15">
        <v>0</v>
      </c>
      <c r="I1982" s="8">
        <f t="shared" si="2227"/>
        <v>2500</v>
      </c>
      <c r="J1982" s="8">
        <v>0</v>
      </c>
      <c r="K1982" s="2">
        <v>0</v>
      </c>
      <c r="L1982" s="8">
        <f t="shared" si="2223"/>
        <v>0.5</v>
      </c>
      <c r="M1982" s="8">
        <f t="shared" si="2224"/>
        <v>2500</v>
      </c>
    </row>
    <row r="1983" spans="1:13" ht="15.75" customHeight="1" x14ac:dyDescent="0.25">
      <c r="A1983" s="24">
        <v>43213</v>
      </c>
      <c r="B1983" s="9" t="s">
        <v>31</v>
      </c>
      <c r="C1983" s="9">
        <v>250</v>
      </c>
      <c r="D1983" s="9" t="s">
        <v>11</v>
      </c>
      <c r="E1983" s="19">
        <v>970</v>
      </c>
      <c r="F1983" s="19">
        <v>966</v>
      </c>
      <c r="G1983" s="9">
        <v>960</v>
      </c>
      <c r="H1983" s="15">
        <v>950</v>
      </c>
      <c r="I1983" s="8">
        <f t="shared" si="2227"/>
        <v>1000</v>
      </c>
      <c r="J1983" s="8">
        <f>(IF(D1983="SELL",IF(G1983="",0,F1983-G1983),IF(D1983="BUY",IF(G1983="",0,G1983-F1983))))*C1983</f>
        <v>1500</v>
      </c>
      <c r="K1983" s="2">
        <f>(IF(D1983="SELL",IF(H1983="",0,G1983-H1983),IF(D1983="BUY",IF(H1983="",0,(H1983-G1983)))))*C1983</f>
        <v>2500</v>
      </c>
      <c r="L1983" s="8">
        <f t="shared" si="2223"/>
        <v>20</v>
      </c>
      <c r="M1983" s="8">
        <f t="shared" si="2224"/>
        <v>5000</v>
      </c>
    </row>
    <row r="1984" spans="1:13" ht="15.75" customHeight="1" x14ac:dyDescent="0.25">
      <c r="A1984" s="24">
        <v>43210</v>
      </c>
      <c r="B1984" s="9" t="s">
        <v>30</v>
      </c>
      <c r="C1984" s="9">
        <v>100</v>
      </c>
      <c r="D1984" s="9" t="s">
        <v>11</v>
      </c>
      <c r="E1984" s="19">
        <v>31460</v>
      </c>
      <c r="F1984" s="19">
        <v>31415</v>
      </c>
      <c r="G1984" s="9">
        <v>0</v>
      </c>
      <c r="H1984" s="15">
        <v>0</v>
      </c>
      <c r="I1984" s="8">
        <f t="shared" si="2227"/>
        <v>4500</v>
      </c>
      <c r="J1984" s="8">
        <v>0</v>
      </c>
      <c r="K1984" s="2">
        <v>0</v>
      </c>
      <c r="L1984" s="8">
        <f t="shared" si="2223"/>
        <v>45</v>
      </c>
      <c r="M1984" s="8">
        <f t="shared" si="2224"/>
        <v>4500</v>
      </c>
    </row>
    <row r="1985" spans="1:13" ht="15.75" customHeight="1" x14ac:dyDescent="0.25">
      <c r="A1985" s="24">
        <v>43210</v>
      </c>
      <c r="B1985" s="9" t="s">
        <v>37</v>
      </c>
      <c r="C1985" s="9">
        <v>5000</v>
      </c>
      <c r="D1985" s="9" t="s">
        <v>10</v>
      </c>
      <c r="E1985" s="19">
        <v>166</v>
      </c>
      <c r="F1985" s="19">
        <v>166.5</v>
      </c>
      <c r="G1985" s="9">
        <v>167.2</v>
      </c>
      <c r="H1985" s="15">
        <v>0</v>
      </c>
      <c r="I1985" s="8">
        <f t="shared" si="2227"/>
        <v>2500</v>
      </c>
      <c r="J1985" s="8">
        <f>(IF(D1985="SELL",IF(G1985="",0,F1985-G1985),IF(D1985="BUY",IF(G1985="",0,G1985-F1985))))*C1985</f>
        <v>3499.9999999999432</v>
      </c>
      <c r="K1985" s="2">
        <v>0</v>
      </c>
      <c r="L1985" s="8">
        <f t="shared" si="2223"/>
        <v>1.1999999999999886</v>
      </c>
      <c r="M1985" s="8">
        <f t="shared" si="2224"/>
        <v>5999.9999999999436</v>
      </c>
    </row>
    <row r="1986" spans="1:13" ht="15.75" customHeight="1" x14ac:dyDescent="0.25">
      <c r="A1986" s="24">
        <v>43210</v>
      </c>
      <c r="B1986" s="9" t="s">
        <v>35</v>
      </c>
      <c r="C1986" s="9">
        <v>5000</v>
      </c>
      <c r="D1986" s="9" t="s">
        <v>10</v>
      </c>
      <c r="E1986" s="19">
        <v>155.4</v>
      </c>
      <c r="F1986" s="19">
        <v>155.9</v>
      </c>
      <c r="G1986" s="9">
        <v>0</v>
      </c>
      <c r="H1986" s="15">
        <v>0</v>
      </c>
      <c r="I1986" s="8">
        <f t="shared" si="2227"/>
        <v>2500</v>
      </c>
      <c r="J1986" s="8">
        <v>0</v>
      </c>
      <c r="K1986" s="2">
        <v>0</v>
      </c>
      <c r="L1986" s="8">
        <f t="shared" si="2223"/>
        <v>0.5</v>
      </c>
      <c r="M1986" s="8">
        <f t="shared" si="2224"/>
        <v>2500</v>
      </c>
    </row>
    <row r="1987" spans="1:13" ht="15.75" customHeight="1" x14ac:dyDescent="0.25">
      <c r="A1987" s="24">
        <v>43210</v>
      </c>
      <c r="B1987" s="9" t="s">
        <v>39</v>
      </c>
      <c r="C1987" s="9">
        <v>5000</v>
      </c>
      <c r="D1987" s="9" t="s">
        <v>11</v>
      </c>
      <c r="E1987" s="19">
        <v>211.8</v>
      </c>
      <c r="F1987" s="19">
        <v>213.4</v>
      </c>
      <c r="G1987" s="9">
        <v>175.5</v>
      </c>
      <c r="H1987" s="15">
        <v>0</v>
      </c>
      <c r="I1987" s="8">
        <f t="shared" si="2227"/>
        <v>-7999.9999999999718</v>
      </c>
      <c r="J1987" s="8">
        <v>0</v>
      </c>
      <c r="K1987" s="2">
        <v>0</v>
      </c>
      <c r="L1987" s="8">
        <f t="shared" si="2223"/>
        <v>-1.5999999999999943</v>
      </c>
      <c r="M1987" s="8">
        <f t="shared" si="2224"/>
        <v>-7999.9999999999718</v>
      </c>
    </row>
    <row r="1988" spans="1:13" ht="15.75" customHeight="1" x14ac:dyDescent="0.25">
      <c r="A1988" s="24">
        <v>43209</v>
      </c>
      <c r="B1988" s="9" t="s">
        <v>37</v>
      </c>
      <c r="C1988" s="9">
        <v>5000</v>
      </c>
      <c r="D1988" s="9" t="s">
        <v>10</v>
      </c>
      <c r="E1988" s="19">
        <v>174.2</v>
      </c>
      <c r="F1988" s="19">
        <v>174.9</v>
      </c>
      <c r="G1988" s="9">
        <v>175.5</v>
      </c>
      <c r="H1988" s="15">
        <v>0</v>
      </c>
      <c r="I1988" s="8">
        <f t="shared" si="2227"/>
        <v>3500.0000000000855</v>
      </c>
      <c r="J1988" s="8">
        <f>(IF(D1988="SELL",IF(G1988="",0,F1988-G1988),IF(D1988="BUY",IF(G1988="",0,G1988-F1988))))*C1988</f>
        <v>2999.9999999999718</v>
      </c>
      <c r="K1988" s="2">
        <v>0</v>
      </c>
      <c r="L1988" s="8">
        <f t="shared" si="2223"/>
        <v>1.3000000000000114</v>
      </c>
      <c r="M1988" s="8">
        <f t="shared" si="2224"/>
        <v>6500.0000000000564</v>
      </c>
    </row>
    <row r="1989" spans="1:13" ht="15.75" customHeight="1" x14ac:dyDescent="0.25">
      <c r="A1989" s="24">
        <v>43209</v>
      </c>
      <c r="B1989" s="9" t="s">
        <v>35</v>
      </c>
      <c r="C1989" s="9">
        <v>5000</v>
      </c>
      <c r="D1989" s="9" t="s">
        <v>10</v>
      </c>
      <c r="E1989" s="19">
        <v>157.30000000000001</v>
      </c>
      <c r="F1989" s="19">
        <v>157.80000000000001</v>
      </c>
      <c r="G1989" s="9">
        <v>0</v>
      </c>
      <c r="H1989" s="15">
        <v>0</v>
      </c>
      <c r="I1989" s="8">
        <f t="shared" si="2227"/>
        <v>2500</v>
      </c>
      <c r="J1989" s="8">
        <v>0</v>
      </c>
      <c r="K1989" s="2">
        <v>0</v>
      </c>
      <c r="L1989" s="8">
        <f t="shared" ref="L1989:L2052" si="2228">(J1989+I1989+K1989)/C1989</f>
        <v>0.5</v>
      </c>
      <c r="M1989" s="8">
        <f t="shared" ref="M1989:M2052" si="2229">L1989*C1989</f>
        <v>2500</v>
      </c>
    </row>
    <row r="1990" spans="1:13" ht="15.75" customHeight="1" x14ac:dyDescent="0.25">
      <c r="A1990" s="24">
        <v>43209</v>
      </c>
      <c r="B1990" s="9" t="s">
        <v>39</v>
      </c>
      <c r="C1990" s="9">
        <v>5000</v>
      </c>
      <c r="D1990" s="9" t="s">
        <v>10</v>
      </c>
      <c r="E1990" s="19">
        <v>215.4</v>
      </c>
      <c r="F1990" s="19">
        <v>215.9</v>
      </c>
      <c r="G1990" s="9">
        <v>0</v>
      </c>
      <c r="H1990" s="15">
        <v>0</v>
      </c>
      <c r="I1990" s="8">
        <f t="shared" si="2227"/>
        <v>2500</v>
      </c>
      <c r="J1990" s="8">
        <v>0</v>
      </c>
      <c r="K1990" s="2">
        <v>0</v>
      </c>
      <c r="L1990" s="8">
        <f t="shared" si="2228"/>
        <v>0.5</v>
      </c>
      <c r="M1990" s="8">
        <f t="shared" si="2229"/>
        <v>2500</v>
      </c>
    </row>
    <row r="1991" spans="1:13" ht="15.75" customHeight="1" x14ac:dyDescent="0.25">
      <c r="A1991" s="24">
        <v>43209</v>
      </c>
      <c r="B1991" s="9" t="s">
        <v>16</v>
      </c>
      <c r="C1991" s="9">
        <v>100</v>
      </c>
      <c r="D1991" s="9" t="s">
        <v>10</v>
      </c>
      <c r="E1991" s="19">
        <v>4522</v>
      </c>
      <c r="F1991" s="19">
        <v>4542</v>
      </c>
      <c r="G1991" s="9">
        <v>0</v>
      </c>
      <c r="H1991" s="15">
        <v>0</v>
      </c>
      <c r="I1991" s="8">
        <f t="shared" si="2227"/>
        <v>2000</v>
      </c>
      <c r="J1991" s="8">
        <v>0</v>
      </c>
      <c r="K1991" s="2">
        <v>0</v>
      </c>
      <c r="L1991" s="8">
        <f t="shared" si="2228"/>
        <v>20</v>
      </c>
      <c r="M1991" s="8">
        <f t="shared" si="2229"/>
        <v>2000</v>
      </c>
    </row>
    <row r="1992" spans="1:13" ht="15.75" customHeight="1" x14ac:dyDescent="0.25">
      <c r="A1992" s="24">
        <v>43209</v>
      </c>
      <c r="B1992" s="9" t="s">
        <v>29</v>
      </c>
      <c r="C1992" s="9">
        <v>5000</v>
      </c>
      <c r="D1992" s="9" t="s">
        <v>10</v>
      </c>
      <c r="E1992" s="19">
        <v>461.2</v>
      </c>
      <c r="F1992" s="19">
        <v>462.4</v>
      </c>
      <c r="G1992" s="9">
        <v>464</v>
      </c>
      <c r="H1992" s="15">
        <v>0</v>
      </c>
      <c r="I1992" s="8">
        <f t="shared" si="2227"/>
        <v>5999.9999999999436</v>
      </c>
      <c r="J1992" s="8">
        <f t="shared" ref="J1992:J1998" si="2230">(IF(D1992="SELL",IF(G1992="",0,F1992-G1992),IF(D1992="BUY",IF(G1992="",0,G1992-F1992))))*C1992</f>
        <v>8000.0000000001137</v>
      </c>
      <c r="K1992" s="2">
        <v>0</v>
      </c>
      <c r="L1992" s="8">
        <f t="shared" si="2228"/>
        <v>2.8000000000000118</v>
      </c>
      <c r="M1992" s="8">
        <f t="shared" si="2229"/>
        <v>14000.000000000058</v>
      </c>
    </row>
    <row r="1993" spans="1:13" ht="15.75" customHeight="1" x14ac:dyDescent="0.25">
      <c r="A1993" s="24">
        <v>43209</v>
      </c>
      <c r="B1993" s="9" t="s">
        <v>31</v>
      </c>
      <c r="C1993" s="9">
        <v>250</v>
      </c>
      <c r="D1993" s="9" t="s">
        <v>10</v>
      </c>
      <c r="E1993" s="19">
        <v>1030</v>
      </c>
      <c r="F1993" s="19">
        <v>1034</v>
      </c>
      <c r="G1993" s="9">
        <v>1040</v>
      </c>
      <c r="H1993" s="15">
        <v>1050</v>
      </c>
      <c r="I1993" s="8">
        <f t="shared" si="2227"/>
        <v>1000</v>
      </c>
      <c r="J1993" s="8">
        <f t="shared" si="2230"/>
        <v>1500</v>
      </c>
      <c r="K1993" s="2">
        <f>(IF(D1993="SELL",IF(H1993="",0,G1993-H1993),IF(D1993="BUY",IF(H1993="",0,(H1993-G1993)))))*C1993</f>
        <v>2500</v>
      </c>
      <c r="L1993" s="8">
        <f t="shared" si="2228"/>
        <v>20</v>
      </c>
      <c r="M1993" s="8">
        <f t="shared" si="2229"/>
        <v>5000</v>
      </c>
    </row>
    <row r="1994" spans="1:13" ht="15.75" customHeight="1" x14ac:dyDescent="0.25">
      <c r="A1994" s="24">
        <v>43208</v>
      </c>
      <c r="B1994" s="9" t="s">
        <v>39</v>
      </c>
      <c r="C1994" s="9">
        <v>5000</v>
      </c>
      <c r="D1994" s="9" t="s">
        <v>10</v>
      </c>
      <c r="E1994" s="19">
        <v>208.5</v>
      </c>
      <c r="F1994" s="19">
        <v>209</v>
      </c>
      <c r="G1994" s="9">
        <v>210</v>
      </c>
      <c r="H1994" s="15">
        <v>211.6</v>
      </c>
      <c r="I1994" s="8">
        <f t="shared" si="2227"/>
        <v>2500</v>
      </c>
      <c r="J1994" s="8">
        <f t="shared" si="2230"/>
        <v>5000</v>
      </c>
      <c r="K1994" s="2">
        <f>(IF(D1994="SELL",IF(H1994="",0,G1994-H1994),IF(D1994="BUY",IF(H1994="",0,(H1994-G1994)))))*C1994</f>
        <v>7999.9999999999718</v>
      </c>
      <c r="L1994" s="8">
        <f t="shared" si="2228"/>
        <v>3.0999999999999943</v>
      </c>
      <c r="M1994" s="8">
        <f t="shared" si="2229"/>
        <v>15499.999999999971</v>
      </c>
    </row>
    <row r="1995" spans="1:13" ht="15.75" customHeight="1" x14ac:dyDescent="0.25">
      <c r="A1995" s="24">
        <v>43208</v>
      </c>
      <c r="B1995" s="9" t="s">
        <v>35</v>
      </c>
      <c r="C1995" s="9">
        <v>5000</v>
      </c>
      <c r="D1995" s="9" t="s">
        <v>10</v>
      </c>
      <c r="E1995" s="19">
        <v>155.9</v>
      </c>
      <c r="F1995" s="19">
        <v>156.4</v>
      </c>
      <c r="G1995" s="9">
        <v>157.4</v>
      </c>
      <c r="H1995" s="15">
        <v>0</v>
      </c>
      <c r="I1995" s="8">
        <f t="shared" ref="I1995:I2026" si="2231">(IF(D1995="SELL",E1995-F1995,IF(D1995="BUY",F1995-E1995)))*C1995</f>
        <v>2500</v>
      </c>
      <c r="J1995" s="8">
        <f t="shared" si="2230"/>
        <v>5000</v>
      </c>
      <c r="K1995" s="2">
        <v>0</v>
      </c>
      <c r="L1995" s="8">
        <f t="shared" si="2228"/>
        <v>1.5</v>
      </c>
      <c r="M1995" s="8">
        <f t="shared" si="2229"/>
        <v>7500</v>
      </c>
    </row>
    <row r="1996" spans="1:13" ht="15.75" customHeight="1" x14ac:dyDescent="0.25">
      <c r="A1996" s="24">
        <v>43208</v>
      </c>
      <c r="B1996" s="9" t="s">
        <v>16</v>
      </c>
      <c r="C1996" s="9">
        <v>100</v>
      </c>
      <c r="D1996" s="9" t="s">
        <v>10</v>
      </c>
      <c r="E1996" s="19">
        <v>4390</v>
      </c>
      <c r="F1996" s="19">
        <v>4410</v>
      </c>
      <c r="G1996" s="9">
        <v>4440</v>
      </c>
      <c r="H1996" s="15">
        <v>0</v>
      </c>
      <c r="I1996" s="8">
        <f t="shared" si="2231"/>
        <v>2000</v>
      </c>
      <c r="J1996" s="8">
        <f t="shared" si="2230"/>
        <v>3000</v>
      </c>
      <c r="K1996" s="2">
        <v>0</v>
      </c>
      <c r="L1996" s="8">
        <f t="shared" si="2228"/>
        <v>50</v>
      </c>
      <c r="M1996" s="8">
        <f t="shared" si="2229"/>
        <v>5000</v>
      </c>
    </row>
    <row r="1997" spans="1:13" ht="15.75" customHeight="1" x14ac:dyDescent="0.25">
      <c r="A1997" s="24">
        <v>43208</v>
      </c>
      <c r="B1997" s="9" t="s">
        <v>29</v>
      </c>
      <c r="C1997" s="9">
        <v>1000</v>
      </c>
      <c r="D1997" s="9" t="s">
        <v>10</v>
      </c>
      <c r="E1997" s="19">
        <v>449</v>
      </c>
      <c r="F1997" s="19">
        <v>450</v>
      </c>
      <c r="G1997" s="9">
        <v>452.3</v>
      </c>
      <c r="H1997" s="15">
        <v>455</v>
      </c>
      <c r="I1997" s="8">
        <f t="shared" si="2231"/>
        <v>1000</v>
      </c>
      <c r="J1997" s="8">
        <f t="shared" si="2230"/>
        <v>2300.0000000000114</v>
      </c>
      <c r="K1997" s="2">
        <f>(IF(D1997="SELL",IF(H1997="",0,G1997-H1997),IF(D1997="BUY",IF(H1997="",0,(H1997-G1997)))))*C1997</f>
        <v>2699.9999999999886</v>
      </c>
      <c r="L1997" s="8">
        <f t="shared" si="2228"/>
        <v>6</v>
      </c>
      <c r="M1997" s="8">
        <f t="shared" si="2229"/>
        <v>6000</v>
      </c>
    </row>
    <row r="1998" spans="1:13" ht="15.75" customHeight="1" x14ac:dyDescent="0.25">
      <c r="A1998" s="24">
        <v>43208</v>
      </c>
      <c r="B1998" s="9" t="s">
        <v>31</v>
      </c>
      <c r="C1998" s="9">
        <v>250</v>
      </c>
      <c r="D1998" s="9" t="s">
        <v>10</v>
      </c>
      <c r="E1998" s="19">
        <v>948</v>
      </c>
      <c r="F1998" s="19">
        <v>952</v>
      </c>
      <c r="G1998" s="9">
        <v>958</v>
      </c>
      <c r="H1998" s="15">
        <v>968</v>
      </c>
      <c r="I1998" s="8">
        <f t="shared" si="2231"/>
        <v>1000</v>
      </c>
      <c r="J1998" s="8">
        <f t="shared" si="2230"/>
        <v>1500</v>
      </c>
      <c r="K1998" s="2">
        <f>(IF(D1998="SELL",IF(H1998="",0,G1998-H1998),IF(D1998="BUY",IF(H1998="",0,(H1998-G1998)))))*C1998</f>
        <v>2500</v>
      </c>
      <c r="L1998" s="8">
        <f t="shared" si="2228"/>
        <v>20</v>
      </c>
      <c r="M1998" s="8">
        <f t="shared" si="2229"/>
        <v>5000</v>
      </c>
    </row>
    <row r="1999" spans="1:13" ht="15.75" customHeight="1" x14ac:dyDescent="0.25">
      <c r="A1999" s="24">
        <v>43207</v>
      </c>
      <c r="B1999" s="9" t="s">
        <v>29</v>
      </c>
      <c r="C1999" s="9">
        <v>1000</v>
      </c>
      <c r="D1999" s="9" t="s">
        <v>10</v>
      </c>
      <c r="E1999" s="19">
        <v>449</v>
      </c>
      <c r="F1999" s="19">
        <v>446</v>
      </c>
      <c r="G1999" s="9">
        <v>0</v>
      </c>
      <c r="H1999" s="15">
        <v>0</v>
      </c>
      <c r="I1999" s="8">
        <f t="shared" si="2231"/>
        <v>-3000</v>
      </c>
      <c r="J1999" s="8">
        <v>0</v>
      </c>
      <c r="K1999" s="2">
        <v>0</v>
      </c>
      <c r="L1999" s="8">
        <f t="shared" si="2228"/>
        <v>-3</v>
      </c>
      <c r="M1999" s="8">
        <f t="shared" si="2229"/>
        <v>-3000</v>
      </c>
    </row>
    <row r="2000" spans="1:13" ht="15.75" customHeight="1" x14ac:dyDescent="0.25">
      <c r="A2000" s="24">
        <v>43206</v>
      </c>
      <c r="B2000" s="9" t="s">
        <v>35</v>
      </c>
      <c r="C2000" s="9">
        <v>5000</v>
      </c>
      <c r="D2000" s="9" t="s">
        <v>10</v>
      </c>
      <c r="E2000" s="19">
        <v>151.6</v>
      </c>
      <c r="F2000" s="19">
        <v>152.30000000000001</v>
      </c>
      <c r="G2000" s="9">
        <v>0</v>
      </c>
      <c r="H2000" s="15">
        <v>0</v>
      </c>
      <c r="I2000" s="8">
        <f t="shared" si="2231"/>
        <v>3500.0000000000855</v>
      </c>
      <c r="J2000" s="8">
        <v>0</v>
      </c>
      <c r="K2000" s="2">
        <v>0</v>
      </c>
      <c r="L2000" s="8">
        <f t="shared" si="2228"/>
        <v>0.70000000000001705</v>
      </c>
      <c r="M2000" s="8">
        <f t="shared" si="2229"/>
        <v>3500.0000000000855</v>
      </c>
    </row>
    <row r="2001" spans="1:13" ht="15.75" customHeight="1" x14ac:dyDescent="0.25">
      <c r="A2001" s="24">
        <v>43206</v>
      </c>
      <c r="B2001" s="9" t="s">
        <v>29</v>
      </c>
      <c r="C2001" s="9">
        <v>1000</v>
      </c>
      <c r="D2001" s="9" t="s">
        <v>10</v>
      </c>
      <c r="E2001" s="19">
        <v>444</v>
      </c>
      <c r="F2001" s="19">
        <v>445</v>
      </c>
      <c r="G2001" s="9">
        <v>447</v>
      </c>
      <c r="H2001" s="15">
        <v>450</v>
      </c>
      <c r="I2001" s="8">
        <f t="shared" si="2231"/>
        <v>1000</v>
      </c>
      <c r="J2001" s="8">
        <f>(IF(D2001="SELL",IF(G2001="",0,F2001-G2001),IF(D2001="BUY",IF(G2001="",0,G2001-F2001))))*C2001</f>
        <v>2000</v>
      </c>
      <c r="K2001" s="2">
        <f>(IF(D2001="SELL",IF(H2001="",0,G2001-H2001),IF(D2001="BUY",IF(H2001="",0,(H2001-G2001)))))*C2001</f>
        <v>3000</v>
      </c>
      <c r="L2001" s="8">
        <f t="shared" si="2228"/>
        <v>6</v>
      </c>
      <c r="M2001" s="8">
        <f t="shared" si="2229"/>
        <v>6000</v>
      </c>
    </row>
    <row r="2002" spans="1:13" ht="15.75" customHeight="1" x14ac:dyDescent="0.25">
      <c r="A2002" s="24">
        <v>43206</v>
      </c>
      <c r="B2002" s="9" t="s">
        <v>39</v>
      </c>
      <c r="C2002" s="9">
        <v>5000</v>
      </c>
      <c r="D2002" s="9" t="s">
        <v>10</v>
      </c>
      <c r="E2002" s="19">
        <v>204.4</v>
      </c>
      <c r="F2002" s="19">
        <v>204.9</v>
      </c>
      <c r="G2002" s="9">
        <v>205.6</v>
      </c>
      <c r="H2002" s="15">
        <v>0</v>
      </c>
      <c r="I2002" s="8">
        <f t="shared" si="2231"/>
        <v>2500</v>
      </c>
      <c r="J2002" s="8">
        <f>(IF(D2002="SELL",IF(G2002="",0,F2002-G2002),IF(D2002="BUY",IF(G2002="",0,G2002-F2002))))*C2002</f>
        <v>3499.9999999999432</v>
      </c>
      <c r="K2002" s="2">
        <v>0</v>
      </c>
      <c r="L2002" s="8">
        <f t="shared" si="2228"/>
        <v>1.1999999999999886</v>
      </c>
      <c r="M2002" s="8">
        <f t="shared" si="2229"/>
        <v>5999.9999999999436</v>
      </c>
    </row>
    <row r="2003" spans="1:13" ht="15.75" customHeight="1" x14ac:dyDescent="0.25">
      <c r="A2003" s="24">
        <v>43206</v>
      </c>
      <c r="B2003" s="9" t="s">
        <v>31</v>
      </c>
      <c r="C2003" s="9">
        <v>250</v>
      </c>
      <c r="D2003" s="9" t="s">
        <v>10</v>
      </c>
      <c r="E2003" s="19">
        <v>909</v>
      </c>
      <c r="F2003" s="19">
        <v>913</v>
      </c>
      <c r="G2003" s="9">
        <v>919</v>
      </c>
      <c r="H2003" s="15">
        <v>928</v>
      </c>
      <c r="I2003" s="8">
        <f t="shared" si="2231"/>
        <v>1000</v>
      </c>
      <c r="J2003" s="8">
        <f>(IF(D2003="SELL",IF(G2003="",0,F2003-G2003),IF(D2003="BUY",IF(G2003="",0,G2003-F2003))))*C2003</f>
        <v>1500</v>
      </c>
      <c r="K2003" s="2">
        <f>(IF(D2003="SELL",IF(H2003="",0,G2003-H2003),IF(D2003="BUY",IF(H2003="",0,(H2003-G2003)))))*C2003</f>
        <v>2250</v>
      </c>
      <c r="L2003" s="8">
        <f t="shared" si="2228"/>
        <v>19</v>
      </c>
      <c r="M2003" s="8">
        <f t="shared" si="2229"/>
        <v>4750</v>
      </c>
    </row>
    <row r="2004" spans="1:13" ht="15.75" customHeight="1" x14ac:dyDescent="0.25">
      <c r="A2004" s="24">
        <v>43203</v>
      </c>
      <c r="B2004" s="9" t="s">
        <v>35</v>
      </c>
      <c r="C2004" s="9">
        <v>5000</v>
      </c>
      <c r="D2004" s="9" t="s">
        <v>11</v>
      </c>
      <c r="E2004" s="19">
        <v>153</v>
      </c>
      <c r="F2004" s="19">
        <v>154.30000000000001</v>
      </c>
      <c r="G2004" s="9">
        <v>0</v>
      </c>
      <c r="H2004" s="15">
        <v>0</v>
      </c>
      <c r="I2004" s="8">
        <f t="shared" si="2231"/>
        <v>-6500.0000000000564</v>
      </c>
      <c r="J2004" s="8">
        <v>0</v>
      </c>
      <c r="K2004" s="2">
        <v>0</v>
      </c>
      <c r="L2004" s="8">
        <f t="shared" si="2228"/>
        <v>-1.3000000000000114</v>
      </c>
      <c r="M2004" s="8">
        <f t="shared" si="2229"/>
        <v>-6500.0000000000564</v>
      </c>
    </row>
    <row r="2005" spans="1:13" ht="15.75" customHeight="1" x14ac:dyDescent="0.25">
      <c r="A2005" s="24">
        <v>43203</v>
      </c>
      <c r="B2005" s="9" t="s">
        <v>39</v>
      </c>
      <c r="C2005" s="9">
        <v>5000</v>
      </c>
      <c r="D2005" s="9" t="s">
        <v>10</v>
      </c>
      <c r="E2005" s="19">
        <v>204.6</v>
      </c>
      <c r="F2005" s="19">
        <v>205.1</v>
      </c>
      <c r="G2005" s="9">
        <v>0</v>
      </c>
      <c r="H2005" s="15">
        <v>0</v>
      </c>
      <c r="I2005" s="8">
        <f t="shared" si="2231"/>
        <v>2500</v>
      </c>
      <c r="J2005" s="8">
        <v>0</v>
      </c>
      <c r="K2005" s="2">
        <v>0</v>
      </c>
      <c r="L2005" s="8">
        <f t="shared" si="2228"/>
        <v>0.5</v>
      </c>
      <c r="M2005" s="8">
        <f t="shared" si="2229"/>
        <v>2500</v>
      </c>
    </row>
    <row r="2006" spans="1:13" ht="15.75" customHeight="1" x14ac:dyDescent="0.25">
      <c r="A2006" s="24">
        <v>43203</v>
      </c>
      <c r="B2006" s="9" t="s">
        <v>31</v>
      </c>
      <c r="C2006" s="9">
        <v>250</v>
      </c>
      <c r="D2006" s="9" t="s">
        <v>10</v>
      </c>
      <c r="E2006" s="19">
        <v>909</v>
      </c>
      <c r="F2006" s="19">
        <v>913</v>
      </c>
      <c r="G2006" s="9">
        <v>204.3</v>
      </c>
      <c r="H2006" s="15">
        <v>0</v>
      </c>
      <c r="I2006" s="8">
        <f t="shared" si="2231"/>
        <v>1000</v>
      </c>
      <c r="J2006" s="8">
        <v>0</v>
      </c>
      <c r="K2006" s="2">
        <v>0</v>
      </c>
      <c r="L2006" s="8">
        <f t="shared" si="2228"/>
        <v>4</v>
      </c>
      <c r="M2006" s="8">
        <f t="shared" si="2229"/>
        <v>1000</v>
      </c>
    </row>
    <row r="2007" spans="1:13" ht="15.75" customHeight="1" x14ac:dyDescent="0.25">
      <c r="A2007" s="24">
        <v>43202</v>
      </c>
      <c r="B2007" s="9" t="s">
        <v>39</v>
      </c>
      <c r="C2007" s="9">
        <v>5000</v>
      </c>
      <c r="D2007" s="9" t="s">
        <v>11</v>
      </c>
      <c r="E2007" s="19">
        <v>205.6</v>
      </c>
      <c r="F2007" s="19">
        <v>205.1</v>
      </c>
      <c r="G2007" s="9">
        <v>204.3</v>
      </c>
      <c r="H2007" s="15">
        <v>0</v>
      </c>
      <c r="I2007" s="8">
        <f t="shared" si="2231"/>
        <v>2500</v>
      </c>
      <c r="J2007" s="8">
        <f>(IF(D2007="SELL",IF(G2007="",0,F2007-G2007),IF(D2007="BUY",IF(G2007="",0,G2007-F2007))))*C2007</f>
        <v>3999.9999999999145</v>
      </c>
      <c r="K2007" s="2">
        <v>0</v>
      </c>
      <c r="L2007" s="8">
        <f t="shared" si="2228"/>
        <v>1.2999999999999829</v>
      </c>
      <c r="M2007" s="8">
        <f t="shared" si="2229"/>
        <v>6499.9999999999145</v>
      </c>
    </row>
    <row r="2008" spans="1:13" ht="15.75" customHeight="1" x14ac:dyDescent="0.25">
      <c r="A2008" s="24">
        <v>43202</v>
      </c>
      <c r="B2008" s="9" t="s">
        <v>29</v>
      </c>
      <c r="C2008" s="9">
        <v>1000</v>
      </c>
      <c r="D2008" s="9" t="s">
        <v>11</v>
      </c>
      <c r="E2008" s="19">
        <v>445.8</v>
      </c>
      <c r="F2008" s="19">
        <v>444.8</v>
      </c>
      <c r="G2008" s="9">
        <v>0</v>
      </c>
      <c r="H2008" s="15">
        <v>0</v>
      </c>
      <c r="I2008" s="8">
        <f t="shared" si="2231"/>
        <v>1000</v>
      </c>
      <c r="J2008" s="8">
        <v>0</v>
      </c>
      <c r="K2008" s="2">
        <f>(IF(D2008="SELL",IF(H2008="",0,G2008-H2008),IF(D2008="BUY",IF(H2008="",0,(H2008-G2008)))))*C2008</f>
        <v>0</v>
      </c>
      <c r="L2008" s="8">
        <f t="shared" si="2228"/>
        <v>1</v>
      </c>
      <c r="M2008" s="8">
        <f t="shared" si="2229"/>
        <v>1000</v>
      </c>
    </row>
    <row r="2009" spans="1:13" ht="15.75" customHeight="1" x14ac:dyDescent="0.25">
      <c r="A2009" s="24">
        <v>43201</v>
      </c>
      <c r="B2009" s="9" t="s">
        <v>30</v>
      </c>
      <c r="C2009" s="9">
        <v>100</v>
      </c>
      <c r="D2009" s="9" t="s">
        <v>10</v>
      </c>
      <c r="E2009" s="19">
        <v>31010</v>
      </c>
      <c r="F2009" s="19">
        <v>31050</v>
      </c>
      <c r="G2009" s="9">
        <v>31120</v>
      </c>
      <c r="H2009" s="15">
        <v>31220</v>
      </c>
      <c r="I2009" s="8">
        <f t="shared" si="2231"/>
        <v>4000</v>
      </c>
      <c r="J2009" s="8">
        <f>(IF(D2009="SELL",IF(G2009="",0,F2009-G2009),IF(D2009="BUY",IF(G2009="",0,G2009-F2009))))*C2009</f>
        <v>7000</v>
      </c>
      <c r="K2009" s="2">
        <f>(IF(D2009="SELL",IF(H2009="",0,G2009-H2009),IF(D2009="BUY",IF(H2009="",0,(H2009-G2009)))))*C2009</f>
        <v>10000</v>
      </c>
      <c r="L2009" s="8">
        <f t="shared" si="2228"/>
        <v>210</v>
      </c>
      <c r="M2009" s="8">
        <f t="shared" si="2229"/>
        <v>21000</v>
      </c>
    </row>
    <row r="2010" spans="1:13" ht="15.75" customHeight="1" x14ac:dyDescent="0.25">
      <c r="A2010" s="24">
        <v>43201</v>
      </c>
      <c r="B2010" s="9" t="s">
        <v>29</v>
      </c>
      <c r="C2010" s="9">
        <v>1000</v>
      </c>
      <c r="D2010" s="9" t="s">
        <v>10</v>
      </c>
      <c r="E2010" s="19">
        <v>451</v>
      </c>
      <c r="F2010" s="19">
        <v>452</v>
      </c>
      <c r="G2010" s="9">
        <v>0</v>
      </c>
      <c r="H2010" s="15">
        <v>0</v>
      </c>
      <c r="I2010" s="8">
        <f t="shared" si="2231"/>
        <v>1000</v>
      </c>
      <c r="J2010" s="8">
        <v>0</v>
      </c>
      <c r="K2010" s="2">
        <v>0</v>
      </c>
      <c r="L2010" s="8">
        <f t="shared" si="2228"/>
        <v>1</v>
      </c>
      <c r="M2010" s="8">
        <f t="shared" si="2229"/>
        <v>1000</v>
      </c>
    </row>
    <row r="2011" spans="1:13" ht="15.75" customHeight="1" x14ac:dyDescent="0.25">
      <c r="A2011" s="24">
        <v>43201</v>
      </c>
      <c r="B2011" s="9" t="s">
        <v>31</v>
      </c>
      <c r="C2011" s="9">
        <v>250</v>
      </c>
      <c r="D2011" s="9" t="s">
        <v>10</v>
      </c>
      <c r="E2011" s="19">
        <v>897</v>
      </c>
      <c r="F2011" s="19">
        <v>901</v>
      </c>
      <c r="G2011" s="9">
        <v>0</v>
      </c>
      <c r="H2011" s="15">
        <v>0</v>
      </c>
      <c r="I2011" s="8">
        <f t="shared" si="2231"/>
        <v>1000</v>
      </c>
      <c r="J2011" s="8">
        <v>0</v>
      </c>
      <c r="K2011" s="2">
        <v>0</v>
      </c>
      <c r="L2011" s="8">
        <f t="shared" si="2228"/>
        <v>4</v>
      </c>
      <c r="M2011" s="8">
        <f t="shared" si="2229"/>
        <v>1000</v>
      </c>
    </row>
    <row r="2012" spans="1:13" ht="15.75" customHeight="1" x14ac:dyDescent="0.25">
      <c r="A2012" s="24">
        <v>43200</v>
      </c>
      <c r="B2012" s="9" t="s">
        <v>30</v>
      </c>
      <c r="C2012" s="9">
        <v>100</v>
      </c>
      <c r="D2012" s="9" t="s">
        <v>10</v>
      </c>
      <c r="E2012" s="19">
        <v>30755</v>
      </c>
      <c r="F2012" s="19">
        <v>30795</v>
      </c>
      <c r="G2012" s="9">
        <v>30870</v>
      </c>
      <c r="H2012" s="15">
        <v>0</v>
      </c>
      <c r="I2012" s="8">
        <f t="shared" si="2231"/>
        <v>4000</v>
      </c>
      <c r="J2012" s="8">
        <f>(IF(D2012="SELL",IF(G2012="",0,F2012-G2012),IF(D2012="BUY",IF(G2012="",0,G2012-F2012))))*C2012</f>
        <v>7500</v>
      </c>
      <c r="K2012" s="2">
        <v>0</v>
      </c>
      <c r="L2012" s="8">
        <f t="shared" si="2228"/>
        <v>115</v>
      </c>
      <c r="M2012" s="8">
        <f t="shared" si="2229"/>
        <v>11500</v>
      </c>
    </row>
    <row r="2013" spans="1:13" ht="15.75" customHeight="1" x14ac:dyDescent="0.25">
      <c r="A2013" s="24">
        <v>43200</v>
      </c>
      <c r="B2013" s="9" t="s">
        <v>39</v>
      </c>
      <c r="C2013" s="9">
        <v>5000</v>
      </c>
      <c r="D2013" s="9" t="s">
        <v>10</v>
      </c>
      <c r="E2013" s="19">
        <v>210.3</v>
      </c>
      <c r="F2013" s="19">
        <v>210.8</v>
      </c>
      <c r="G2013" s="9">
        <v>0</v>
      </c>
      <c r="H2013" s="15">
        <v>0</v>
      </c>
      <c r="I2013" s="8">
        <f t="shared" si="2231"/>
        <v>2500</v>
      </c>
      <c r="J2013" s="8">
        <v>0</v>
      </c>
      <c r="K2013" s="2">
        <f>(IF(D2013="SELL",IF(H2013="",0,G2013-H2013),IF(D2013="BUY",IF(H2013="",0,(H2013-G2013)))))*C2013</f>
        <v>0</v>
      </c>
      <c r="L2013" s="8">
        <f t="shared" si="2228"/>
        <v>0.5</v>
      </c>
      <c r="M2013" s="8">
        <f t="shared" si="2229"/>
        <v>2500</v>
      </c>
    </row>
    <row r="2014" spans="1:13" ht="15.75" customHeight="1" x14ac:dyDescent="0.25">
      <c r="A2014" s="24">
        <v>43200</v>
      </c>
      <c r="B2014" s="9" t="s">
        <v>31</v>
      </c>
      <c r="C2014" s="9">
        <v>250</v>
      </c>
      <c r="D2014" s="9" t="s">
        <v>10</v>
      </c>
      <c r="E2014" s="19">
        <v>881</v>
      </c>
      <c r="F2014" s="19">
        <v>885</v>
      </c>
      <c r="G2014" s="9">
        <v>891</v>
      </c>
      <c r="H2014" s="15">
        <v>0</v>
      </c>
      <c r="I2014" s="8">
        <f t="shared" si="2231"/>
        <v>1000</v>
      </c>
      <c r="J2014" s="8">
        <f>(IF(D2014="SELL",IF(G2014="",0,F2014-G2014),IF(D2014="BUY",IF(G2014="",0,G2014-F2014))))*C2014</f>
        <v>1500</v>
      </c>
      <c r="K2014" s="2">
        <v>0</v>
      </c>
      <c r="L2014" s="8">
        <f t="shared" si="2228"/>
        <v>10</v>
      </c>
      <c r="M2014" s="8">
        <f t="shared" si="2229"/>
        <v>2500</v>
      </c>
    </row>
    <row r="2015" spans="1:13" ht="15.75" customHeight="1" x14ac:dyDescent="0.25">
      <c r="A2015" s="24">
        <v>43200</v>
      </c>
      <c r="B2015" s="9" t="s">
        <v>29</v>
      </c>
      <c r="C2015" s="9">
        <v>1000</v>
      </c>
      <c r="D2015" s="9" t="s">
        <v>10</v>
      </c>
      <c r="E2015" s="19">
        <v>440</v>
      </c>
      <c r="F2015" s="19">
        <v>441</v>
      </c>
      <c r="G2015" s="9">
        <v>0</v>
      </c>
      <c r="H2015" s="15">
        <v>0</v>
      </c>
      <c r="I2015" s="8">
        <f t="shared" si="2231"/>
        <v>1000</v>
      </c>
      <c r="J2015" s="8">
        <v>0</v>
      </c>
      <c r="K2015" s="2">
        <f>(IF(D2015="SELL",IF(H2015="",0,G2015-H2015),IF(D2015="BUY",IF(H2015="",0,(H2015-G2015)))))*C2015</f>
        <v>0</v>
      </c>
      <c r="L2015" s="8">
        <f t="shared" si="2228"/>
        <v>1</v>
      </c>
      <c r="M2015" s="8">
        <f t="shared" si="2229"/>
        <v>1000</v>
      </c>
    </row>
    <row r="2016" spans="1:13" ht="15.75" customHeight="1" x14ac:dyDescent="0.25">
      <c r="A2016" s="24">
        <v>43199</v>
      </c>
      <c r="B2016" s="9" t="s">
        <v>29</v>
      </c>
      <c r="C2016" s="9">
        <v>1000</v>
      </c>
      <c r="D2016" s="9" t="s">
        <v>10</v>
      </c>
      <c r="E2016" s="19">
        <v>444.5</v>
      </c>
      <c r="F2016" s="19">
        <v>445.5</v>
      </c>
      <c r="G2016" s="9">
        <v>0</v>
      </c>
      <c r="H2016" s="15">
        <v>0</v>
      </c>
      <c r="I2016" s="8">
        <f t="shared" si="2231"/>
        <v>1000</v>
      </c>
      <c r="J2016" s="8">
        <v>0</v>
      </c>
      <c r="K2016" s="2">
        <f>(IF(D2016="SELL",IF(H2016="",0,G2016-H2016),IF(D2016="BUY",IF(H2016="",0,(H2016-G2016)))))*C2016</f>
        <v>0</v>
      </c>
      <c r="L2016" s="8">
        <f t="shared" si="2228"/>
        <v>1</v>
      </c>
      <c r="M2016" s="8">
        <f t="shared" si="2229"/>
        <v>1000</v>
      </c>
    </row>
    <row r="2017" spans="1:13" ht="15.75" customHeight="1" x14ac:dyDescent="0.25">
      <c r="A2017" s="24">
        <v>43199</v>
      </c>
      <c r="B2017" s="9" t="s">
        <v>29</v>
      </c>
      <c r="C2017" s="9">
        <v>1000</v>
      </c>
      <c r="D2017" s="9" t="s">
        <v>10</v>
      </c>
      <c r="E2017" s="19">
        <v>440</v>
      </c>
      <c r="F2017" s="19">
        <v>441</v>
      </c>
      <c r="G2017" s="9">
        <v>0</v>
      </c>
      <c r="H2017" s="15">
        <v>0</v>
      </c>
      <c r="I2017" s="8">
        <f t="shared" si="2231"/>
        <v>1000</v>
      </c>
      <c r="J2017" s="8">
        <v>0</v>
      </c>
      <c r="K2017" s="2">
        <f>(IF(D2017="SELL",IF(H2017="",0,G2017-H2017),IF(D2017="BUY",IF(H2017="",0,(H2017-G2017)))))*C2017</f>
        <v>0</v>
      </c>
      <c r="L2017" s="8">
        <f t="shared" si="2228"/>
        <v>1</v>
      </c>
      <c r="M2017" s="8">
        <f t="shared" si="2229"/>
        <v>1000</v>
      </c>
    </row>
    <row r="2018" spans="1:13" ht="15.75" customHeight="1" x14ac:dyDescent="0.25">
      <c r="A2018" s="24">
        <v>43199</v>
      </c>
      <c r="B2018" s="9" t="s">
        <v>31</v>
      </c>
      <c r="C2018" s="9">
        <v>250</v>
      </c>
      <c r="D2018" s="9" t="s">
        <v>10</v>
      </c>
      <c r="E2018" s="19">
        <v>857</v>
      </c>
      <c r="F2018" s="19">
        <v>861</v>
      </c>
      <c r="G2018" s="9">
        <v>0</v>
      </c>
      <c r="H2018" s="15">
        <v>0</v>
      </c>
      <c r="I2018" s="8">
        <f t="shared" si="2231"/>
        <v>1000</v>
      </c>
      <c r="J2018" s="8">
        <v>0</v>
      </c>
      <c r="K2018" s="2">
        <f>(IF(D2018="SELL",IF(H2018="",0,G2018-H2018),IF(D2018="BUY",IF(H2018="",0,(H2018-G2018)))))*C2018</f>
        <v>0</v>
      </c>
      <c r="L2018" s="8">
        <f t="shared" si="2228"/>
        <v>4</v>
      </c>
      <c r="M2018" s="8">
        <f t="shared" si="2229"/>
        <v>1000</v>
      </c>
    </row>
    <row r="2019" spans="1:13" ht="15.75" customHeight="1" x14ac:dyDescent="0.25">
      <c r="A2019" s="24">
        <v>43196</v>
      </c>
      <c r="B2019" s="9" t="s">
        <v>39</v>
      </c>
      <c r="C2019" s="9">
        <v>5000</v>
      </c>
      <c r="D2019" s="9" t="s">
        <v>11</v>
      </c>
      <c r="E2019" s="19">
        <v>210</v>
      </c>
      <c r="F2019" s="19">
        <v>209.5</v>
      </c>
      <c r="G2019" s="9">
        <v>0</v>
      </c>
      <c r="H2019" s="15">
        <v>0</v>
      </c>
      <c r="I2019" s="8">
        <f t="shared" si="2231"/>
        <v>2500</v>
      </c>
      <c r="J2019" s="8">
        <v>0</v>
      </c>
      <c r="K2019" s="2">
        <f>(IF(D2019="SELL",IF(H2019="",0,G2019-H2019),IF(D2019="BUY",IF(H2019="",0,(H2019-G2019)))))*C2019</f>
        <v>0</v>
      </c>
      <c r="L2019" s="8">
        <f t="shared" si="2228"/>
        <v>0.5</v>
      </c>
      <c r="M2019" s="8">
        <f t="shared" si="2229"/>
        <v>2500</v>
      </c>
    </row>
    <row r="2020" spans="1:13" ht="15.75" customHeight="1" x14ac:dyDescent="0.25">
      <c r="A2020" s="24">
        <v>43196</v>
      </c>
      <c r="B2020" s="9" t="s">
        <v>31</v>
      </c>
      <c r="C2020" s="9">
        <v>250</v>
      </c>
      <c r="D2020" s="9" t="s">
        <v>11</v>
      </c>
      <c r="E2020" s="19">
        <v>855</v>
      </c>
      <c r="F2020" s="19">
        <v>851</v>
      </c>
      <c r="G2020" s="9">
        <v>844</v>
      </c>
      <c r="H2020" s="15">
        <v>0</v>
      </c>
      <c r="I2020" s="8">
        <f t="shared" si="2231"/>
        <v>1000</v>
      </c>
      <c r="J2020" s="8">
        <f>(IF(D2020="SELL",IF(G2020="",0,F2020-G2020),IF(D2020="BUY",IF(G2020="",0,G2020-F2020))))*C2020</f>
        <v>1750</v>
      </c>
      <c r="K2020" s="2">
        <v>0</v>
      </c>
      <c r="L2020" s="8">
        <f t="shared" si="2228"/>
        <v>11</v>
      </c>
      <c r="M2020" s="8">
        <f t="shared" si="2229"/>
        <v>2750</v>
      </c>
    </row>
    <row r="2021" spans="1:13" ht="15.75" customHeight="1" x14ac:dyDescent="0.25">
      <c r="A2021" s="24">
        <v>43195</v>
      </c>
      <c r="B2021" s="9" t="s">
        <v>19</v>
      </c>
      <c r="C2021" s="9">
        <v>100</v>
      </c>
      <c r="D2021" s="9" t="s">
        <v>11</v>
      </c>
      <c r="E2021" s="19">
        <v>30670</v>
      </c>
      <c r="F2021" s="19">
        <v>30630</v>
      </c>
      <c r="G2021" s="9">
        <v>0</v>
      </c>
      <c r="H2021" s="15">
        <v>0</v>
      </c>
      <c r="I2021" s="8">
        <f t="shared" si="2231"/>
        <v>4000</v>
      </c>
      <c r="J2021" s="8">
        <v>0</v>
      </c>
      <c r="K2021" s="2">
        <f>(IF(D2021="SELL",IF(H2021="",0,G2021-H2021),IF(D2021="BUY",IF(H2021="",0,(H2021-G2021)))))*C2021</f>
        <v>0</v>
      </c>
      <c r="L2021" s="8">
        <f t="shared" si="2228"/>
        <v>40</v>
      </c>
      <c r="M2021" s="8">
        <f t="shared" si="2229"/>
        <v>4000</v>
      </c>
    </row>
    <row r="2022" spans="1:13" ht="15.75" customHeight="1" x14ac:dyDescent="0.25">
      <c r="A2022" s="24">
        <v>43195</v>
      </c>
      <c r="B2022" s="9" t="s">
        <v>39</v>
      </c>
      <c r="C2022" s="9">
        <v>5000</v>
      </c>
      <c r="D2022" s="9" t="s">
        <v>11</v>
      </c>
      <c r="E2022" s="19">
        <v>210.6</v>
      </c>
      <c r="F2022" s="19">
        <v>210.1</v>
      </c>
      <c r="G2022" s="9">
        <v>209.3</v>
      </c>
      <c r="H2022" s="15">
        <v>0</v>
      </c>
      <c r="I2022" s="8">
        <f t="shared" si="2231"/>
        <v>2500</v>
      </c>
      <c r="J2022" s="8">
        <f>(IF(D2022="SELL",IF(G2022="",0,F2022-G2022),IF(D2022="BUY",IF(G2022="",0,G2022-F2022))))*C2022</f>
        <v>3999.9999999999145</v>
      </c>
      <c r="K2022" s="2">
        <v>0</v>
      </c>
      <c r="L2022" s="8">
        <f t="shared" si="2228"/>
        <v>1.2999999999999829</v>
      </c>
      <c r="M2022" s="8">
        <f t="shared" si="2229"/>
        <v>6499.9999999999145</v>
      </c>
    </row>
    <row r="2023" spans="1:13" ht="15.75" customHeight="1" x14ac:dyDescent="0.25">
      <c r="A2023" s="24">
        <v>43195</v>
      </c>
      <c r="B2023" s="9" t="s">
        <v>31</v>
      </c>
      <c r="C2023" s="9">
        <v>250</v>
      </c>
      <c r="D2023" s="9" t="s">
        <v>11</v>
      </c>
      <c r="E2023" s="19">
        <v>866</v>
      </c>
      <c r="F2023" s="19">
        <v>862</v>
      </c>
      <c r="G2023" s="9">
        <v>0</v>
      </c>
      <c r="H2023" s="15">
        <v>0</v>
      </c>
      <c r="I2023" s="8">
        <f t="shared" si="2231"/>
        <v>1000</v>
      </c>
      <c r="J2023" s="8">
        <v>0</v>
      </c>
      <c r="K2023" s="2">
        <f>(IF(D2023="SELL",IF(H2023="",0,G2023-H2023),IF(D2023="BUY",IF(H2023="",0,(H2023-G2023)))))*C2023</f>
        <v>0</v>
      </c>
      <c r="L2023" s="8">
        <f t="shared" si="2228"/>
        <v>4</v>
      </c>
      <c r="M2023" s="8">
        <f t="shared" si="2229"/>
        <v>1000</v>
      </c>
    </row>
    <row r="2024" spans="1:13" ht="15.75" customHeight="1" x14ac:dyDescent="0.25">
      <c r="A2024" s="24">
        <v>43194</v>
      </c>
      <c r="B2024" s="9" t="s">
        <v>19</v>
      </c>
      <c r="C2024" s="9">
        <v>100</v>
      </c>
      <c r="D2024" s="9" t="s">
        <v>10</v>
      </c>
      <c r="E2024" s="19">
        <v>30825</v>
      </c>
      <c r="F2024" s="19">
        <v>30870</v>
      </c>
      <c r="G2024" s="9">
        <v>30960</v>
      </c>
      <c r="H2024" s="15">
        <v>31060</v>
      </c>
      <c r="I2024" s="8">
        <f t="shared" si="2231"/>
        <v>4500</v>
      </c>
      <c r="J2024" s="8">
        <f>(IF(D2024="SELL",IF(G2024="",0,F2024-G2024),IF(D2024="BUY",IF(G2024="",0,G2024-F2024))))*C2024</f>
        <v>9000</v>
      </c>
      <c r="K2024" s="2">
        <f>(IF(D2024="SELL",IF(H2024="",0,G2024-H2024),IF(D2024="BUY",IF(H2024="",0,(H2024-G2024)))))*C2024</f>
        <v>10000</v>
      </c>
      <c r="L2024" s="8">
        <f t="shared" si="2228"/>
        <v>235</v>
      </c>
      <c r="M2024" s="8">
        <f t="shared" si="2229"/>
        <v>23500</v>
      </c>
    </row>
    <row r="2025" spans="1:13" ht="15.75" customHeight="1" x14ac:dyDescent="0.25">
      <c r="A2025" s="24">
        <v>43194</v>
      </c>
      <c r="B2025" s="9" t="s">
        <v>51</v>
      </c>
      <c r="C2025" s="9">
        <v>100</v>
      </c>
      <c r="D2025" s="9" t="s">
        <v>11</v>
      </c>
      <c r="E2025" s="19">
        <v>4100</v>
      </c>
      <c r="F2025" s="19">
        <v>4085</v>
      </c>
      <c r="G2025" s="9">
        <v>4055</v>
      </c>
      <c r="H2025" s="15">
        <v>0</v>
      </c>
      <c r="I2025" s="8">
        <f t="shared" si="2231"/>
        <v>1500</v>
      </c>
      <c r="J2025" s="8">
        <f>(IF(D2025="SELL",IF(G2025="",0,F2025-G2025),IF(D2025="BUY",IF(G2025="",0,G2025-F2025))))*C2025</f>
        <v>3000</v>
      </c>
      <c r="K2025" s="2">
        <v>0</v>
      </c>
      <c r="L2025" s="8">
        <f t="shared" si="2228"/>
        <v>45</v>
      </c>
      <c r="M2025" s="8">
        <f t="shared" si="2229"/>
        <v>4500</v>
      </c>
    </row>
    <row r="2026" spans="1:13" ht="15.75" customHeight="1" x14ac:dyDescent="0.25">
      <c r="A2026" s="24">
        <v>43194</v>
      </c>
      <c r="B2026" s="9" t="s">
        <v>17</v>
      </c>
      <c r="C2026" s="9">
        <v>5000</v>
      </c>
      <c r="D2026" s="9" t="s">
        <v>11</v>
      </c>
      <c r="E2026" s="19">
        <v>212.5</v>
      </c>
      <c r="F2026" s="19">
        <v>212</v>
      </c>
      <c r="G2026" s="9">
        <v>211.3</v>
      </c>
      <c r="H2026" s="15">
        <v>0</v>
      </c>
      <c r="I2026" s="8">
        <f t="shared" si="2231"/>
        <v>2500</v>
      </c>
      <c r="J2026" s="8">
        <f>(IF(D2026="SELL",IF(G2026="",0,F2026-G2026),IF(D2026="BUY",IF(G2026="",0,G2026-F2026))))*C2026</f>
        <v>3499.9999999999432</v>
      </c>
      <c r="K2026" s="2">
        <v>0</v>
      </c>
      <c r="L2026" s="8">
        <f t="shared" si="2228"/>
        <v>1.1999999999999886</v>
      </c>
      <c r="M2026" s="8">
        <f t="shared" si="2229"/>
        <v>5999.9999999999436</v>
      </c>
    </row>
    <row r="2027" spans="1:13" ht="15.75" customHeight="1" x14ac:dyDescent="0.25">
      <c r="A2027" s="24">
        <v>43194</v>
      </c>
      <c r="B2027" s="9" t="s">
        <v>21</v>
      </c>
      <c r="C2027" s="9">
        <v>250</v>
      </c>
      <c r="D2027" s="9" t="s">
        <v>11</v>
      </c>
      <c r="E2027" s="19">
        <v>871.5</v>
      </c>
      <c r="F2027" s="19">
        <v>867.5</v>
      </c>
      <c r="G2027" s="9">
        <v>861</v>
      </c>
      <c r="H2027" s="15">
        <v>0</v>
      </c>
      <c r="I2027" s="8">
        <f t="shared" ref="I2027:I2033" si="2232">(IF(D2027="SELL",E2027-F2027,IF(D2027="BUY",F2027-E2027)))*C2027</f>
        <v>1000</v>
      </c>
      <c r="J2027" s="8">
        <f>(IF(D2027="SELL",IF(G2027="",0,F2027-G2027),IF(D2027="BUY",IF(G2027="",0,G2027-F2027))))*C2027</f>
        <v>1625</v>
      </c>
      <c r="K2027" s="2">
        <v>0</v>
      </c>
      <c r="L2027" s="8">
        <f t="shared" si="2228"/>
        <v>10.5</v>
      </c>
      <c r="M2027" s="8">
        <f t="shared" si="2229"/>
        <v>2625</v>
      </c>
    </row>
    <row r="2028" spans="1:13" ht="15.75" customHeight="1" x14ac:dyDescent="0.25">
      <c r="A2028" s="24">
        <v>43194</v>
      </c>
      <c r="B2028" s="9" t="s">
        <v>18</v>
      </c>
      <c r="C2028" s="9">
        <v>1000</v>
      </c>
      <c r="D2028" s="9" t="s">
        <v>11</v>
      </c>
      <c r="E2028" s="19">
        <v>438.5</v>
      </c>
      <c r="F2028" s="19">
        <v>437.5</v>
      </c>
      <c r="G2028" s="9">
        <v>435</v>
      </c>
      <c r="H2028" s="15">
        <v>432</v>
      </c>
      <c r="I2028" s="8">
        <f t="shared" si="2232"/>
        <v>1000</v>
      </c>
      <c r="J2028" s="8">
        <f>(IF(D2028="SELL",IF(G2028="",0,F2028-G2028),IF(D2028="BUY",IF(G2028="",0,G2028-F2028))))*C2028</f>
        <v>2500</v>
      </c>
      <c r="K2028" s="2">
        <f>(IF(D2028="SELL",IF(H2028="",0,G2028-H2028),IF(D2028="BUY",IF(H2028="",0,(H2028-G2028)))))*C2028</f>
        <v>3000</v>
      </c>
      <c r="L2028" s="8">
        <f t="shared" si="2228"/>
        <v>6.5</v>
      </c>
      <c r="M2028" s="8">
        <f t="shared" si="2229"/>
        <v>6500</v>
      </c>
    </row>
    <row r="2029" spans="1:13" ht="15.75" customHeight="1" x14ac:dyDescent="0.25">
      <c r="A2029" s="24">
        <v>43193</v>
      </c>
      <c r="B2029" s="9" t="s">
        <v>17</v>
      </c>
      <c r="C2029" s="9">
        <v>5000</v>
      </c>
      <c r="D2029" s="9" t="s">
        <v>11</v>
      </c>
      <c r="E2029" s="19">
        <v>213.4</v>
      </c>
      <c r="F2029" s="19">
        <v>212.9</v>
      </c>
      <c r="G2029" s="9">
        <v>0</v>
      </c>
      <c r="H2029" s="15">
        <v>0</v>
      </c>
      <c r="I2029" s="8">
        <f t="shared" si="2232"/>
        <v>2500</v>
      </c>
      <c r="J2029" s="8">
        <v>0</v>
      </c>
      <c r="K2029" s="2">
        <v>0</v>
      </c>
      <c r="L2029" s="8">
        <f t="shared" si="2228"/>
        <v>0.5</v>
      </c>
      <c r="M2029" s="8">
        <f t="shared" si="2229"/>
        <v>2500</v>
      </c>
    </row>
    <row r="2030" spans="1:13" ht="15.75" customHeight="1" x14ac:dyDescent="0.25">
      <c r="A2030" s="24">
        <v>43192</v>
      </c>
      <c r="B2030" s="9" t="s">
        <v>21</v>
      </c>
      <c r="C2030" s="9">
        <v>250</v>
      </c>
      <c r="D2030" s="9" t="s">
        <v>10</v>
      </c>
      <c r="E2030" s="19">
        <v>876</v>
      </c>
      <c r="F2030" s="19">
        <v>880</v>
      </c>
      <c r="G2030" s="9">
        <v>0</v>
      </c>
      <c r="H2030" s="15">
        <v>0</v>
      </c>
      <c r="I2030" s="8">
        <f t="shared" si="2232"/>
        <v>1000</v>
      </c>
      <c r="J2030" s="8">
        <v>0</v>
      </c>
      <c r="K2030" s="2">
        <v>0</v>
      </c>
      <c r="L2030" s="8">
        <f t="shared" si="2228"/>
        <v>4</v>
      </c>
      <c r="M2030" s="8">
        <f t="shared" si="2229"/>
        <v>1000</v>
      </c>
    </row>
    <row r="2031" spans="1:13" ht="15.75" customHeight="1" x14ac:dyDescent="0.25">
      <c r="A2031" s="24">
        <v>43192</v>
      </c>
      <c r="B2031" s="9" t="s">
        <v>18</v>
      </c>
      <c r="C2031" s="9">
        <v>1000</v>
      </c>
      <c r="D2031" s="9" t="s">
        <v>10</v>
      </c>
      <c r="E2031" s="19">
        <v>439.2</v>
      </c>
      <c r="F2031" s="19">
        <v>440.2</v>
      </c>
      <c r="G2031" s="9">
        <v>442</v>
      </c>
      <c r="H2031" s="15">
        <v>0</v>
      </c>
      <c r="I2031" s="8">
        <f t="shared" si="2232"/>
        <v>1000</v>
      </c>
      <c r="J2031" s="8">
        <f>(IF(D2031="SELL",IF(G2031="",0,F2031-G2031),IF(D2031="BUY",IF(G2031="",0,G2031-F2031))))*C2031</f>
        <v>1800.0000000000114</v>
      </c>
      <c r="K2031" s="2">
        <v>0</v>
      </c>
      <c r="L2031" s="8">
        <f t="shared" si="2228"/>
        <v>2.8000000000000114</v>
      </c>
      <c r="M2031" s="8">
        <f t="shared" si="2229"/>
        <v>2800.0000000000114</v>
      </c>
    </row>
    <row r="2032" spans="1:13" ht="15.75" customHeight="1" x14ac:dyDescent="0.25">
      <c r="A2032" s="24">
        <v>43187</v>
      </c>
      <c r="B2032" s="9" t="s">
        <v>17</v>
      </c>
      <c r="C2032" s="9">
        <v>5000</v>
      </c>
      <c r="D2032" s="9" t="s">
        <v>10</v>
      </c>
      <c r="E2032" s="19">
        <v>214.9</v>
      </c>
      <c r="F2032" s="19">
        <v>215.5</v>
      </c>
      <c r="G2032" s="9">
        <v>0</v>
      </c>
      <c r="H2032" s="15">
        <v>0</v>
      </c>
      <c r="I2032" s="8">
        <f t="shared" si="2232"/>
        <v>2999.9999999999718</v>
      </c>
      <c r="J2032" s="8">
        <v>0</v>
      </c>
      <c r="K2032" s="2">
        <v>0</v>
      </c>
      <c r="L2032" s="8">
        <f t="shared" si="2228"/>
        <v>0.59999999999999432</v>
      </c>
      <c r="M2032" s="8">
        <f t="shared" si="2229"/>
        <v>2999.9999999999718</v>
      </c>
    </row>
    <row r="2033" spans="1:13" ht="15.75" customHeight="1" x14ac:dyDescent="0.25">
      <c r="A2033" s="24">
        <v>43186</v>
      </c>
      <c r="B2033" s="9" t="s">
        <v>21</v>
      </c>
      <c r="C2033" s="9">
        <v>5000</v>
      </c>
      <c r="D2033" s="9" t="s">
        <v>10</v>
      </c>
      <c r="E2033" s="19">
        <v>851</v>
      </c>
      <c r="F2033" s="19">
        <v>851</v>
      </c>
      <c r="G2033" s="9">
        <v>0</v>
      </c>
      <c r="H2033" s="15">
        <v>0</v>
      </c>
      <c r="I2033" s="8">
        <f t="shared" si="2232"/>
        <v>0</v>
      </c>
      <c r="J2033" s="8">
        <v>0</v>
      </c>
      <c r="K2033" s="2">
        <v>0</v>
      </c>
      <c r="L2033" s="8">
        <f t="shared" si="2228"/>
        <v>0</v>
      </c>
      <c r="M2033" s="8">
        <f t="shared" si="2229"/>
        <v>0</v>
      </c>
    </row>
    <row r="2034" spans="1:13" ht="15.75" customHeight="1" x14ac:dyDescent="0.25">
      <c r="A2034" s="24">
        <v>43185</v>
      </c>
      <c r="B2034" s="9" t="s">
        <v>17</v>
      </c>
      <c r="C2034" s="9">
        <v>5000</v>
      </c>
      <c r="D2034" s="9" t="s">
        <v>11</v>
      </c>
      <c r="E2034" s="19">
        <v>208</v>
      </c>
      <c r="F2034" s="19">
        <v>210</v>
      </c>
      <c r="G2034" s="9">
        <v>0</v>
      </c>
      <c r="H2034" s="15">
        <v>0</v>
      </c>
      <c r="I2034" s="8">
        <f t="shared" ref="I2034:I2039" si="2233">(IF(D2034="SELL",E2034-F2034,IF(D2034="BUY",F2034-E2034)))*C2034</f>
        <v>-10000</v>
      </c>
      <c r="J2034" s="8">
        <v>0</v>
      </c>
      <c r="K2034" s="2">
        <v>0</v>
      </c>
      <c r="L2034" s="8">
        <f t="shared" si="2228"/>
        <v>-2</v>
      </c>
      <c r="M2034" s="8">
        <f t="shared" si="2229"/>
        <v>-10000</v>
      </c>
    </row>
    <row r="2035" spans="1:13" ht="15.75" customHeight="1" x14ac:dyDescent="0.25">
      <c r="A2035" s="24">
        <v>43185</v>
      </c>
      <c r="B2035" s="9" t="s">
        <v>29</v>
      </c>
      <c r="C2035" s="9">
        <v>1000</v>
      </c>
      <c r="D2035" s="9" t="s">
        <v>11</v>
      </c>
      <c r="E2035" s="19">
        <v>428.5</v>
      </c>
      <c r="F2035" s="19">
        <v>427</v>
      </c>
      <c r="G2035" s="9">
        <v>425</v>
      </c>
      <c r="H2035" s="15">
        <v>0</v>
      </c>
      <c r="I2035" s="8">
        <f t="shared" si="2233"/>
        <v>1500</v>
      </c>
      <c r="J2035" s="8">
        <f>(IF(D2035="SELL",IF(G2035="",0,F2035-G2035),IF(D2035="BUY",IF(G2035="",0,G2035-F2035))))*C2035</f>
        <v>2000</v>
      </c>
      <c r="K2035" s="2">
        <v>0</v>
      </c>
      <c r="L2035" s="8">
        <f t="shared" si="2228"/>
        <v>3.5</v>
      </c>
      <c r="M2035" s="8">
        <f t="shared" si="2229"/>
        <v>3500</v>
      </c>
    </row>
    <row r="2036" spans="1:13" ht="15.75" customHeight="1" x14ac:dyDescent="0.25">
      <c r="A2036" s="24">
        <v>43185</v>
      </c>
      <c r="B2036" s="9" t="s">
        <v>31</v>
      </c>
      <c r="C2036" s="9">
        <v>250</v>
      </c>
      <c r="D2036" s="9" t="s">
        <v>11</v>
      </c>
      <c r="E2036" s="19">
        <v>837</v>
      </c>
      <c r="F2036" s="19">
        <v>833</v>
      </c>
      <c r="G2036" s="9">
        <v>0</v>
      </c>
      <c r="H2036" s="15">
        <v>0</v>
      </c>
      <c r="I2036" s="8">
        <f t="shared" si="2233"/>
        <v>1000</v>
      </c>
      <c r="J2036" s="8">
        <v>0</v>
      </c>
      <c r="K2036" s="2">
        <v>0</v>
      </c>
      <c r="L2036" s="8">
        <f t="shared" si="2228"/>
        <v>4</v>
      </c>
      <c r="M2036" s="8">
        <f t="shared" si="2229"/>
        <v>1000</v>
      </c>
    </row>
    <row r="2037" spans="1:13" ht="15.75" customHeight="1" x14ac:dyDescent="0.25">
      <c r="A2037" s="24">
        <v>43182</v>
      </c>
      <c r="B2037" s="9" t="s">
        <v>17</v>
      </c>
      <c r="C2037" s="9">
        <v>5000</v>
      </c>
      <c r="D2037" s="9" t="s">
        <v>11</v>
      </c>
      <c r="E2037" s="19">
        <v>208.8</v>
      </c>
      <c r="F2037" s="19">
        <v>208.3</v>
      </c>
      <c r="G2037" s="9">
        <v>207.6</v>
      </c>
      <c r="H2037" s="15">
        <v>0</v>
      </c>
      <c r="I2037" s="8">
        <f t="shared" si="2233"/>
        <v>2500</v>
      </c>
      <c r="J2037" s="8">
        <f>(IF(D2037="SELL",IF(G2037="",0,F2037-G2037),IF(D2037="BUY",IF(G2037="",0,G2037-F2037))))*C2037</f>
        <v>3500.0000000000855</v>
      </c>
      <c r="K2037" s="2">
        <v>0</v>
      </c>
      <c r="L2037" s="8">
        <f t="shared" si="2228"/>
        <v>1.2000000000000171</v>
      </c>
      <c r="M2037" s="8">
        <f t="shared" si="2229"/>
        <v>6000.0000000000855</v>
      </c>
    </row>
    <row r="2038" spans="1:13" ht="15.75" customHeight="1" x14ac:dyDescent="0.25">
      <c r="A2038" s="24">
        <v>43182</v>
      </c>
      <c r="B2038" s="9" t="s">
        <v>30</v>
      </c>
      <c r="C2038" s="9">
        <v>100</v>
      </c>
      <c r="D2038" s="9" t="s">
        <v>10</v>
      </c>
      <c r="E2038" s="19">
        <v>30710</v>
      </c>
      <c r="F2038" s="19">
        <v>30751</v>
      </c>
      <c r="G2038" s="9">
        <v>0</v>
      </c>
      <c r="H2038" s="15">
        <v>0</v>
      </c>
      <c r="I2038" s="8">
        <f t="shared" si="2233"/>
        <v>4100</v>
      </c>
      <c r="J2038" s="8">
        <v>0</v>
      </c>
      <c r="K2038" s="2">
        <f>(IF(D2038="SELL",IF(H2038="",0,G2038-H2038),IF(D2038="BUY",IF(H2038="",0,(H2038-G2038)))))*C2038</f>
        <v>0</v>
      </c>
      <c r="L2038" s="8">
        <f t="shared" si="2228"/>
        <v>41</v>
      </c>
      <c r="M2038" s="8">
        <f t="shared" si="2229"/>
        <v>4100</v>
      </c>
    </row>
    <row r="2039" spans="1:13" ht="15.75" customHeight="1" x14ac:dyDescent="0.25">
      <c r="A2039" s="24">
        <v>43181</v>
      </c>
      <c r="B2039" s="9" t="s">
        <v>31</v>
      </c>
      <c r="C2039" s="9">
        <v>250</v>
      </c>
      <c r="D2039" s="9" t="s">
        <v>11</v>
      </c>
      <c r="E2039" s="19">
        <v>877</v>
      </c>
      <c r="F2039" s="19">
        <v>873</v>
      </c>
      <c r="G2039" s="9">
        <v>866</v>
      </c>
      <c r="H2039" s="15">
        <v>856</v>
      </c>
      <c r="I2039" s="8">
        <f t="shared" si="2233"/>
        <v>1000</v>
      </c>
      <c r="J2039" s="8">
        <f>(IF(D2039="SELL",IF(G2039="",0,F2039-G2039),IF(D2039="BUY",IF(G2039="",0,G2039-F2039))))*C2039</f>
        <v>1750</v>
      </c>
      <c r="K2039" s="2">
        <f>(IF(D2039="SELL",IF(H2039="",0,G2039-H2039),IF(D2039="BUY",IF(H2039="",0,(H2039-G2039)))))*C2039</f>
        <v>2500</v>
      </c>
      <c r="L2039" s="8">
        <f t="shared" si="2228"/>
        <v>21</v>
      </c>
      <c r="M2039" s="8">
        <f t="shared" si="2229"/>
        <v>5250</v>
      </c>
    </row>
    <row r="2040" spans="1:13" ht="15.75" customHeight="1" x14ac:dyDescent="0.25">
      <c r="A2040" s="24">
        <v>43180</v>
      </c>
      <c r="B2040" s="9" t="s">
        <v>39</v>
      </c>
      <c r="C2040" s="9">
        <v>5000</v>
      </c>
      <c r="D2040" s="9" t="s">
        <v>10</v>
      </c>
      <c r="E2040" s="19">
        <v>210.7</v>
      </c>
      <c r="F2040" s="19">
        <v>211.2</v>
      </c>
      <c r="G2040" s="9">
        <v>0</v>
      </c>
      <c r="H2040" s="15">
        <v>0</v>
      </c>
      <c r="I2040" s="8">
        <f>(IF(D2040="SELL",E2040-F2040,IF(D2040="BUY",F2040-E2040)))*C2040</f>
        <v>2500</v>
      </c>
      <c r="J2040" s="8">
        <v>0</v>
      </c>
      <c r="K2040" s="2">
        <v>0</v>
      </c>
      <c r="L2040" s="8">
        <f t="shared" si="2228"/>
        <v>0.5</v>
      </c>
      <c r="M2040" s="8">
        <f t="shared" si="2229"/>
        <v>2500</v>
      </c>
    </row>
    <row r="2041" spans="1:13" ht="15.75" customHeight="1" x14ac:dyDescent="0.25">
      <c r="A2041" s="24">
        <v>43179</v>
      </c>
      <c r="B2041" s="9" t="s">
        <v>29</v>
      </c>
      <c r="C2041" s="9">
        <v>1000</v>
      </c>
      <c r="D2041" s="9" t="s">
        <v>11</v>
      </c>
      <c r="E2041" s="19">
        <v>446</v>
      </c>
      <c r="F2041" s="19">
        <v>445</v>
      </c>
      <c r="G2041" s="9">
        <v>0</v>
      </c>
      <c r="H2041" s="15">
        <v>0</v>
      </c>
      <c r="I2041" s="8">
        <f>(IF(D2041="SELL",E2041-F2041,IF(D2041="BUY",F2041-E2041)))*C2041</f>
        <v>1000</v>
      </c>
      <c r="J2041" s="8">
        <v>0</v>
      </c>
      <c r="K2041" s="2">
        <v>0</v>
      </c>
      <c r="L2041" s="8">
        <f t="shared" si="2228"/>
        <v>1</v>
      </c>
      <c r="M2041" s="8">
        <f t="shared" si="2229"/>
        <v>1000</v>
      </c>
    </row>
    <row r="2042" spans="1:13" ht="15.75" customHeight="1" x14ac:dyDescent="0.25">
      <c r="A2042" s="24">
        <v>43178</v>
      </c>
      <c r="B2042" s="9" t="s">
        <v>31</v>
      </c>
      <c r="C2042" s="9">
        <v>250</v>
      </c>
      <c r="D2042" s="9" t="s">
        <v>11</v>
      </c>
      <c r="E2042" s="19">
        <v>876</v>
      </c>
      <c r="F2042" s="19">
        <v>872</v>
      </c>
      <c r="G2042" s="9">
        <v>0</v>
      </c>
      <c r="H2042" s="15">
        <v>0</v>
      </c>
      <c r="I2042" s="8">
        <f>(IF(D2042="SELL",E2042-F2042,IF(D2042="BUY",F2042-E2042)))*C2042</f>
        <v>1000</v>
      </c>
      <c r="J2042" s="8">
        <v>0</v>
      </c>
      <c r="K2042" s="2">
        <v>0</v>
      </c>
      <c r="L2042" s="8">
        <f t="shared" si="2228"/>
        <v>4</v>
      </c>
      <c r="M2042" s="8">
        <f t="shared" si="2229"/>
        <v>1000</v>
      </c>
    </row>
    <row r="2043" spans="1:13" ht="15.75" customHeight="1" x14ac:dyDescent="0.25">
      <c r="A2043" s="24">
        <v>43178</v>
      </c>
      <c r="B2043" s="9" t="s">
        <v>29</v>
      </c>
      <c r="C2043" s="9">
        <v>1000</v>
      </c>
      <c r="D2043" s="9" t="s">
        <v>11</v>
      </c>
      <c r="E2043" s="19">
        <v>445</v>
      </c>
      <c r="F2043" s="19">
        <v>444</v>
      </c>
      <c r="G2043" s="9">
        <v>457</v>
      </c>
      <c r="H2043" s="15">
        <v>0</v>
      </c>
      <c r="I2043" s="8">
        <f>(IF(D2043="SELL",E2043-F2043,IF(D2043="BUY",F2043-E2043)))*C2043</f>
        <v>1000</v>
      </c>
      <c r="J2043" s="8">
        <v>0</v>
      </c>
      <c r="K2043" s="2">
        <v>0</v>
      </c>
      <c r="L2043" s="8">
        <f t="shared" si="2228"/>
        <v>1</v>
      </c>
      <c r="M2043" s="8">
        <f t="shared" si="2229"/>
        <v>1000</v>
      </c>
    </row>
    <row r="2044" spans="1:13" ht="15.75" customHeight="1" x14ac:dyDescent="0.25">
      <c r="A2044" s="24">
        <v>43174</v>
      </c>
      <c r="B2044" s="9" t="s">
        <v>31</v>
      </c>
      <c r="C2044" s="9">
        <v>250</v>
      </c>
      <c r="D2044" s="9" t="s">
        <v>10</v>
      </c>
      <c r="E2044" s="19">
        <v>889</v>
      </c>
      <c r="F2044" s="19">
        <v>0</v>
      </c>
      <c r="G2044" s="9">
        <v>0</v>
      </c>
      <c r="H2044" s="15">
        <v>0</v>
      </c>
      <c r="I2044" s="8">
        <v>0</v>
      </c>
      <c r="J2044" s="8">
        <v>0</v>
      </c>
      <c r="K2044" s="2">
        <v>0</v>
      </c>
      <c r="L2044" s="8">
        <f t="shared" si="2228"/>
        <v>0</v>
      </c>
      <c r="M2044" s="8">
        <f t="shared" si="2229"/>
        <v>0</v>
      </c>
    </row>
    <row r="2045" spans="1:13" ht="15.75" customHeight="1" x14ac:dyDescent="0.25">
      <c r="A2045" s="24">
        <v>43173</v>
      </c>
      <c r="B2045" s="9" t="s">
        <v>31</v>
      </c>
      <c r="C2045" s="9">
        <v>250</v>
      </c>
      <c r="D2045" s="9" t="s">
        <v>10</v>
      </c>
      <c r="E2045" s="19">
        <v>904.3</v>
      </c>
      <c r="F2045" s="19">
        <v>907.3</v>
      </c>
      <c r="G2045" s="9">
        <v>0</v>
      </c>
      <c r="H2045" s="15">
        <v>0</v>
      </c>
      <c r="I2045" s="8">
        <f>(IF(D2045="SELL",E2045-F2045,IF(D2045="BUY",F2045-E2045)))*C2045</f>
        <v>750</v>
      </c>
      <c r="J2045" s="8">
        <v>0</v>
      </c>
      <c r="K2045" s="2">
        <v>0</v>
      </c>
      <c r="L2045" s="8">
        <f t="shared" si="2228"/>
        <v>3</v>
      </c>
      <c r="M2045" s="8">
        <f t="shared" si="2229"/>
        <v>750</v>
      </c>
    </row>
    <row r="2046" spans="1:13" ht="15.75" customHeight="1" x14ac:dyDescent="0.25">
      <c r="A2046" s="24">
        <v>43173</v>
      </c>
      <c r="B2046" s="9" t="s">
        <v>30</v>
      </c>
      <c r="C2046" s="9">
        <v>100</v>
      </c>
      <c r="D2046" s="9" t="s">
        <v>10</v>
      </c>
      <c r="E2046" s="19">
        <v>30500</v>
      </c>
      <c r="F2046" s="19">
        <v>30540</v>
      </c>
      <c r="G2046" s="9">
        <v>0</v>
      </c>
      <c r="H2046" s="15">
        <v>0</v>
      </c>
      <c r="I2046" s="8">
        <f>(IF(D2046="SELL",E2046-F2046,IF(D2046="BUY",F2046-E2046)))*C2046</f>
        <v>4000</v>
      </c>
      <c r="J2046" s="8">
        <v>0</v>
      </c>
      <c r="K2046" s="2">
        <v>0</v>
      </c>
      <c r="L2046" s="8">
        <f t="shared" si="2228"/>
        <v>40</v>
      </c>
      <c r="M2046" s="8">
        <f t="shared" si="2229"/>
        <v>4000</v>
      </c>
    </row>
    <row r="2047" spans="1:13" ht="15.75" customHeight="1" x14ac:dyDescent="0.25">
      <c r="A2047" s="24">
        <v>43173</v>
      </c>
      <c r="B2047" s="9" t="s">
        <v>29</v>
      </c>
      <c r="C2047" s="9">
        <v>1000</v>
      </c>
      <c r="D2047" s="9" t="s">
        <v>10</v>
      </c>
      <c r="E2047" s="19">
        <v>454.1</v>
      </c>
      <c r="F2047" s="19">
        <v>455.1</v>
      </c>
      <c r="G2047" s="9">
        <v>457</v>
      </c>
      <c r="H2047" s="15">
        <v>0</v>
      </c>
      <c r="I2047" s="8">
        <f>(IF(D2047="SELL",E2047-F2047,IF(D2047="BUY",F2047-E2047)))*C2047</f>
        <v>1000</v>
      </c>
      <c r="J2047" s="8">
        <f>(IF(D2047="SELL",IF(G2047="",0,F2047-G2047),IF(D2047="BUY",IF(G2047="",0,G2047-F2047))))*C2047</f>
        <v>1899.9999999999773</v>
      </c>
      <c r="K2047" s="2">
        <v>0</v>
      </c>
      <c r="L2047" s="8">
        <f t="shared" si="2228"/>
        <v>2.8999999999999773</v>
      </c>
      <c r="M2047" s="8">
        <f t="shared" si="2229"/>
        <v>2899.9999999999773</v>
      </c>
    </row>
    <row r="2048" spans="1:13" ht="15.75" customHeight="1" x14ac:dyDescent="0.25">
      <c r="A2048" s="24">
        <v>43173</v>
      </c>
      <c r="B2048" s="9" t="s">
        <v>39</v>
      </c>
      <c r="C2048" s="9">
        <v>5000</v>
      </c>
      <c r="D2048" s="9" t="s">
        <v>11</v>
      </c>
      <c r="E2048" s="19">
        <v>210.8</v>
      </c>
      <c r="F2048" s="19">
        <v>210.3</v>
      </c>
      <c r="G2048" s="9">
        <v>0</v>
      </c>
      <c r="H2048" s="15">
        <v>0</v>
      </c>
      <c r="I2048" s="8">
        <f>(IF(D2048="SELL",E2048-F2048,IF(D2048="BUY",F2048-E2048)))*C2048</f>
        <v>2500</v>
      </c>
      <c r="J2048" s="8">
        <v>0</v>
      </c>
      <c r="K2048" s="2">
        <v>0</v>
      </c>
      <c r="L2048" s="8">
        <f t="shared" si="2228"/>
        <v>0.5</v>
      </c>
      <c r="M2048" s="8">
        <f t="shared" si="2229"/>
        <v>2500</v>
      </c>
    </row>
    <row r="2049" spans="1:13" ht="15.75" customHeight="1" x14ac:dyDescent="0.25">
      <c r="A2049" s="24">
        <v>43172</v>
      </c>
      <c r="B2049" s="9" t="s">
        <v>39</v>
      </c>
      <c r="C2049" s="9">
        <v>5000</v>
      </c>
      <c r="D2049" s="9" t="s">
        <v>11</v>
      </c>
      <c r="E2049" s="19">
        <v>213</v>
      </c>
      <c r="F2049" s="19">
        <v>0</v>
      </c>
      <c r="G2049" s="9">
        <v>0</v>
      </c>
      <c r="H2049" s="15">
        <v>0</v>
      </c>
      <c r="I2049" s="8">
        <v>0</v>
      </c>
      <c r="J2049" s="8">
        <v>0</v>
      </c>
      <c r="K2049" s="2">
        <v>0</v>
      </c>
      <c r="L2049" s="8">
        <f t="shared" si="2228"/>
        <v>0</v>
      </c>
      <c r="M2049" s="8">
        <f t="shared" si="2229"/>
        <v>0</v>
      </c>
    </row>
    <row r="2050" spans="1:13" ht="15.75" customHeight="1" x14ac:dyDescent="0.25">
      <c r="A2050" s="24">
        <v>43171</v>
      </c>
      <c r="B2050" s="9" t="s">
        <v>39</v>
      </c>
      <c r="C2050" s="9">
        <v>5000</v>
      </c>
      <c r="D2050" s="9" t="s">
        <v>11</v>
      </c>
      <c r="E2050" s="19">
        <v>210.8</v>
      </c>
      <c r="F2050" s="19">
        <v>210.3</v>
      </c>
      <c r="G2050" s="9">
        <v>0</v>
      </c>
      <c r="H2050" s="15">
        <v>0</v>
      </c>
      <c r="I2050" s="8">
        <f t="shared" ref="I2050:I2081" si="2234">(IF(D2050="SELL",E2050-F2050,IF(D2050="BUY",F2050-E2050)))*C2050</f>
        <v>2500</v>
      </c>
      <c r="J2050" s="8">
        <v>0</v>
      </c>
      <c r="K2050" s="2">
        <v>0</v>
      </c>
      <c r="L2050" s="8">
        <f t="shared" si="2228"/>
        <v>0.5</v>
      </c>
      <c r="M2050" s="8">
        <f t="shared" si="2229"/>
        <v>2500</v>
      </c>
    </row>
    <row r="2051" spans="1:13" ht="15.75" customHeight="1" x14ac:dyDescent="0.25">
      <c r="A2051" s="24">
        <v>43171</v>
      </c>
      <c r="B2051" s="9" t="s">
        <v>20</v>
      </c>
      <c r="C2051" s="9">
        <v>1250</v>
      </c>
      <c r="D2051" s="9" t="s">
        <v>10</v>
      </c>
      <c r="E2051" s="19">
        <v>181.6</v>
      </c>
      <c r="F2051" s="19">
        <v>182.7</v>
      </c>
      <c r="G2051" s="9">
        <v>0</v>
      </c>
      <c r="H2051" s="15">
        <v>0</v>
      </c>
      <c r="I2051" s="8">
        <f t="shared" si="2234"/>
        <v>1374.999999999993</v>
      </c>
      <c r="J2051" s="8">
        <v>0</v>
      </c>
      <c r="K2051" s="2">
        <v>0</v>
      </c>
      <c r="L2051" s="8">
        <f t="shared" si="2228"/>
        <v>1.0999999999999943</v>
      </c>
      <c r="M2051" s="8">
        <f t="shared" si="2229"/>
        <v>1374.999999999993</v>
      </c>
    </row>
    <row r="2052" spans="1:13" ht="15.75" customHeight="1" x14ac:dyDescent="0.25">
      <c r="A2052" s="24">
        <v>43171</v>
      </c>
      <c r="B2052" s="9" t="s">
        <v>30</v>
      </c>
      <c r="C2052" s="9">
        <v>100</v>
      </c>
      <c r="D2052" s="9" t="s">
        <v>11</v>
      </c>
      <c r="E2052" s="19">
        <v>30315</v>
      </c>
      <c r="F2052" s="19">
        <v>30270</v>
      </c>
      <c r="G2052" s="9">
        <v>0</v>
      </c>
      <c r="H2052" s="15">
        <v>0</v>
      </c>
      <c r="I2052" s="8">
        <f t="shared" si="2234"/>
        <v>4500</v>
      </c>
      <c r="J2052" s="8">
        <v>0</v>
      </c>
      <c r="K2052" s="2">
        <v>0</v>
      </c>
      <c r="L2052" s="8">
        <f t="shared" si="2228"/>
        <v>45</v>
      </c>
      <c r="M2052" s="8">
        <f t="shared" si="2229"/>
        <v>4500</v>
      </c>
    </row>
    <row r="2053" spans="1:13" ht="15.75" customHeight="1" x14ac:dyDescent="0.25">
      <c r="A2053" s="24">
        <v>43168</v>
      </c>
      <c r="B2053" s="9" t="s">
        <v>29</v>
      </c>
      <c r="C2053" s="9">
        <v>1000</v>
      </c>
      <c r="D2053" s="9" t="s">
        <v>10</v>
      </c>
      <c r="E2053" s="19">
        <v>447.8</v>
      </c>
      <c r="F2053" s="19">
        <v>448.8</v>
      </c>
      <c r="G2053" s="9">
        <v>451</v>
      </c>
      <c r="H2053" s="15">
        <v>0</v>
      </c>
      <c r="I2053" s="8">
        <f t="shared" si="2234"/>
        <v>1000</v>
      </c>
      <c r="J2053" s="8">
        <v>0</v>
      </c>
      <c r="K2053" s="2">
        <v>0</v>
      </c>
      <c r="L2053" s="8">
        <f t="shared" ref="L2053:L2096" si="2235">(J2053+I2053+K2053)/C2053</f>
        <v>1</v>
      </c>
      <c r="M2053" s="8">
        <f t="shared" ref="M2053:M2116" si="2236">L2053*C2053</f>
        <v>1000</v>
      </c>
    </row>
    <row r="2054" spans="1:13" ht="15.75" customHeight="1" x14ac:dyDescent="0.25">
      <c r="A2054" s="24">
        <v>43168</v>
      </c>
      <c r="B2054" s="9" t="s">
        <v>39</v>
      </c>
      <c r="C2054" s="9">
        <v>5000</v>
      </c>
      <c r="D2054" s="9" t="s">
        <v>11</v>
      </c>
      <c r="E2054" s="19">
        <v>208.85</v>
      </c>
      <c r="F2054" s="19">
        <v>208.35</v>
      </c>
      <c r="G2054" s="9">
        <v>0</v>
      </c>
      <c r="H2054" s="15">
        <v>0</v>
      </c>
      <c r="I2054" s="8">
        <f t="shared" si="2234"/>
        <v>2500</v>
      </c>
      <c r="J2054" s="8">
        <v>0</v>
      </c>
      <c r="K2054" s="2">
        <v>0</v>
      </c>
      <c r="L2054" s="8">
        <f t="shared" si="2235"/>
        <v>0.5</v>
      </c>
      <c r="M2054" s="8">
        <f t="shared" si="2236"/>
        <v>2500</v>
      </c>
    </row>
    <row r="2055" spans="1:13" ht="15.75" customHeight="1" x14ac:dyDescent="0.25">
      <c r="A2055" s="24">
        <v>43167</v>
      </c>
      <c r="B2055" s="9" t="s">
        <v>39</v>
      </c>
      <c r="C2055" s="9">
        <v>5000</v>
      </c>
      <c r="D2055" s="9" t="s">
        <v>11</v>
      </c>
      <c r="E2055" s="19">
        <v>212.1</v>
      </c>
      <c r="F2055" s="19">
        <v>211.6</v>
      </c>
      <c r="G2055" s="9">
        <v>210.8</v>
      </c>
      <c r="H2055" s="15">
        <v>0</v>
      </c>
      <c r="I2055" s="8">
        <f t="shared" si="2234"/>
        <v>2500</v>
      </c>
      <c r="J2055" s="8">
        <f>(IF(D2055="SELL",IF(G2055="",0,F2055-G2055),IF(D2055="BUY",IF(G2055="",0,G2055-F2055))))*C2055</f>
        <v>3999.9999999999145</v>
      </c>
      <c r="K2055" s="2">
        <v>0</v>
      </c>
      <c r="L2055" s="8">
        <f t="shared" si="2235"/>
        <v>1.2999999999999829</v>
      </c>
      <c r="M2055" s="8">
        <f t="shared" si="2236"/>
        <v>6499.9999999999145</v>
      </c>
    </row>
    <row r="2056" spans="1:13" ht="15.75" customHeight="1" x14ac:dyDescent="0.25">
      <c r="A2056" s="24">
        <v>43167</v>
      </c>
      <c r="B2056" s="9" t="s">
        <v>31</v>
      </c>
      <c r="C2056" s="9">
        <v>250</v>
      </c>
      <c r="D2056" s="9" t="s">
        <v>11</v>
      </c>
      <c r="E2056" s="19">
        <v>872.5</v>
      </c>
      <c r="F2056" s="19">
        <v>868</v>
      </c>
      <c r="G2056" s="9">
        <v>862</v>
      </c>
      <c r="H2056" s="15">
        <v>0</v>
      </c>
      <c r="I2056" s="8">
        <f t="shared" si="2234"/>
        <v>1125</v>
      </c>
      <c r="J2056" s="8">
        <f>(IF(D2056="SELL",IF(G2056="",0,F2056-G2056),IF(D2056="BUY",IF(G2056="",0,G2056-F2056))))*C2056</f>
        <v>1500</v>
      </c>
      <c r="K2056" s="2">
        <v>0</v>
      </c>
      <c r="L2056" s="8">
        <f t="shared" si="2235"/>
        <v>10.5</v>
      </c>
      <c r="M2056" s="8">
        <f t="shared" si="2236"/>
        <v>2625</v>
      </c>
    </row>
    <row r="2057" spans="1:13" ht="15.75" customHeight="1" x14ac:dyDescent="0.25">
      <c r="A2057" s="24">
        <v>43167</v>
      </c>
      <c r="B2057" s="9" t="s">
        <v>29</v>
      </c>
      <c r="C2057" s="9">
        <v>1000</v>
      </c>
      <c r="D2057" s="9" t="s">
        <v>11</v>
      </c>
      <c r="E2057" s="19">
        <v>451</v>
      </c>
      <c r="F2057" s="19">
        <v>450</v>
      </c>
      <c r="G2057" s="9">
        <v>448</v>
      </c>
      <c r="H2057" s="15">
        <v>0</v>
      </c>
      <c r="I2057" s="8">
        <f t="shared" si="2234"/>
        <v>1000</v>
      </c>
      <c r="J2057" s="8">
        <f>(IF(D2057="SELL",IF(G2057="",0,F2057-G2057),IF(D2057="BUY",IF(G2057="",0,G2057-F2057))))*C2057</f>
        <v>2000</v>
      </c>
      <c r="K2057" s="2">
        <v>0</v>
      </c>
      <c r="L2057" s="8">
        <f t="shared" si="2235"/>
        <v>3</v>
      </c>
      <c r="M2057" s="8">
        <f t="shared" si="2236"/>
        <v>3000</v>
      </c>
    </row>
    <row r="2058" spans="1:13" ht="15.75" customHeight="1" x14ac:dyDescent="0.25">
      <c r="A2058" s="24">
        <v>43166</v>
      </c>
      <c r="B2058" s="9" t="s">
        <v>39</v>
      </c>
      <c r="C2058" s="9">
        <v>5000</v>
      </c>
      <c r="D2058" s="9" t="s">
        <v>11</v>
      </c>
      <c r="E2058" s="19">
        <v>214.7</v>
      </c>
      <c r="F2058" s="19">
        <v>214.2</v>
      </c>
      <c r="G2058" s="9">
        <v>0</v>
      </c>
      <c r="H2058" s="15">
        <v>0</v>
      </c>
      <c r="I2058" s="8">
        <f t="shared" si="2234"/>
        <v>2500</v>
      </c>
      <c r="J2058" s="8">
        <v>0</v>
      </c>
      <c r="K2058" s="2">
        <v>0</v>
      </c>
      <c r="L2058" s="8">
        <f t="shared" si="2235"/>
        <v>0.5</v>
      </c>
      <c r="M2058" s="8">
        <f t="shared" si="2236"/>
        <v>2500</v>
      </c>
    </row>
    <row r="2059" spans="1:13" ht="15.75" customHeight="1" x14ac:dyDescent="0.25">
      <c r="A2059" s="24">
        <v>43166</v>
      </c>
      <c r="B2059" s="9" t="s">
        <v>31</v>
      </c>
      <c r="C2059" s="9">
        <v>250</v>
      </c>
      <c r="D2059" s="9" t="s">
        <v>11</v>
      </c>
      <c r="E2059" s="19">
        <v>881</v>
      </c>
      <c r="F2059" s="19">
        <v>877</v>
      </c>
      <c r="G2059" s="9">
        <v>871</v>
      </c>
      <c r="H2059" s="15">
        <v>0</v>
      </c>
      <c r="I2059" s="8">
        <f t="shared" si="2234"/>
        <v>1000</v>
      </c>
      <c r="J2059" s="8">
        <f>(IF(D2059="SELL",IF(G2059="",0,F2059-G2059),IF(D2059="BUY",IF(G2059="",0,G2059-F2059))))*C2059</f>
        <v>1500</v>
      </c>
      <c r="K2059" s="2">
        <v>0</v>
      </c>
      <c r="L2059" s="8">
        <f t="shared" si="2235"/>
        <v>10</v>
      </c>
      <c r="M2059" s="8">
        <f t="shared" si="2236"/>
        <v>2500</v>
      </c>
    </row>
    <row r="2060" spans="1:13" ht="15.75" customHeight="1" x14ac:dyDescent="0.25">
      <c r="A2060" s="24">
        <v>43165</v>
      </c>
      <c r="B2060" s="9" t="s">
        <v>29</v>
      </c>
      <c r="C2060" s="9">
        <v>1000</v>
      </c>
      <c r="D2060" s="9" t="s">
        <v>10</v>
      </c>
      <c r="E2060" s="19">
        <v>453</v>
      </c>
      <c r="F2060" s="19">
        <v>454.4</v>
      </c>
      <c r="G2060" s="9">
        <v>456</v>
      </c>
      <c r="H2060" s="15">
        <v>0</v>
      </c>
      <c r="I2060" s="8">
        <f t="shared" si="2234"/>
        <v>1399.9999999999773</v>
      </c>
      <c r="J2060" s="8">
        <f>(IF(D2060="SELL",IF(G2060="",0,F2060-G2060),IF(D2060="BUY",IF(G2060="",0,G2060-F2060))))*C2060</f>
        <v>1600.0000000000227</v>
      </c>
      <c r="K2060" s="2">
        <v>0</v>
      </c>
      <c r="L2060" s="8">
        <f t="shared" si="2235"/>
        <v>3</v>
      </c>
      <c r="M2060" s="8">
        <f t="shared" si="2236"/>
        <v>3000</v>
      </c>
    </row>
    <row r="2061" spans="1:13" ht="15.75" customHeight="1" x14ac:dyDescent="0.25">
      <c r="A2061" s="24">
        <v>43165</v>
      </c>
      <c r="B2061" s="9" t="s">
        <v>31</v>
      </c>
      <c r="C2061" s="9">
        <v>250</v>
      </c>
      <c r="D2061" s="9" t="s">
        <v>10</v>
      </c>
      <c r="E2061" s="19">
        <v>873</v>
      </c>
      <c r="F2061" s="19">
        <v>877</v>
      </c>
      <c r="G2061" s="9">
        <v>884</v>
      </c>
      <c r="H2061" s="15">
        <v>0</v>
      </c>
      <c r="I2061" s="8">
        <f t="shared" si="2234"/>
        <v>1000</v>
      </c>
      <c r="J2061" s="8">
        <f>(IF(D2061="SELL",IF(G2061="",0,F2061-G2061),IF(D2061="BUY",IF(G2061="",0,G2061-F2061))))*C2061</f>
        <v>1750</v>
      </c>
      <c r="K2061" s="2">
        <v>0</v>
      </c>
      <c r="L2061" s="8">
        <f t="shared" si="2235"/>
        <v>11</v>
      </c>
      <c r="M2061" s="8">
        <f t="shared" si="2236"/>
        <v>2750</v>
      </c>
    </row>
    <row r="2062" spans="1:13" ht="15.75" customHeight="1" x14ac:dyDescent="0.25">
      <c r="A2062" s="24">
        <v>43164</v>
      </c>
      <c r="B2062" s="9" t="s">
        <v>39</v>
      </c>
      <c r="C2062" s="9">
        <v>5000</v>
      </c>
      <c r="D2062" s="9" t="s">
        <v>10</v>
      </c>
      <c r="E2062" s="19">
        <v>220.05</v>
      </c>
      <c r="F2062" s="19">
        <v>219</v>
      </c>
      <c r="G2062" s="9">
        <v>0</v>
      </c>
      <c r="H2062" s="15">
        <v>0</v>
      </c>
      <c r="I2062" s="8">
        <f t="shared" si="2234"/>
        <v>-5250.0000000000564</v>
      </c>
      <c r="J2062" s="8">
        <v>0</v>
      </c>
      <c r="K2062" s="2">
        <f>(IF(D2062="SELL",IF(H2062="",0,G2062-H2062),IF(D2062="BUY",IF(H2062="",0,(H2062-G2062)))))*C2062</f>
        <v>0</v>
      </c>
      <c r="L2062" s="8">
        <f t="shared" si="2235"/>
        <v>-1.0500000000000114</v>
      </c>
      <c r="M2062" s="8">
        <f t="shared" si="2236"/>
        <v>-5250.0000000000564</v>
      </c>
    </row>
    <row r="2063" spans="1:13" ht="15.75" customHeight="1" x14ac:dyDescent="0.25">
      <c r="A2063" s="24">
        <v>43160</v>
      </c>
      <c r="B2063" s="9" t="s">
        <v>38</v>
      </c>
      <c r="C2063" s="9">
        <v>100</v>
      </c>
      <c r="D2063" s="9" t="s">
        <v>11</v>
      </c>
      <c r="E2063" s="19">
        <v>4032</v>
      </c>
      <c r="F2063" s="19">
        <v>4013</v>
      </c>
      <c r="G2063" s="9">
        <v>3990</v>
      </c>
      <c r="H2063" s="15">
        <v>3950</v>
      </c>
      <c r="I2063" s="8">
        <f t="shared" si="2234"/>
        <v>1900</v>
      </c>
      <c r="J2063" s="8">
        <f>(IF(D2063="SELL",IF(G2063="",0,F2063-G2063),IF(D2063="BUY",IF(G2063="",0,G2063-F2063))))*C2063</f>
        <v>2300</v>
      </c>
      <c r="K2063" s="2">
        <f>(IF(D2063="SELL",IF(H2063="",0,G2063-H2063),IF(D2063="BUY",IF(H2063="",0,(H2063-G2063)))))*C2063</f>
        <v>4000</v>
      </c>
      <c r="L2063" s="8">
        <f t="shared" si="2235"/>
        <v>82</v>
      </c>
      <c r="M2063" s="8">
        <f t="shared" si="2236"/>
        <v>8200</v>
      </c>
    </row>
    <row r="2064" spans="1:13" ht="15.75" customHeight="1" x14ac:dyDescent="0.25">
      <c r="A2064" s="24">
        <v>43160</v>
      </c>
      <c r="B2064" s="9" t="s">
        <v>29</v>
      </c>
      <c r="C2064" s="9">
        <v>1000</v>
      </c>
      <c r="D2064" s="9" t="s">
        <v>11</v>
      </c>
      <c r="E2064" s="19">
        <v>451.2</v>
      </c>
      <c r="F2064" s="19">
        <v>450.2</v>
      </c>
      <c r="G2064" s="9">
        <v>0</v>
      </c>
      <c r="H2064" s="15">
        <v>0</v>
      </c>
      <c r="I2064" s="8">
        <f t="shared" si="2234"/>
        <v>1000</v>
      </c>
      <c r="J2064" s="8">
        <v>0</v>
      </c>
      <c r="K2064" s="2">
        <v>0</v>
      </c>
      <c r="L2064" s="8">
        <f t="shared" si="2235"/>
        <v>1</v>
      </c>
      <c r="M2064" s="8">
        <f t="shared" si="2236"/>
        <v>1000</v>
      </c>
    </row>
    <row r="2065" spans="1:13" ht="15.75" customHeight="1" x14ac:dyDescent="0.25">
      <c r="A2065" s="24">
        <v>43160</v>
      </c>
      <c r="B2065" s="9" t="s">
        <v>31</v>
      </c>
      <c r="C2065" s="9">
        <v>250</v>
      </c>
      <c r="D2065" s="9" t="s">
        <v>11</v>
      </c>
      <c r="E2065" s="19">
        <v>890</v>
      </c>
      <c r="F2065" s="19">
        <v>886</v>
      </c>
      <c r="G2065" s="9">
        <v>880</v>
      </c>
      <c r="H2065" s="15">
        <v>870</v>
      </c>
      <c r="I2065" s="8">
        <f t="shared" si="2234"/>
        <v>1000</v>
      </c>
      <c r="J2065" s="8">
        <f>(IF(D2065="SELL",IF(G2065="",0,F2065-G2065),IF(D2065="BUY",IF(G2065="",0,G2065-F2065))))*C2065</f>
        <v>1500</v>
      </c>
      <c r="K2065" s="2">
        <f>(IF(D2065="SELL",IF(H2065="",0,G2065-H2065),IF(D2065="BUY",IF(H2065="",0,(H2065-G2065)))))*C2065</f>
        <v>2500</v>
      </c>
      <c r="L2065" s="8">
        <f t="shared" si="2235"/>
        <v>20</v>
      </c>
      <c r="M2065" s="8">
        <f t="shared" si="2236"/>
        <v>5000</v>
      </c>
    </row>
    <row r="2066" spans="1:13" ht="15.75" customHeight="1" x14ac:dyDescent="0.25">
      <c r="A2066" s="24">
        <v>43160</v>
      </c>
      <c r="B2066" s="9" t="s">
        <v>17</v>
      </c>
      <c r="C2066" s="9">
        <v>5000</v>
      </c>
      <c r="D2066" s="9" t="s">
        <v>11</v>
      </c>
      <c r="E2066" s="19">
        <v>225.9</v>
      </c>
      <c r="F2066" s="19">
        <v>225.4</v>
      </c>
      <c r="G2066" s="9">
        <v>224.8</v>
      </c>
      <c r="H2066" s="15">
        <v>223.5</v>
      </c>
      <c r="I2066" s="8">
        <f t="shared" si="2234"/>
        <v>2500</v>
      </c>
      <c r="J2066" s="8">
        <f>(IF(D2066="SELL",IF(G2066="",0,F2066-G2066),IF(D2066="BUY",IF(G2066="",0,G2066-F2066))))*C2066</f>
        <v>2999.9999999999718</v>
      </c>
      <c r="K2066" s="2">
        <f>(IF(D2066="SELL",IF(H2066="",0,G2066-H2066),IF(D2066="BUY",IF(H2066="",0,(H2066-G2066)))))*C2066</f>
        <v>6500.0000000000564</v>
      </c>
      <c r="L2066" s="8">
        <f t="shared" si="2235"/>
        <v>2.4000000000000057</v>
      </c>
      <c r="M2066" s="8">
        <f t="shared" si="2236"/>
        <v>12000.000000000029</v>
      </c>
    </row>
    <row r="2067" spans="1:13" ht="15.75" customHeight="1" x14ac:dyDescent="0.25">
      <c r="A2067" s="24">
        <v>43160</v>
      </c>
      <c r="B2067" s="9" t="s">
        <v>35</v>
      </c>
      <c r="C2067" s="9">
        <v>5000</v>
      </c>
      <c r="D2067" s="9" t="s">
        <v>11</v>
      </c>
      <c r="E2067" s="19">
        <v>162.5</v>
      </c>
      <c r="F2067" s="19">
        <v>162</v>
      </c>
      <c r="G2067" s="9">
        <v>161</v>
      </c>
      <c r="H2067" s="15">
        <v>0</v>
      </c>
      <c r="I2067" s="8">
        <f t="shared" si="2234"/>
        <v>2500</v>
      </c>
      <c r="J2067" s="8">
        <f>(IF(D2067="SELL",IF(G2067="",0,F2067-G2067),IF(D2067="BUY",IF(G2067="",0,G2067-F2067))))*C2067</f>
        <v>5000</v>
      </c>
      <c r="K2067" s="2">
        <v>0</v>
      </c>
      <c r="L2067" s="8">
        <f t="shared" si="2235"/>
        <v>1.5</v>
      </c>
      <c r="M2067" s="8">
        <f t="shared" si="2236"/>
        <v>7500</v>
      </c>
    </row>
    <row r="2068" spans="1:13" ht="15.75" customHeight="1" x14ac:dyDescent="0.25">
      <c r="A2068" s="24">
        <v>43158</v>
      </c>
      <c r="B2068" s="9" t="s">
        <v>30</v>
      </c>
      <c r="C2068" s="9">
        <v>100</v>
      </c>
      <c r="D2068" s="9" t="s">
        <v>10</v>
      </c>
      <c r="E2068" s="19">
        <v>30560</v>
      </c>
      <c r="F2068" s="19">
        <v>30600</v>
      </c>
      <c r="G2068" s="9">
        <v>0</v>
      </c>
      <c r="H2068" s="15">
        <v>0</v>
      </c>
      <c r="I2068" s="8">
        <f t="shared" si="2234"/>
        <v>4000</v>
      </c>
      <c r="J2068" s="8">
        <v>0</v>
      </c>
      <c r="K2068" s="2">
        <v>0</v>
      </c>
      <c r="L2068" s="8">
        <f t="shared" si="2235"/>
        <v>40</v>
      </c>
      <c r="M2068" s="8">
        <f t="shared" si="2236"/>
        <v>4000</v>
      </c>
    </row>
    <row r="2069" spans="1:13" ht="15.75" customHeight="1" x14ac:dyDescent="0.25">
      <c r="A2069" s="24">
        <v>43158</v>
      </c>
      <c r="B2069" s="9" t="s">
        <v>39</v>
      </c>
      <c r="C2069" s="9">
        <v>5000</v>
      </c>
      <c r="D2069" s="9" t="s">
        <v>10</v>
      </c>
      <c r="E2069" s="19">
        <v>231.05</v>
      </c>
      <c r="F2069" s="19">
        <v>231.55</v>
      </c>
      <c r="G2069" s="9">
        <v>0</v>
      </c>
      <c r="H2069" s="15">
        <v>0</v>
      </c>
      <c r="I2069" s="8">
        <f t="shared" si="2234"/>
        <v>2500</v>
      </c>
      <c r="J2069" s="8">
        <v>0</v>
      </c>
      <c r="K2069" s="2">
        <v>0</v>
      </c>
      <c r="L2069" s="8">
        <f t="shared" si="2235"/>
        <v>0.5</v>
      </c>
      <c r="M2069" s="8">
        <f t="shared" si="2236"/>
        <v>2500</v>
      </c>
    </row>
    <row r="2070" spans="1:13" ht="15.75" customHeight="1" x14ac:dyDescent="0.25">
      <c r="A2070" s="24">
        <v>43157</v>
      </c>
      <c r="B2070" s="9" t="s">
        <v>30</v>
      </c>
      <c r="C2070" s="9">
        <v>100</v>
      </c>
      <c r="D2070" s="9" t="s">
        <v>10</v>
      </c>
      <c r="E2070" s="19">
        <v>30560</v>
      </c>
      <c r="F2070" s="19">
        <v>30600</v>
      </c>
      <c r="G2070" s="9">
        <v>0</v>
      </c>
      <c r="H2070" s="15">
        <v>0</v>
      </c>
      <c r="I2070" s="8">
        <f t="shared" si="2234"/>
        <v>4000</v>
      </c>
      <c r="J2070" s="8">
        <v>0</v>
      </c>
      <c r="K2070" s="2">
        <v>0</v>
      </c>
      <c r="L2070" s="8">
        <f t="shared" si="2235"/>
        <v>40</v>
      </c>
      <c r="M2070" s="8">
        <f t="shared" si="2236"/>
        <v>4000</v>
      </c>
    </row>
    <row r="2071" spans="1:13" ht="15.75" customHeight="1" x14ac:dyDescent="0.25">
      <c r="A2071" s="24">
        <v>43154</v>
      </c>
      <c r="B2071" s="9" t="s">
        <v>35</v>
      </c>
      <c r="C2071" s="9">
        <v>5000</v>
      </c>
      <c r="D2071" s="9" t="s">
        <v>11</v>
      </c>
      <c r="E2071" s="19">
        <v>164.5</v>
      </c>
      <c r="F2071" s="19">
        <v>164</v>
      </c>
      <c r="G2071" s="9">
        <v>0</v>
      </c>
      <c r="H2071" s="15">
        <v>0</v>
      </c>
      <c r="I2071" s="8">
        <f t="shared" si="2234"/>
        <v>2500</v>
      </c>
      <c r="J2071" s="8">
        <v>0</v>
      </c>
      <c r="K2071" s="2">
        <v>0</v>
      </c>
      <c r="L2071" s="8">
        <f t="shared" si="2235"/>
        <v>0.5</v>
      </c>
      <c r="M2071" s="8">
        <f t="shared" si="2236"/>
        <v>2500</v>
      </c>
    </row>
    <row r="2072" spans="1:13" ht="15.75" customHeight="1" x14ac:dyDescent="0.25">
      <c r="A2072" s="24">
        <v>43153</v>
      </c>
      <c r="B2072" s="9" t="s">
        <v>39</v>
      </c>
      <c r="C2072" s="9">
        <v>5000</v>
      </c>
      <c r="D2072" s="9" t="s">
        <v>11</v>
      </c>
      <c r="E2072" s="19">
        <v>226.9</v>
      </c>
      <c r="F2072" s="19">
        <v>226.4</v>
      </c>
      <c r="G2072" s="9">
        <v>0</v>
      </c>
      <c r="H2072" s="15">
        <v>0</v>
      </c>
      <c r="I2072" s="8">
        <f t="shared" si="2234"/>
        <v>2500</v>
      </c>
      <c r="J2072" s="8">
        <v>0</v>
      </c>
      <c r="K2072" s="2">
        <v>0</v>
      </c>
      <c r="L2072" s="8">
        <f t="shared" si="2235"/>
        <v>0.5</v>
      </c>
      <c r="M2072" s="8">
        <f t="shared" si="2236"/>
        <v>2500</v>
      </c>
    </row>
    <row r="2073" spans="1:13" ht="15.75" customHeight="1" x14ac:dyDescent="0.25">
      <c r="A2073" s="24">
        <v>43153</v>
      </c>
      <c r="B2073" s="9" t="s">
        <v>31</v>
      </c>
      <c r="C2073" s="9">
        <v>250</v>
      </c>
      <c r="D2073" s="9" t="s">
        <v>11</v>
      </c>
      <c r="E2073" s="19">
        <v>878.5</v>
      </c>
      <c r="F2073" s="19">
        <v>874</v>
      </c>
      <c r="G2073" s="9">
        <v>0</v>
      </c>
      <c r="H2073" s="15">
        <v>0</v>
      </c>
      <c r="I2073" s="8">
        <f t="shared" si="2234"/>
        <v>1125</v>
      </c>
      <c r="J2073" s="8">
        <v>0</v>
      </c>
      <c r="K2073" s="2">
        <v>0</v>
      </c>
      <c r="L2073" s="8">
        <f t="shared" si="2235"/>
        <v>4.5</v>
      </c>
      <c r="M2073" s="8">
        <f t="shared" si="2236"/>
        <v>1125</v>
      </c>
    </row>
    <row r="2074" spans="1:13" ht="15.75" customHeight="1" x14ac:dyDescent="0.25">
      <c r="A2074" s="24">
        <v>43153</v>
      </c>
      <c r="B2074" s="9" t="s">
        <v>29</v>
      </c>
      <c r="C2074" s="9">
        <v>1000</v>
      </c>
      <c r="D2074" s="9" t="s">
        <v>11</v>
      </c>
      <c r="E2074" s="19">
        <v>455.4</v>
      </c>
      <c r="F2074" s="19">
        <v>454.4</v>
      </c>
      <c r="G2074" s="9">
        <v>0</v>
      </c>
      <c r="H2074" s="15">
        <v>0</v>
      </c>
      <c r="I2074" s="8">
        <f t="shared" si="2234"/>
        <v>1000</v>
      </c>
      <c r="J2074" s="8">
        <v>0</v>
      </c>
      <c r="K2074" s="2">
        <v>0</v>
      </c>
      <c r="L2074" s="8">
        <f t="shared" si="2235"/>
        <v>1</v>
      </c>
      <c r="M2074" s="8">
        <f t="shared" si="2236"/>
        <v>1000</v>
      </c>
    </row>
    <row r="2075" spans="1:13" ht="15.75" customHeight="1" x14ac:dyDescent="0.25">
      <c r="A2075" s="24">
        <v>43151</v>
      </c>
      <c r="B2075" s="9" t="s">
        <v>20</v>
      </c>
      <c r="C2075" s="9">
        <v>1250</v>
      </c>
      <c r="D2075" s="9" t="s">
        <v>10</v>
      </c>
      <c r="E2075" s="19">
        <v>168.3</v>
      </c>
      <c r="F2075" s="19">
        <v>169.3</v>
      </c>
      <c r="G2075" s="9">
        <v>0</v>
      </c>
      <c r="H2075" s="15">
        <v>0</v>
      </c>
      <c r="I2075" s="8">
        <f t="shared" si="2234"/>
        <v>1250</v>
      </c>
      <c r="J2075" s="8">
        <v>0</v>
      </c>
      <c r="K2075" s="2">
        <v>0</v>
      </c>
      <c r="L2075" s="8">
        <f t="shared" si="2235"/>
        <v>1</v>
      </c>
      <c r="M2075" s="8">
        <f t="shared" si="2236"/>
        <v>1250</v>
      </c>
    </row>
    <row r="2076" spans="1:13" ht="15.75" customHeight="1" x14ac:dyDescent="0.25">
      <c r="A2076" s="24">
        <v>43150</v>
      </c>
      <c r="B2076" s="9" t="s">
        <v>20</v>
      </c>
      <c r="C2076" s="9">
        <v>1250</v>
      </c>
      <c r="D2076" s="9" t="s">
        <v>10</v>
      </c>
      <c r="E2076" s="19">
        <v>168.9</v>
      </c>
      <c r="F2076" s="19">
        <v>168.9</v>
      </c>
      <c r="G2076" s="9">
        <v>0</v>
      </c>
      <c r="H2076" s="15">
        <v>0</v>
      </c>
      <c r="I2076" s="8">
        <f t="shared" si="2234"/>
        <v>0</v>
      </c>
      <c r="J2076" s="8">
        <v>0</v>
      </c>
      <c r="K2076" s="2">
        <v>0</v>
      </c>
      <c r="L2076" s="8">
        <f t="shared" si="2235"/>
        <v>0</v>
      </c>
      <c r="M2076" s="8">
        <f t="shared" si="2236"/>
        <v>0</v>
      </c>
    </row>
    <row r="2077" spans="1:13" ht="15.75" customHeight="1" x14ac:dyDescent="0.25">
      <c r="A2077" s="24">
        <v>43147</v>
      </c>
      <c r="B2077" s="9" t="s">
        <v>30</v>
      </c>
      <c r="C2077" s="9">
        <v>100</v>
      </c>
      <c r="D2077" s="9" t="s">
        <v>10</v>
      </c>
      <c r="E2077" s="19">
        <v>30690</v>
      </c>
      <c r="F2077" s="19">
        <v>30730</v>
      </c>
      <c r="G2077" s="9">
        <v>30790</v>
      </c>
      <c r="H2077" s="15">
        <v>0</v>
      </c>
      <c r="I2077" s="8">
        <f t="shared" si="2234"/>
        <v>4000</v>
      </c>
      <c r="J2077" s="8">
        <f>(IF(D2077="SELL",IF(G2077="",0,F2077-G2077),IF(D2077="BUY",IF(G2077="",0,G2077-F2077))))*C2077</f>
        <v>6000</v>
      </c>
      <c r="K2077" s="2">
        <v>0</v>
      </c>
      <c r="L2077" s="8">
        <f t="shared" si="2235"/>
        <v>100</v>
      </c>
      <c r="M2077" s="8">
        <f t="shared" si="2236"/>
        <v>10000</v>
      </c>
    </row>
    <row r="2078" spans="1:13" ht="15.75" customHeight="1" x14ac:dyDescent="0.25">
      <c r="A2078" s="24">
        <v>43147</v>
      </c>
      <c r="B2078" s="9" t="s">
        <v>29</v>
      </c>
      <c r="C2078" s="9">
        <v>1000</v>
      </c>
      <c r="D2078" s="9" t="s">
        <v>10</v>
      </c>
      <c r="E2078" s="19">
        <v>461.2</v>
      </c>
      <c r="F2078" s="19">
        <v>462.5</v>
      </c>
      <c r="G2078" s="9">
        <v>0</v>
      </c>
      <c r="H2078" s="15">
        <v>0</v>
      </c>
      <c r="I2078" s="8">
        <f t="shared" si="2234"/>
        <v>1300.0000000000114</v>
      </c>
      <c r="J2078" s="8">
        <v>0</v>
      </c>
      <c r="K2078" s="2">
        <v>0</v>
      </c>
      <c r="L2078" s="8">
        <f t="shared" si="2235"/>
        <v>1.3000000000000114</v>
      </c>
      <c r="M2078" s="8">
        <f t="shared" si="2236"/>
        <v>1300.0000000000114</v>
      </c>
    </row>
    <row r="2079" spans="1:13" ht="15.75" customHeight="1" x14ac:dyDescent="0.25">
      <c r="A2079" s="24">
        <v>43146</v>
      </c>
      <c r="B2079" s="9" t="s">
        <v>16</v>
      </c>
      <c r="C2079" s="9">
        <v>100</v>
      </c>
      <c r="D2079" s="9" t="s">
        <v>10</v>
      </c>
      <c r="E2079" s="19">
        <v>3910</v>
      </c>
      <c r="F2079" s="19">
        <v>3930</v>
      </c>
      <c r="G2079" s="9">
        <v>0</v>
      </c>
      <c r="H2079" s="15">
        <v>0</v>
      </c>
      <c r="I2079" s="8">
        <f t="shared" si="2234"/>
        <v>2000</v>
      </c>
      <c r="J2079" s="8">
        <v>0</v>
      </c>
      <c r="K2079" s="2">
        <v>0</v>
      </c>
      <c r="L2079" s="8">
        <f t="shared" si="2235"/>
        <v>20</v>
      </c>
      <c r="M2079" s="8">
        <f t="shared" si="2236"/>
        <v>2000</v>
      </c>
    </row>
    <row r="2080" spans="1:13" ht="15.75" customHeight="1" x14ac:dyDescent="0.25">
      <c r="A2080" s="24">
        <v>43146</v>
      </c>
      <c r="B2080" s="9" t="s">
        <v>39</v>
      </c>
      <c r="C2080" s="9">
        <v>5000</v>
      </c>
      <c r="D2080" s="9" t="s">
        <v>10</v>
      </c>
      <c r="E2080" s="19">
        <v>230.1</v>
      </c>
      <c r="F2080" s="19">
        <v>230.6</v>
      </c>
      <c r="G2080" s="9">
        <v>0</v>
      </c>
      <c r="H2080" s="15">
        <v>0</v>
      </c>
      <c r="I2080" s="8">
        <f t="shared" si="2234"/>
        <v>2500</v>
      </c>
      <c r="J2080" s="8">
        <v>0</v>
      </c>
      <c r="K2080" s="2">
        <v>0</v>
      </c>
      <c r="L2080" s="8">
        <f t="shared" si="2235"/>
        <v>0.5</v>
      </c>
      <c r="M2080" s="8">
        <f t="shared" si="2236"/>
        <v>2500</v>
      </c>
    </row>
    <row r="2081" spans="1:13" ht="15.75" customHeight="1" x14ac:dyDescent="0.25">
      <c r="A2081" s="24">
        <v>43146</v>
      </c>
      <c r="B2081" s="9" t="s">
        <v>29</v>
      </c>
      <c r="C2081" s="9">
        <v>1000</v>
      </c>
      <c r="D2081" s="9" t="s">
        <v>10</v>
      </c>
      <c r="E2081" s="19">
        <v>457.6</v>
      </c>
      <c r="F2081" s="19">
        <v>458.6</v>
      </c>
      <c r="G2081" s="9">
        <v>0</v>
      </c>
      <c r="H2081" s="15">
        <v>0</v>
      </c>
      <c r="I2081" s="8">
        <f t="shared" si="2234"/>
        <v>1000</v>
      </c>
      <c r="J2081" s="8">
        <v>0</v>
      </c>
      <c r="K2081" s="2">
        <v>0</v>
      </c>
      <c r="L2081" s="8">
        <f t="shared" si="2235"/>
        <v>1</v>
      </c>
      <c r="M2081" s="8">
        <f t="shared" si="2236"/>
        <v>1000</v>
      </c>
    </row>
    <row r="2082" spans="1:13" ht="15.75" customHeight="1" x14ac:dyDescent="0.25">
      <c r="A2082" s="24">
        <v>43146</v>
      </c>
      <c r="B2082" s="9" t="s">
        <v>47</v>
      </c>
      <c r="C2082" s="9">
        <v>1250</v>
      </c>
      <c r="D2082" s="9" t="s">
        <v>11</v>
      </c>
      <c r="E2082" s="19">
        <v>166</v>
      </c>
      <c r="F2082" s="19">
        <v>165</v>
      </c>
      <c r="G2082" s="9">
        <v>163</v>
      </c>
      <c r="H2082" s="15">
        <v>0</v>
      </c>
      <c r="I2082" s="8">
        <f t="shared" ref="I2082:I2113" si="2237">(IF(D2082="SELL",E2082-F2082,IF(D2082="BUY",F2082-E2082)))*C2082</f>
        <v>1250</v>
      </c>
      <c r="J2082" s="8">
        <f>(IF(D2082="SELL",IF(G2082="",0,F2082-G2082),IF(D2082="BUY",IF(G2082="",0,G2082-F2082))))*C2082</f>
        <v>2500</v>
      </c>
      <c r="K2082" s="2">
        <v>0</v>
      </c>
      <c r="L2082" s="8">
        <f t="shared" si="2235"/>
        <v>3</v>
      </c>
      <c r="M2082" s="8">
        <f t="shared" si="2236"/>
        <v>3750</v>
      </c>
    </row>
    <row r="2083" spans="1:13" ht="15.75" customHeight="1" x14ac:dyDescent="0.25">
      <c r="A2083" s="24">
        <v>43145</v>
      </c>
      <c r="B2083" s="9" t="s">
        <v>30</v>
      </c>
      <c r="C2083" s="9">
        <v>100</v>
      </c>
      <c r="D2083" s="9" t="s">
        <v>10</v>
      </c>
      <c r="E2083" s="19">
        <v>30300</v>
      </c>
      <c r="F2083" s="19">
        <v>30190</v>
      </c>
      <c r="G2083" s="9">
        <v>0</v>
      </c>
      <c r="H2083" s="15">
        <v>0</v>
      </c>
      <c r="I2083" s="8">
        <f t="shared" si="2237"/>
        <v>-11000</v>
      </c>
      <c r="J2083" s="8">
        <v>0</v>
      </c>
      <c r="K2083" s="2">
        <v>0</v>
      </c>
      <c r="L2083" s="8">
        <f t="shared" si="2235"/>
        <v>-110</v>
      </c>
      <c r="M2083" s="8">
        <f t="shared" si="2236"/>
        <v>-11000</v>
      </c>
    </row>
    <row r="2084" spans="1:13" ht="15.75" customHeight="1" x14ac:dyDescent="0.25">
      <c r="A2084" s="24">
        <v>43145</v>
      </c>
      <c r="B2084" s="9" t="s">
        <v>39</v>
      </c>
      <c r="C2084" s="9">
        <v>5000</v>
      </c>
      <c r="D2084" s="9" t="s">
        <v>10</v>
      </c>
      <c r="E2084" s="19">
        <v>224.7</v>
      </c>
      <c r="F2084" s="19">
        <v>225.2</v>
      </c>
      <c r="G2084" s="9">
        <v>226</v>
      </c>
      <c r="H2084" s="15">
        <v>0</v>
      </c>
      <c r="I2084" s="8">
        <f t="shared" si="2237"/>
        <v>2500</v>
      </c>
      <c r="J2084" s="8">
        <f>(IF(D2084="SELL",IF(G2084="",0,F2084-G2084),IF(D2084="BUY",IF(G2084="",0,G2084-F2084))))*C2084</f>
        <v>4000.0000000000568</v>
      </c>
      <c r="K2084" s="2">
        <v>0</v>
      </c>
      <c r="L2084" s="8">
        <f t="shared" si="2235"/>
        <v>1.3000000000000114</v>
      </c>
      <c r="M2084" s="8">
        <f t="shared" si="2236"/>
        <v>6500.0000000000564</v>
      </c>
    </row>
    <row r="2085" spans="1:13" ht="15.75" customHeight="1" x14ac:dyDescent="0.25">
      <c r="A2085" s="24">
        <v>43145</v>
      </c>
      <c r="B2085" s="9" t="s">
        <v>47</v>
      </c>
      <c r="C2085" s="9">
        <v>1250</v>
      </c>
      <c r="D2085" s="9" t="s">
        <v>11</v>
      </c>
      <c r="E2085" s="19">
        <v>166.5</v>
      </c>
      <c r="F2085" s="19">
        <v>165.5</v>
      </c>
      <c r="G2085" s="9">
        <v>0</v>
      </c>
      <c r="H2085" s="15">
        <v>0</v>
      </c>
      <c r="I2085" s="8">
        <f t="shared" si="2237"/>
        <v>1250</v>
      </c>
      <c r="J2085" s="8">
        <v>0</v>
      </c>
      <c r="K2085" s="2">
        <v>0</v>
      </c>
      <c r="L2085" s="8">
        <f t="shared" si="2235"/>
        <v>1</v>
      </c>
      <c r="M2085" s="8">
        <f t="shared" si="2236"/>
        <v>1250</v>
      </c>
    </row>
    <row r="2086" spans="1:13" ht="15.75" customHeight="1" x14ac:dyDescent="0.25">
      <c r="A2086" s="24">
        <v>43145</v>
      </c>
      <c r="B2086" s="9" t="s">
        <v>31</v>
      </c>
      <c r="C2086" s="9">
        <v>250</v>
      </c>
      <c r="D2086" s="9" t="s">
        <v>10</v>
      </c>
      <c r="E2086" s="19">
        <v>866</v>
      </c>
      <c r="F2086" s="19">
        <v>870</v>
      </c>
      <c r="G2086" s="9">
        <v>877</v>
      </c>
      <c r="H2086" s="15">
        <v>0</v>
      </c>
      <c r="I2086" s="8">
        <f t="shared" si="2237"/>
        <v>1000</v>
      </c>
      <c r="J2086" s="8">
        <v>1750</v>
      </c>
      <c r="K2086" s="2">
        <v>0</v>
      </c>
      <c r="L2086" s="8">
        <f t="shared" si="2235"/>
        <v>11</v>
      </c>
      <c r="M2086" s="8">
        <f t="shared" si="2236"/>
        <v>2750</v>
      </c>
    </row>
    <row r="2087" spans="1:13" ht="15.75" customHeight="1" x14ac:dyDescent="0.25">
      <c r="A2087" s="24">
        <v>43143</v>
      </c>
      <c r="B2087" s="9" t="s">
        <v>40</v>
      </c>
      <c r="C2087" s="9">
        <v>30</v>
      </c>
      <c r="D2087" s="9" t="s">
        <v>10</v>
      </c>
      <c r="E2087" s="19">
        <v>37990</v>
      </c>
      <c r="F2087" s="19">
        <v>38100</v>
      </c>
      <c r="G2087" s="9">
        <v>0</v>
      </c>
      <c r="H2087" s="15">
        <v>0</v>
      </c>
      <c r="I2087" s="8">
        <f t="shared" si="2237"/>
        <v>3300</v>
      </c>
      <c r="J2087" s="8">
        <v>0</v>
      </c>
      <c r="K2087" s="2">
        <v>0</v>
      </c>
      <c r="L2087" s="8">
        <f t="shared" si="2235"/>
        <v>110</v>
      </c>
      <c r="M2087" s="8">
        <f t="shared" si="2236"/>
        <v>3300</v>
      </c>
    </row>
    <row r="2088" spans="1:13" ht="15.75" customHeight="1" x14ac:dyDescent="0.25">
      <c r="A2088" s="24">
        <v>43143</v>
      </c>
      <c r="B2088" s="9" t="s">
        <v>29</v>
      </c>
      <c r="C2088" s="9">
        <v>1000</v>
      </c>
      <c r="D2088" s="9" t="s">
        <v>10</v>
      </c>
      <c r="E2088" s="19">
        <v>438.8</v>
      </c>
      <c r="F2088" s="19">
        <v>439.8</v>
      </c>
      <c r="G2088" s="9">
        <v>0</v>
      </c>
      <c r="H2088" s="15">
        <v>0</v>
      </c>
      <c r="I2088" s="8">
        <f t="shared" si="2237"/>
        <v>1000</v>
      </c>
      <c r="J2088" s="8">
        <v>0</v>
      </c>
      <c r="K2088" s="2">
        <v>0</v>
      </c>
      <c r="L2088" s="8">
        <f t="shared" si="2235"/>
        <v>1</v>
      </c>
      <c r="M2088" s="8">
        <f t="shared" si="2236"/>
        <v>1000</v>
      </c>
    </row>
    <row r="2089" spans="1:13" ht="15.75" customHeight="1" x14ac:dyDescent="0.25">
      <c r="A2089" s="24">
        <v>43140</v>
      </c>
      <c r="B2089" s="9" t="s">
        <v>17</v>
      </c>
      <c r="C2089" s="9">
        <v>5000</v>
      </c>
      <c r="D2089" s="9" t="s">
        <v>11</v>
      </c>
      <c r="E2089" s="19">
        <v>220</v>
      </c>
      <c r="F2089" s="19">
        <v>219.5</v>
      </c>
      <c r="G2089" s="9">
        <v>218.7</v>
      </c>
      <c r="H2089" s="15">
        <v>0</v>
      </c>
      <c r="I2089" s="8">
        <f t="shared" si="2237"/>
        <v>2500</v>
      </c>
      <c r="J2089" s="8">
        <f>(IF(D2089="SELL",IF(G2089="",0,F2089-G2089),IF(D2089="BUY",IF(G2089="",0,G2089-F2089))))*C2089</f>
        <v>4000.0000000000568</v>
      </c>
      <c r="K2089" s="2">
        <v>0</v>
      </c>
      <c r="L2089" s="8">
        <f t="shared" si="2235"/>
        <v>1.3000000000000114</v>
      </c>
      <c r="M2089" s="8">
        <f t="shared" si="2236"/>
        <v>6500.0000000000564</v>
      </c>
    </row>
    <row r="2090" spans="1:13" ht="15.75" customHeight="1" x14ac:dyDescent="0.25">
      <c r="A2090" s="24">
        <v>43140</v>
      </c>
      <c r="B2090" s="9" t="s">
        <v>21</v>
      </c>
      <c r="C2090" s="9">
        <v>250</v>
      </c>
      <c r="D2090" s="9" t="s">
        <v>11</v>
      </c>
      <c r="E2090" s="19">
        <v>832</v>
      </c>
      <c r="F2090" s="19">
        <v>828</v>
      </c>
      <c r="G2090" s="9">
        <v>0</v>
      </c>
      <c r="H2090" s="15">
        <v>0</v>
      </c>
      <c r="I2090" s="8">
        <f t="shared" si="2237"/>
        <v>1000</v>
      </c>
      <c r="J2090" s="8">
        <v>0</v>
      </c>
      <c r="K2090" s="2">
        <v>0</v>
      </c>
      <c r="L2090" s="8">
        <f t="shared" si="2235"/>
        <v>4</v>
      </c>
      <c r="M2090" s="8">
        <f t="shared" si="2236"/>
        <v>1000</v>
      </c>
    </row>
    <row r="2091" spans="1:13" ht="15.75" customHeight="1" x14ac:dyDescent="0.25">
      <c r="A2091" s="24">
        <v>43140</v>
      </c>
      <c r="B2091" s="9" t="s">
        <v>18</v>
      </c>
      <c r="C2091" s="9">
        <v>1000</v>
      </c>
      <c r="D2091" s="9" t="s">
        <v>11</v>
      </c>
      <c r="E2091" s="19">
        <v>436</v>
      </c>
      <c r="F2091" s="19">
        <v>435</v>
      </c>
      <c r="G2091" s="9">
        <v>0</v>
      </c>
      <c r="H2091" s="15">
        <v>0</v>
      </c>
      <c r="I2091" s="8">
        <f t="shared" si="2237"/>
        <v>1000</v>
      </c>
      <c r="J2091" s="8">
        <v>0</v>
      </c>
      <c r="K2091" s="2">
        <v>0</v>
      </c>
      <c r="L2091" s="8">
        <f t="shared" si="2235"/>
        <v>1</v>
      </c>
      <c r="M2091" s="8">
        <f t="shared" si="2236"/>
        <v>1000</v>
      </c>
    </row>
    <row r="2092" spans="1:13" ht="15.75" customHeight="1" x14ac:dyDescent="0.25">
      <c r="A2092" s="24">
        <v>43140</v>
      </c>
      <c r="B2092" s="9" t="s">
        <v>47</v>
      </c>
      <c r="C2092" s="9">
        <v>1250</v>
      </c>
      <c r="D2092" s="9" t="s">
        <v>11</v>
      </c>
      <c r="E2092" s="19">
        <v>173</v>
      </c>
      <c r="F2092" s="19">
        <v>172</v>
      </c>
      <c r="G2092" s="9">
        <v>170</v>
      </c>
      <c r="H2092" s="15">
        <v>0</v>
      </c>
      <c r="I2092" s="8">
        <f t="shared" si="2237"/>
        <v>1250</v>
      </c>
      <c r="J2092" s="8">
        <f>(IF(D2092="SELL",IF(G2092="",0,F2092-G2092),IF(D2092="BUY",IF(G2092="",0,G2092-F2092))))*C2092</f>
        <v>2500</v>
      </c>
      <c r="K2092" s="2">
        <v>0</v>
      </c>
      <c r="L2092" s="8">
        <f t="shared" si="2235"/>
        <v>3</v>
      </c>
      <c r="M2092" s="8">
        <f t="shared" si="2236"/>
        <v>3750</v>
      </c>
    </row>
    <row r="2093" spans="1:13" ht="15.75" customHeight="1" x14ac:dyDescent="0.25">
      <c r="A2093" s="24">
        <v>43139</v>
      </c>
      <c r="B2093" s="9" t="s">
        <v>30</v>
      </c>
      <c r="C2093" s="9">
        <v>100</v>
      </c>
      <c r="D2093" s="9" t="s">
        <v>11</v>
      </c>
      <c r="E2093" s="19">
        <v>29890</v>
      </c>
      <c r="F2093" s="19">
        <v>29845</v>
      </c>
      <c r="G2093" s="9">
        <v>0</v>
      </c>
      <c r="H2093" s="15">
        <v>0</v>
      </c>
      <c r="I2093" s="8">
        <f t="shared" si="2237"/>
        <v>4500</v>
      </c>
      <c r="J2093" s="8">
        <v>0</v>
      </c>
      <c r="K2093" s="2">
        <v>0</v>
      </c>
      <c r="L2093" s="8">
        <f t="shared" si="2235"/>
        <v>45</v>
      </c>
      <c r="M2093" s="8">
        <f t="shared" si="2236"/>
        <v>4500</v>
      </c>
    </row>
    <row r="2094" spans="1:13" ht="16.5" customHeight="1" x14ac:dyDescent="0.25">
      <c r="A2094" s="24">
        <v>43139</v>
      </c>
      <c r="B2094" s="9" t="s">
        <v>29</v>
      </c>
      <c r="C2094" s="9">
        <v>1000</v>
      </c>
      <c r="D2094" s="9" t="s">
        <v>11</v>
      </c>
      <c r="E2094" s="19">
        <v>438.6</v>
      </c>
      <c r="F2094" s="19">
        <v>437.6</v>
      </c>
      <c r="G2094" s="9">
        <v>0</v>
      </c>
      <c r="H2094" s="15">
        <v>0</v>
      </c>
      <c r="I2094" s="8">
        <f t="shared" si="2237"/>
        <v>1000</v>
      </c>
      <c r="J2094" s="8">
        <v>0</v>
      </c>
      <c r="K2094" s="2">
        <v>0</v>
      </c>
      <c r="L2094" s="8">
        <f t="shared" si="2235"/>
        <v>1</v>
      </c>
      <c r="M2094" s="8">
        <f t="shared" si="2236"/>
        <v>1000</v>
      </c>
    </row>
    <row r="2095" spans="1:13" ht="16.5" customHeight="1" x14ac:dyDescent="0.25">
      <c r="A2095" s="24">
        <v>43139</v>
      </c>
      <c r="B2095" s="9" t="s">
        <v>31</v>
      </c>
      <c r="C2095" s="9">
        <v>250</v>
      </c>
      <c r="D2095" s="9" t="s">
        <v>10</v>
      </c>
      <c r="E2095" s="19">
        <v>840</v>
      </c>
      <c r="F2095" s="19">
        <v>845</v>
      </c>
      <c r="G2095" s="9">
        <v>0</v>
      </c>
      <c r="H2095" s="15">
        <v>0</v>
      </c>
      <c r="I2095" s="8">
        <f t="shared" si="2237"/>
        <v>1250</v>
      </c>
      <c r="J2095" s="8">
        <v>0</v>
      </c>
      <c r="K2095" s="2">
        <v>0</v>
      </c>
      <c r="L2095" s="8">
        <f t="shared" si="2235"/>
        <v>5</v>
      </c>
      <c r="M2095" s="8">
        <f t="shared" si="2236"/>
        <v>1250</v>
      </c>
    </row>
    <row r="2096" spans="1:13" ht="16.5" customHeight="1" x14ac:dyDescent="0.25">
      <c r="A2096" s="24">
        <v>43138</v>
      </c>
      <c r="B2096" s="9" t="s">
        <v>29</v>
      </c>
      <c r="C2096" s="9">
        <v>1000</v>
      </c>
      <c r="D2096" s="9" t="s">
        <v>10</v>
      </c>
      <c r="E2096" s="19">
        <v>456.3</v>
      </c>
      <c r="F2096" s="19">
        <v>453</v>
      </c>
      <c r="G2096" s="9">
        <v>0</v>
      </c>
      <c r="H2096" s="15">
        <v>0</v>
      </c>
      <c r="I2096" s="8">
        <f t="shared" si="2237"/>
        <v>-3300.0000000000114</v>
      </c>
      <c r="J2096" s="8">
        <v>0</v>
      </c>
      <c r="K2096" s="2">
        <v>0</v>
      </c>
      <c r="L2096" s="8">
        <f t="shared" si="2235"/>
        <v>-3.3000000000000114</v>
      </c>
      <c r="M2096" s="8">
        <f t="shared" si="2236"/>
        <v>-3300.0000000000114</v>
      </c>
    </row>
    <row r="2097" spans="1:13" ht="16.5" customHeight="1" x14ac:dyDescent="0.25">
      <c r="A2097" s="24">
        <v>43138</v>
      </c>
      <c r="B2097" s="9" t="s">
        <v>40</v>
      </c>
      <c r="C2097" s="9">
        <v>30</v>
      </c>
      <c r="D2097" s="9" t="s">
        <v>11</v>
      </c>
      <c r="E2097" s="19">
        <v>38290</v>
      </c>
      <c r="F2097" s="19">
        <v>38190</v>
      </c>
      <c r="G2097" s="9">
        <v>0</v>
      </c>
      <c r="H2097" s="15">
        <v>0</v>
      </c>
      <c r="I2097" s="8">
        <f t="shared" si="2237"/>
        <v>3000</v>
      </c>
      <c r="J2097" s="8">
        <v>0</v>
      </c>
      <c r="K2097" s="2">
        <v>0</v>
      </c>
      <c r="L2097" s="8">
        <v>100</v>
      </c>
      <c r="M2097" s="8">
        <f t="shared" si="2236"/>
        <v>3000</v>
      </c>
    </row>
    <row r="2098" spans="1:13" ht="16.5" customHeight="1" x14ac:dyDescent="0.25">
      <c r="A2098" s="24">
        <v>43106</v>
      </c>
      <c r="B2098" s="9" t="s">
        <v>29</v>
      </c>
      <c r="C2098" s="9">
        <v>1000</v>
      </c>
      <c r="D2098" s="9" t="s">
        <v>10</v>
      </c>
      <c r="E2098" s="19">
        <v>458</v>
      </c>
      <c r="F2098" s="19">
        <v>459</v>
      </c>
      <c r="G2098" s="9">
        <v>0</v>
      </c>
      <c r="H2098" s="15">
        <v>0</v>
      </c>
      <c r="I2098" s="8">
        <f t="shared" si="2237"/>
        <v>1000</v>
      </c>
      <c r="J2098" s="8">
        <v>0</v>
      </c>
      <c r="K2098" s="2">
        <v>0</v>
      </c>
      <c r="L2098" s="8">
        <f t="shared" ref="L2098:L2161" si="2238">(J2098+I2098+K2098)/C2098</f>
        <v>1</v>
      </c>
      <c r="M2098" s="8">
        <f t="shared" si="2236"/>
        <v>1000</v>
      </c>
    </row>
    <row r="2099" spans="1:13" ht="16.5" customHeight="1" x14ac:dyDescent="0.25">
      <c r="A2099" s="24">
        <v>43106</v>
      </c>
      <c r="B2099" s="9" t="s">
        <v>16</v>
      </c>
      <c r="C2099" s="9">
        <v>100</v>
      </c>
      <c r="D2099" s="9" t="s">
        <v>10</v>
      </c>
      <c r="E2099" s="19">
        <v>4120</v>
      </c>
      <c r="F2099" s="19">
        <v>4138</v>
      </c>
      <c r="G2099" s="9">
        <v>0</v>
      </c>
      <c r="H2099" s="15">
        <v>0</v>
      </c>
      <c r="I2099" s="8">
        <f t="shared" si="2237"/>
        <v>1800</v>
      </c>
      <c r="J2099" s="8">
        <v>0</v>
      </c>
      <c r="K2099" s="2">
        <v>0</v>
      </c>
      <c r="L2099" s="8">
        <f t="shared" si="2238"/>
        <v>18</v>
      </c>
      <c r="M2099" s="8">
        <f t="shared" si="2236"/>
        <v>1800</v>
      </c>
    </row>
    <row r="2100" spans="1:13" ht="16.5" customHeight="1" x14ac:dyDescent="0.25">
      <c r="A2100" s="24">
        <v>43106</v>
      </c>
      <c r="B2100" s="9" t="s">
        <v>47</v>
      </c>
      <c r="C2100" s="9">
        <v>1250</v>
      </c>
      <c r="D2100" s="9" t="s">
        <v>11</v>
      </c>
      <c r="E2100" s="19">
        <v>177.2</v>
      </c>
      <c r="F2100" s="19">
        <v>176.2</v>
      </c>
      <c r="G2100" s="9">
        <v>0</v>
      </c>
      <c r="H2100" s="15">
        <v>0</v>
      </c>
      <c r="I2100" s="8">
        <f t="shared" si="2237"/>
        <v>1250</v>
      </c>
      <c r="J2100" s="8">
        <v>0</v>
      </c>
      <c r="K2100" s="2">
        <v>0</v>
      </c>
      <c r="L2100" s="8">
        <f t="shared" si="2238"/>
        <v>1</v>
      </c>
      <c r="M2100" s="8">
        <f t="shared" si="2236"/>
        <v>1250</v>
      </c>
    </row>
    <row r="2101" spans="1:13" ht="16.5" customHeight="1" x14ac:dyDescent="0.25">
      <c r="A2101" s="24">
        <v>43106</v>
      </c>
      <c r="B2101" s="9" t="s">
        <v>21</v>
      </c>
      <c r="C2101" s="9">
        <v>250</v>
      </c>
      <c r="D2101" s="9" t="s">
        <v>11</v>
      </c>
      <c r="E2101" s="19">
        <v>859.5</v>
      </c>
      <c r="F2101" s="19">
        <v>855</v>
      </c>
      <c r="G2101" s="9">
        <v>0</v>
      </c>
      <c r="H2101" s="15">
        <v>0</v>
      </c>
      <c r="I2101" s="8">
        <f t="shared" si="2237"/>
        <v>1125</v>
      </c>
      <c r="J2101" s="8">
        <v>0</v>
      </c>
      <c r="K2101" s="2">
        <v>0</v>
      </c>
      <c r="L2101" s="8">
        <f t="shared" si="2238"/>
        <v>4.5</v>
      </c>
      <c r="M2101" s="8">
        <f t="shared" si="2236"/>
        <v>1125</v>
      </c>
    </row>
    <row r="2102" spans="1:13" ht="16.5" customHeight="1" x14ac:dyDescent="0.25">
      <c r="A2102" s="24">
        <v>43106</v>
      </c>
      <c r="B2102" s="9" t="s">
        <v>15</v>
      </c>
      <c r="C2102" s="9">
        <v>5000</v>
      </c>
      <c r="D2102" s="9" t="s">
        <v>11</v>
      </c>
      <c r="E2102" s="19">
        <v>168.5</v>
      </c>
      <c r="F2102" s="19">
        <v>168</v>
      </c>
      <c r="G2102" s="9">
        <v>0</v>
      </c>
      <c r="H2102" s="15">
        <v>0</v>
      </c>
      <c r="I2102" s="8">
        <f t="shared" si="2237"/>
        <v>2500</v>
      </c>
      <c r="J2102" s="8">
        <v>0</v>
      </c>
      <c r="K2102" s="2">
        <v>0</v>
      </c>
      <c r="L2102" s="8">
        <f t="shared" si="2238"/>
        <v>0.5</v>
      </c>
      <c r="M2102" s="8">
        <f t="shared" si="2236"/>
        <v>2500</v>
      </c>
    </row>
    <row r="2103" spans="1:13" ht="16.5" customHeight="1" x14ac:dyDescent="0.25">
      <c r="A2103" s="24">
        <v>43106</v>
      </c>
      <c r="B2103" s="9" t="s">
        <v>17</v>
      </c>
      <c r="C2103" s="9">
        <v>5000</v>
      </c>
      <c r="D2103" s="9" t="s">
        <v>11</v>
      </c>
      <c r="E2103" s="19">
        <v>225.7</v>
      </c>
      <c r="F2103" s="19">
        <v>225.2</v>
      </c>
      <c r="G2103" s="9">
        <v>224.4</v>
      </c>
      <c r="H2103" s="15">
        <v>0</v>
      </c>
      <c r="I2103" s="8">
        <f t="shared" si="2237"/>
        <v>2500</v>
      </c>
      <c r="J2103" s="8">
        <f>(IF(D2103="SELL",IF(G2103="",0,F2103-G2103),J24IF(D2103="BUY",IF(G2103="",0,G2103-F2103))))*C2103</f>
        <v>3999.9999999999145</v>
      </c>
      <c r="K2103" s="2">
        <v>0</v>
      </c>
      <c r="L2103" s="8">
        <f t="shared" si="2238"/>
        <v>1.2999999999999829</v>
      </c>
      <c r="M2103" s="8">
        <f t="shared" si="2236"/>
        <v>6499.9999999999145</v>
      </c>
    </row>
    <row r="2104" spans="1:13" ht="16.5" customHeight="1" x14ac:dyDescent="0.25">
      <c r="A2104" s="24">
        <v>43105</v>
      </c>
      <c r="B2104" s="9" t="s">
        <v>29</v>
      </c>
      <c r="C2104" s="9">
        <v>1000</v>
      </c>
      <c r="D2104" s="9" t="s">
        <v>10</v>
      </c>
      <c r="E2104" s="19">
        <v>458</v>
      </c>
      <c r="F2104" s="19">
        <v>459</v>
      </c>
      <c r="G2104" s="9">
        <v>0</v>
      </c>
      <c r="H2104" s="15">
        <v>0</v>
      </c>
      <c r="I2104" s="8">
        <f t="shared" si="2237"/>
        <v>1000</v>
      </c>
      <c r="J2104" s="8">
        <v>0</v>
      </c>
      <c r="K2104" s="2">
        <v>0</v>
      </c>
      <c r="L2104" s="8">
        <f t="shared" si="2238"/>
        <v>1</v>
      </c>
      <c r="M2104" s="8">
        <f t="shared" si="2236"/>
        <v>1000</v>
      </c>
    </row>
    <row r="2105" spans="1:13" ht="16.5" customHeight="1" x14ac:dyDescent="0.25">
      <c r="A2105" s="24">
        <v>43105</v>
      </c>
      <c r="B2105" s="9" t="s">
        <v>31</v>
      </c>
      <c r="C2105" s="9">
        <v>250</v>
      </c>
      <c r="D2105" s="9" t="s">
        <v>10</v>
      </c>
      <c r="E2105" s="19">
        <v>870</v>
      </c>
      <c r="F2105" s="19">
        <v>874</v>
      </c>
      <c r="G2105" s="9">
        <v>880</v>
      </c>
      <c r="H2105" s="15">
        <v>0</v>
      </c>
      <c r="I2105" s="8">
        <f t="shared" si="2237"/>
        <v>1000</v>
      </c>
      <c r="J2105" s="8">
        <f>(IF(D2105="SELL",IF(G2105="",0,F2105-G2105),IF(D2105="BUY",IF(G2105="",0,G2105-F2105))))*C2105</f>
        <v>1500</v>
      </c>
      <c r="K2105" s="2">
        <v>0</v>
      </c>
      <c r="L2105" s="8">
        <f t="shared" si="2238"/>
        <v>10</v>
      </c>
      <c r="M2105" s="8">
        <f t="shared" si="2236"/>
        <v>2500</v>
      </c>
    </row>
    <row r="2106" spans="1:13" ht="16.5" customHeight="1" x14ac:dyDescent="0.25">
      <c r="A2106" s="24">
        <v>43102</v>
      </c>
      <c r="B2106" s="9" t="s">
        <v>14</v>
      </c>
      <c r="C2106" s="9">
        <v>30</v>
      </c>
      <c r="D2106" s="9" t="s">
        <v>10</v>
      </c>
      <c r="E2106" s="19">
        <v>39520</v>
      </c>
      <c r="F2106" s="19">
        <v>39600</v>
      </c>
      <c r="G2106" s="9">
        <v>0</v>
      </c>
      <c r="H2106" s="15">
        <v>0</v>
      </c>
      <c r="I2106" s="8">
        <f t="shared" si="2237"/>
        <v>2400</v>
      </c>
      <c r="J2106" s="8">
        <v>0</v>
      </c>
      <c r="K2106" s="2">
        <v>0</v>
      </c>
      <c r="L2106" s="8">
        <f t="shared" si="2238"/>
        <v>80</v>
      </c>
      <c r="M2106" s="8">
        <f t="shared" si="2236"/>
        <v>2400</v>
      </c>
    </row>
    <row r="2107" spans="1:13" ht="16.5" customHeight="1" x14ac:dyDescent="0.25">
      <c r="A2107" s="24">
        <v>43102</v>
      </c>
      <c r="B2107" s="9" t="s">
        <v>45</v>
      </c>
      <c r="C2107" s="9">
        <v>1250</v>
      </c>
      <c r="D2107" s="9" t="s">
        <v>10</v>
      </c>
      <c r="E2107" s="19">
        <v>186.4</v>
      </c>
      <c r="F2107" s="19">
        <v>187.4</v>
      </c>
      <c r="G2107" s="9">
        <v>0</v>
      </c>
      <c r="H2107" s="15">
        <v>0</v>
      </c>
      <c r="I2107" s="8">
        <f t="shared" si="2237"/>
        <v>1250</v>
      </c>
      <c r="J2107" s="8">
        <v>0</v>
      </c>
      <c r="K2107" s="2">
        <v>0</v>
      </c>
      <c r="L2107" s="8">
        <f t="shared" si="2238"/>
        <v>1</v>
      </c>
      <c r="M2107" s="8">
        <f t="shared" si="2236"/>
        <v>1250</v>
      </c>
    </row>
    <row r="2108" spans="1:13" ht="16.5" customHeight="1" x14ac:dyDescent="0.25">
      <c r="A2108" s="24">
        <v>43132</v>
      </c>
      <c r="B2108" s="9" t="s">
        <v>30</v>
      </c>
      <c r="C2108" s="9">
        <v>100</v>
      </c>
      <c r="D2108" s="9" t="s">
        <v>10</v>
      </c>
      <c r="E2108" s="19">
        <v>30240</v>
      </c>
      <c r="F2108" s="19">
        <v>30280</v>
      </c>
      <c r="G2108" s="9">
        <v>30350</v>
      </c>
      <c r="H2108" s="15">
        <v>30440</v>
      </c>
      <c r="I2108" s="8">
        <f t="shared" si="2237"/>
        <v>4000</v>
      </c>
      <c r="J2108" s="8">
        <f t="shared" ref="J2108:J2113" si="2239">(IF(D2108="SELL",IF(G2108="",0,F2108-G2108),IF(D2108="BUY",IF(G2108="",0,G2108-F2108))))*C2108</f>
        <v>7000</v>
      </c>
      <c r="K2108" s="2">
        <f>(IF(D2108="SELL",IF(H2108="",0,G2108-H2108),IF(D2108="BUY",IF(H2108="",0,(H2108-G2108)))))*C2108</f>
        <v>9000</v>
      </c>
      <c r="L2108" s="8">
        <f t="shared" si="2238"/>
        <v>200</v>
      </c>
      <c r="M2108" s="8">
        <f t="shared" si="2236"/>
        <v>20000</v>
      </c>
    </row>
    <row r="2109" spans="1:13" ht="16.5" customHeight="1" x14ac:dyDescent="0.25">
      <c r="A2109" s="24">
        <v>43132</v>
      </c>
      <c r="B2109" s="9" t="s">
        <v>45</v>
      </c>
      <c r="C2109" s="9">
        <v>1250</v>
      </c>
      <c r="D2109" s="9" t="s">
        <v>11</v>
      </c>
      <c r="E2109" s="19">
        <v>189.6</v>
      </c>
      <c r="F2109" s="19">
        <v>188.6</v>
      </c>
      <c r="G2109" s="9">
        <v>186.4</v>
      </c>
      <c r="H2109" s="15">
        <v>184</v>
      </c>
      <c r="I2109" s="8">
        <f t="shared" si="2237"/>
        <v>1250</v>
      </c>
      <c r="J2109" s="8">
        <f t="shared" si="2239"/>
        <v>2749.9999999999859</v>
      </c>
      <c r="K2109" s="2">
        <f>(IF(D2109="SELL",IF(H2109="",0,G2109-H2109),IF(D2109="BUY",IF(H2109="",0,(H2109-G2109)))))*C2109</f>
        <v>3000.0000000000073</v>
      </c>
      <c r="L2109" s="8">
        <f t="shared" si="2238"/>
        <v>5.5999999999999943</v>
      </c>
      <c r="M2109" s="8">
        <f t="shared" si="2236"/>
        <v>6999.9999999999927</v>
      </c>
    </row>
    <row r="2110" spans="1:13" ht="16.5" customHeight="1" x14ac:dyDescent="0.25">
      <c r="A2110" s="24">
        <v>43132</v>
      </c>
      <c r="B2110" s="9" t="s">
        <v>35</v>
      </c>
      <c r="C2110" s="9">
        <v>5000</v>
      </c>
      <c r="D2110" s="9" t="s">
        <v>10</v>
      </c>
      <c r="E2110" s="19">
        <v>167.8</v>
      </c>
      <c r="F2110" s="19">
        <v>168.4</v>
      </c>
      <c r="G2110" s="9">
        <v>169.2</v>
      </c>
      <c r="H2110" s="15">
        <v>0</v>
      </c>
      <c r="I2110" s="8">
        <f t="shared" si="2237"/>
        <v>2999.9999999999718</v>
      </c>
      <c r="J2110" s="8">
        <f t="shared" si="2239"/>
        <v>3999.9999999999145</v>
      </c>
      <c r="K2110" s="2">
        <v>0</v>
      </c>
      <c r="L2110" s="8">
        <f t="shared" si="2238"/>
        <v>1.3999999999999773</v>
      </c>
      <c r="M2110" s="8">
        <f t="shared" si="2236"/>
        <v>6999.9999999998863</v>
      </c>
    </row>
    <row r="2111" spans="1:13" ht="16.5" customHeight="1" x14ac:dyDescent="0.25">
      <c r="A2111" s="24">
        <v>43131</v>
      </c>
      <c r="B2111" s="9" t="s">
        <v>46</v>
      </c>
      <c r="C2111" s="9">
        <v>1250</v>
      </c>
      <c r="D2111" s="9" t="s">
        <v>11</v>
      </c>
      <c r="E2111" s="19">
        <v>203</v>
      </c>
      <c r="F2111" s="19">
        <v>202</v>
      </c>
      <c r="G2111" s="9">
        <v>200</v>
      </c>
      <c r="H2111" s="15">
        <v>198</v>
      </c>
      <c r="I2111" s="8">
        <f t="shared" si="2237"/>
        <v>1250</v>
      </c>
      <c r="J2111" s="8">
        <f t="shared" si="2239"/>
        <v>2500</v>
      </c>
      <c r="K2111" s="2">
        <f>(IF(D2111="SELL",IF(H2111="",0,G2111-H2111),IF(D2111="BUY",IF(H2111="",0,(H2111-G2111)))))*C2111</f>
        <v>2500</v>
      </c>
      <c r="L2111" s="8">
        <f t="shared" si="2238"/>
        <v>5</v>
      </c>
      <c r="M2111" s="8">
        <f t="shared" si="2236"/>
        <v>6250</v>
      </c>
    </row>
    <row r="2112" spans="1:13" ht="16.5" customHeight="1" x14ac:dyDescent="0.25">
      <c r="A2112" s="24">
        <v>43130</v>
      </c>
      <c r="B2112" s="9" t="s">
        <v>50</v>
      </c>
      <c r="C2112" s="9">
        <v>1250</v>
      </c>
      <c r="D2112" s="9" t="s">
        <v>10</v>
      </c>
      <c r="E2112" s="19">
        <v>206</v>
      </c>
      <c r="F2112" s="19">
        <v>207</v>
      </c>
      <c r="G2112" s="9">
        <v>0</v>
      </c>
      <c r="H2112" s="15">
        <v>0</v>
      </c>
      <c r="I2112" s="8">
        <f t="shared" si="2237"/>
        <v>1250</v>
      </c>
      <c r="J2112" s="8">
        <v>0</v>
      </c>
      <c r="K2112" s="2">
        <v>0</v>
      </c>
      <c r="L2112" s="8">
        <f t="shared" si="2238"/>
        <v>1</v>
      </c>
      <c r="M2112" s="8">
        <f t="shared" si="2236"/>
        <v>1250</v>
      </c>
    </row>
    <row r="2113" spans="1:13" ht="16.5" customHeight="1" x14ac:dyDescent="0.25">
      <c r="A2113" s="24">
        <v>43130</v>
      </c>
      <c r="B2113" s="9" t="s">
        <v>31</v>
      </c>
      <c r="C2113" s="9">
        <v>250</v>
      </c>
      <c r="D2113" s="9" t="s">
        <v>11</v>
      </c>
      <c r="E2113" s="19">
        <v>869.5</v>
      </c>
      <c r="F2113" s="19">
        <v>865</v>
      </c>
      <c r="G2113" s="9">
        <v>859</v>
      </c>
      <c r="H2113" s="15">
        <v>0</v>
      </c>
      <c r="I2113" s="8">
        <f t="shared" si="2237"/>
        <v>1125</v>
      </c>
      <c r="J2113" s="8">
        <f t="shared" si="2239"/>
        <v>1500</v>
      </c>
      <c r="K2113" s="2">
        <v>0</v>
      </c>
      <c r="L2113" s="8">
        <f t="shared" si="2238"/>
        <v>10.5</v>
      </c>
      <c r="M2113" s="8">
        <f t="shared" si="2236"/>
        <v>2625</v>
      </c>
    </row>
    <row r="2114" spans="1:13" ht="16.5" customHeight="1" x14ac:dyDescent="0.25">
      <c r="A2114" s="24">
        <v>43130</v>
      </c>
      <c r="B2114" s="9" t="s">
        <v>29</v>
      </c>
      <c r="C2114" s="9">
        <v>1000</v>
      </c>
      <c r="D2114" s="9" t="s">
        <v>11</v>
      </c>
      <c r="E2114" s="19">
        <v>447.2</v>
      </c>
      <c r="F2114" s="19">
        <v>446.2</v>
      </c>
      <c r="G2114" s="9">
        <v>0</v>
      </c>
      <c r="H2114" s="15">
        <v>0</v>
      </c>
      <c r="I2114" s="8">
        <f t="shared" ref="I2114:I2145" si="2240">(IF(D2114="SELL",E2114-F2114,IF(D2114="BUY",F2114-E2114)))*C2114</f>
        <v>1000</v>
      </c>
      <c r="J2114" s="8">
        <v>0</v>
      </c>
      <c r="K2114" s="2">
        <v>0</v>
      </c>
      <c r="L2114" s="8">
        <f t="shared" si="2238"/>
        <v>1</v>
      </c>
      <c r="M2114" s="8">
        <f t="shared" si="2236"/>
        <v>1000</v>
      </c>
    </row>
    <row r="2115" spans="1:13" ht="16.5" customHeight="1" x14ac:dyDescent="0.25">
      <c r="A2115" s="24">
        <v>43129</v>
      </c>
      <c r="B2115" s="9" t="s">
        <v>17</v>
      </c>
      <c r="C2115" s="9">
        <v>5000</v>
      </c>
      <c r="D2115" s="9" t="s">
        <v>10</v>
      </c>
      <c r="E2115" s="19">
        <v>228</v>
      </c>
      <c r="F2115" s="19">
        <v>228.5</v>
      </c>
      <c r="G2115" s="9">
        <v>229.2</v>
      </c>
      <c r="H2115" s="15">
        <v>0</v>
      </c>
      <c r="I2115" s="8">
        <f t="shared" si="2240"/>
        <v>2500</v>
      </c>
      <c r="J2115" s="8">
        <f>(IF(D2115="SELL",IF(G2115="",0,F2115-G2115),IF(D2115="BUY",IF(G2115="",0,G2115-F2115))))*C2115</f>
        <v>3499.9999999999432</v>
      </c>
      <c r="K2115" s="2">
        <v>0</v>
      </c>
      <c r="L2115" s="8">
        <f t="shared" si="2238"/>
        <v>1.1999999999999886</v>
      </c>
      <c r="M2115" s="8">
        <f t="shared" si="2236"/>
        <v>5999.9999999999436</v>
      </c>
    </row>
    <row r="2116" spans="1:13" ht="16.5" customHeight="1" x14ac:dyDescent="0.25">
      <c r="A2116" s="24">
        <v>43129</v>
      </c>
      <c r="B2116" s="9" t="s">
        <v>35</v>
      </c>
      <c r="C2116" s="9">
        <v>5000</v>
      </c>
      <c r="D2116" s="9" t="s">
        <v>10</v>
      </c>
      <c r="E2116" s="19">
        <v>167.3</v>
      </c>
      <c r="F2116" s="19">
        <v>167.8</v>
      </c>
      <c r="G2116" s="9">
        <v>168.5</v>
      </c>
      <c r="H2116" s="15">
        <v>0</v>
      </c>
      <c r="I2116" s="8">
        <f t="shared" si="2240"/>
        <v>2500</v>
      </c>
      <c r="J2116" s="8">
        <f>(IF(D2116="SELL",IF(G2116="",0,F2116-G2116),IF(D2116="BUY",IF(G2116="",0,G2116-F2116))))*C2116</f>
        <v>3499.9999999999432</v>
      </c>
      <c r="K2116" s="2">
        <v>0</v>
      </c>
      <c r="L2116" s="8">
        <f t="shared" si="2238"/>
        <v>1.1999999999999886</v>
      </c>
      <c r="M2116" s="8">
        <f t="shared" si="2236"/>
        <v>5999.9999999999436</v>
      </c>
    </row>
    <row r="2117" spans="1:13" ht="16.5" customHeight="1" x14ac:dyDescent="0.25">
      <c r="A2117" s="24">
        <v>43125</v>
      </c>
      <c r="B2117" s="9" t="s">
        <v>19</v>
      </c>
      <c r="C2117" s="9">
        <v>100</v>
      </c>
      <c r="D2117" s="9" t="s">
        <v>10</v>
      </c>
      <c r="E2117" s="19">
        <v>30390</v>
      </c>
      <c r="F2117" s="19">
        <v>30440</v>
      </c>
      <c r="G2117" s="9">
        <v>0</v>
      </c>
      <c r="H2117" s="15">
        <v>0</v>
      </c>
      <c r="I2117" s="8">
        <f t="shared" si="2240"/>
        <v>5000</v>
      </c>
      <c r="J2117" s="8">
        <v>0</v>
      </c>
      <c r="K2117" s="2">
        <f>(IF(D2117="SELL",IF(H2117="",0,G2117-H2117),IF(D2117="BUY",IF(H2117="",0,(H2117-G2117)))))*C2117</f>
        <v>0</v>
      </c>
      <c r="L2117" s="8">
        <f t="shared" si="2238"/>
        <v>50</v>
      </c>
      <c r="M2117" s="8">
        <f t="shared" ref="M2117:M2180" si="2241">L2117*C2117</f>
        <v>5000</v>
      </c>
    </row>
    <row r="2118" spans="1:13" ht="16.5" customHeight="1" x14ac:dyDescent="0.25">
      <c r="A2118" s="24">
        <v>43125</v>
      </c>
      <c r="B2118" s="9" t="s">
        <v>20</v>
      </c>
      <c r="C2118" s="9">
        <v>1250</v>
      </c>
      <c r="D2118" s="9" t="s">
        <v>10</v>
      </c>
      <c r="E2118" s="19">
        <v>223.5</v>
      </c>
      <c r="F2118" s="19">
        <v>224.5</v>
      </c>
      <c r="G2118" s="9">
        <v>39380</v>
      </c>
      <c r="H2118" s="15">
        <v>39600</v>
      </c>
      <c r="I2118" s="8">
        <f t="shared" si="2240"/>
        <v>1250</v>
      </c>
      <c r="J2118" s="8">
        <v>0</v>
      </c>
      <c r="K2118" s="2">
        <v>0</v>
      </c>
      <c r="L2118" s="8">
        <f t="shared" si="2238"/>
        <v>1</v>
      </c>
      <c r="M2118" s="8">
        <f t="shared" si="2241"/>
        <v>1250</v>
      </c>
    </row>
    <row r="2119" spans="1:13" ht="16.5" customHeight="1" x14ac:dyDescent="0.25">
      <c r="A2119" s="24">
        <v>43125</v>
      </c>
      <c r="B2119" s="9" t="s">
        <v>21</v>
      </c>
      <c r="C2119" s="9">
        <v>250</v>
      </c>
      <c r="D2119" s="9" t="s">
        <v>10</v>
      </c>
      <c r="E2119" s="19">
        <v>873</v>
      </c>
      <c r="F2119" s="19">
        <v>877</v>
      </c>
      <c r="G2119" s="9">
        <v>0</v>
      </c>
      <c r="H2119" s="15">
        <v>0</v>
      </c>
      <c r="I2119" s="8">
        <f t="shared" si="2240"/>
        <v>1000</v>
      </c>
      <c r="J2119" s="8">
        <v>0</v>
      </c>
      <c r="K2119" s="2">
        <f>(IF(D2119="SELL",IF(H2119="",0,G2119-H2119),IF(D2119="BUY",IF(H2119="",0,(H2119-G2119)))))*C2119</f>
        <v>0</v>
      </c>
      <c r="L2119" s="8">
        <f t="shared" si="2238"/>
        <v>4</v>
      </c>
      <c r="M2119" s="8">
        <f t="shared" si="2241"/>
        <v>1000</v>
      </c>
    </row>
    <row r="2120" spans="1:13" ht="16.5" customHeight="1" x14ac:dyDescent="0.25">
      <c r="A2120" s="24">
        <v>43124</v>
      </c>
      <c r="B2120" s="9" t="s">
        <v>14</v>
      </c>
      <c r="C2120" s="9">
        <v>30</v>
      </c>
      <c r="D2120" s="9" t="s">
        <v>10</v>
      </c>
      <c r="E2120" s="19">
        <v>39145</v>
      </c>
      <c r="F2120" s="19">
        <v>39250</v>
      </c>
      <c r="G2120" s="9">
        <v>39380</v>
      </c>
      <c r="H2120" s="15">
        <v>39600</v>
      </c>
      <c r="I2120" s="8">
        <f t="shared" si="2240"/>
        <v>3150</v>
      </c>
      <c r="J2120" s="8">
        <f>(IF(D2120="SELL",IF(G2120="",0,F2120-G2120),IF(D2120="BUY",IF(G2120="",0,G2120-F2120))))*C2120</f>
        <v>3900</v>
      </c>
      <c r="K2120" s="2">
        <f>(IF(D2120="SELL",IF(H2120="",0,G2120-H2120),IF(D2120="BUY",IF(H2120="",0,(H2120-G2120)))))*C2120</f>
        <v>6600</v>
      </c>
      <c r="L2120" s="8">
        <f t="shared" si="2238"/>
        <v>455</v>
      </c>
      <c r="M2120" s="8">
        <f t="shared" si="2241"/>
        <v>13650</v>
      </c>
    </row>
    <row r="2121" spans="1:13" ht="16.5" customHeight="1" x14ac:dyDescent="0.25">
      <c r="A2121" s="24">
        <v>43124</v>
      </c>
      <c r="B2121" s="9" t="s">
        <v>19</v>
      </c>
      <c r="C2121" s="9">
        <v>100</v>
      </c>
      <c r="D2121" s="9" t="s">
        <v>10</v>
      </c>
      <c r="E2121" s="19">
        <v>29980</v>
      </c>
      <c r="F2121" s="19">
        <v>30020</v>
      </c>
      <c r="G2121" s="9">
        <v>30090</v>
      </c>
      <c r="H2121" s="15">
        <v>0</v>
      </c>
      <c r="I2121" s="8">
        <f t="shared" si="2240"/>
        <v>4000</v>
      </c>
      <c r="J2121" s="8">
        <f>(IF(D2121="SELL",IF(G2121="",0,F2121-G2121),IF(D2121="BUY",IF(G2121="",0,G2121-F2121))))*C2121</f>
        <v>7000</v>
      </c>
      <c r="K2121" s="2">
        <v>0</v>
      </c>
      <c r="L2121" s="8">
        <f t="shared" si="2238"/>
        <v>110</v>
      </c>
      <c r="M2121" s="8">
        <f t="shared" si="2241"/>
        <v>11000</v>
      </c>
    </row>
    <row r="2122" spans="1:13" ht="16.5" customHeight="1" x14ac:dyDescent="0.25">
      <c r="A2122" s="24">
        <v>43124</v>
      </c>
      <c r="B2122" s="9" t="s">
        <v>21</v>
      </c>
      <c r="C2122" s="9">
        <v>250</v>
      </c>
      <c r="D2122" s="9" t="s">
        <v>11</v>
      </c>
      <c r="E2122" s="19">
        <v>816.6</v>
      </c>
      <c r="F2122" s="19">
        <v>812.6</v>
      </c>
      <c r="G2122" s="9">
        <v>0</v>
      </c>
      <c r="H2122" s="15">
        <v>0</v>
      </c>
      <c r="I2122" s="8">
        <f t="shared" si="2240"/>
        <v>1000</v>
      </c>
      <c r="J2122" s="8">
        <v>0</v>
      </c>
      <c r="K2122" s="2">
        <v>0</v>
      </c>
      <c r="L2122" s="8">
        <f t="shared" si="2238"/>
        <v>4</v>
      </c>
      <c r="M2122" s="8">
        <f t="shared" si="2241"/>
        <v>1000</v>
      </c>
    </row>
    <row r="2123" spans="1:13" ht="16.5" customHeight="1" x14ac:dyDescent="0.25">
      <c r="A2123" s="24">
        <v>43124</v>
      </c>
      <c r="B2123" s="9" t="s">
        <v>20</v>
      </c>
      <c r="C2123" s="9">
        <v>1250</v>
      </c>
      <c r="D2123" s="9" t="s">
        <v>10</v>
      </c>
      <c r="E2123" s="19">
        <v>225</v>
      </c>
      <c r="F2123" s="19">
        <v>226</v>
      </c>
      <c r="G2123" s="9">
        <v>228</v>
      </c>
      <c r="H2123" s="15">
        <v>0</v>
      </c>
      <c r="I2123" s="8">
        <f t="shared" si="2240"/>
        <v>1250</v>
      </c>
      <c r="J2123" s="8">
        <f>(IF(D2123="SELL",IF(G2123="",0,F2123-G2123),IF(D2123="BUY",IF(G2123="",0,G2123-F2123))))*C2123</f>
        <v>2500</v>
      </c>
      <c r="K2123" s="2">
        <v>0</v>
      </c>
      <c r="L2123" s="8">
        <f t="shared" si="2238"/>
        <v>3</v>
      </c>
      <c r="M2123" s="8">
        <f t="shared" si="2241"/>
        <v>3750</v>
      </c>
    </row>
    <row r="2124" spans="1:13" ht="16.5" customHeight="1" x14ac:dyDescent="0.25">
      <c r="A2124" s="24">
        <v>43123</v>
      </c>
      <c r="B2124" s="9" t="s">
        <v>37</v>
      </c>
      <c r="C2124" s="9">
        <v>5000</v>
      </c>
      <c r="D2124" s="9" t="s">
        <v>11</v>
      </c>
      <c r="E2124" s="19">
        <v>142.9</v>
      </c>
      <c r="F2124" s="19">
        <v>142.4</v>
      </c>
      <c r="G2124" s="9">
        <v>141.6</v>
      </c>
      <c r="H2124" s="15">
        <v>0</v>
      </c>
      <c r="I2124" s="8">
        <f t="shared" si="2240"/>
        <v>2500</v>
      </c>
      <c r="J2124" s="8">
        <f>(IF(D2124="SELL",IF(G2124="",0,F2124-G2124),IF(D2124="BUY",IF(G2124="",0,G2124-F2124))))*C2124</f>
        <v>4000.0000000000568</v>
      </c>
      <c r="K2124" s="2">
        <v>0</v>
      </c>
      <c r="L2124" s="8">
        <f t="shared" si="2238"/>
        <v>1.3000000000000114</v>
      </c>
      <c r="M2124" s="8">
        <f t="shared" si="2241"/>
        <v>6500.0000000000564</v>
      </c>
    </row>
    <row r="2125" spans="1:13" ht="16.5" customHeight="1" x14ac:dyDescent="0.25">
      <c r="A2125" s="24">
        <v>43123</v>
      </c>
      <c r="B2125" s="9" t="s">
        <v>31</v>
      </c>
      <c r="C2125" s="9">
        <v>250</v>
      </c>
      <c r="D2125" s="9" t="s">
        <v>11</v>
      </c>
      <c r="E2125" s="19">
        <v>807</v>
      </c>
      <c r="F2125" s="19">
        <v>803</v>
      </c>
      <c r="G2125" s="9">
        <v>0</v>
      </c>
      <c r="H2125" s="15">
        <v>0</v>
      </c>
      <c r="I2125" s="8">
        <f t="shared" si="2240"/>
        <v>1000</v>
      </c>
      <c r="J2125" s="8">
        <v>0</v>
      </c>
      <c r="K2125" s="2">
        <v>0</v>
      </c>
      <c r="L2125" s="8">
        <f t="shared" si="2238"/>
        <v>4</v>
      </c>
      <c r="M2125" s="8">
        <f t="shared" si="2241"/>
        <v>1000</v>
      </c>
    </row>
    <row r="2126" spans="1:13" ht="16.5" customHeight="1" x14ac:dyDescent="0.25">
      <c r="A2126" s="24">
        <v>43122</v>
      </c>
      <c r="B2126" s="9" t="s">
        <v>30</v>
      </c>
      <c r="C2126" s="9">
        <v>100</v>
      </c>
      <c r="D2126" s="9" t="s">
        <v>10</v>
      </c>
      <c r="E2126" s="19">
        <v>29760</v>
      </c>
      <c r="F2126" s="19">
        <v>29800</v>
      </c>
      <c r="G2126" s="9">
        <v>0</v>
      </c>
      <c r="H2126" s="15">
        <v>0</v>
      </c>
      <c r="I2126" s="8">
        <f t="shared" si="2240"/>
        <v>4000</v>
      </c>
      <c r="J2126" s="8">
        <v>0</v>
      </c>
      <c r="K2126" s="2">
        <v>0</v>
      </c>
      <c r="L2126" s="8">
        <f t="shared" si="2238"/>
        <v>40</v>
      </c>
      <c r="M2126" s="8">
        <f t="shared" si="2241"/>
        <v>4000</v>
      </c>
    </row>
    <row r="2127" spans="1:13" ht="16.5" customHeight="1" x14ac:dyDescent="0.25">
      <c r="A2127" s="24">
        <v>43122</v>
      </c>
      <c r="B2127" s="9" t="s">
        <v>31</v>
      </c>
      <c r="C2127" s="9">
        <v>250</v>
      </c>
      <c r="D2127" s="9" t="s">
        <v>10</v>
      </c>
      <c r="E2127" s="19">
        <v>812.5</v>
      </c>
      <c r="F2127" s="19">
        <v>816.5</v>
      </c>
      <c r="G2127" s="9">
        <v>0</v>
      </c>
      <c r="H2127" s="15">
        <v>0</v>
      </c>
      <c r="I2127" s="8">
        <f t="shared" si="2240"/>
        <v>1000</v>
      </c>
      <c r="J2127" s="8">
        <v>0</v>
      </c>
      <c r="K2127" s="2">
        <v>0</v>
      </c>
      <c r="L2127" s="8">
        <f t="shared" si="2238"/>
        <v>4</v>
      </c>
      <c r="M2127" s="8">
        <f t="shared" si="2241"/>
        <v>1000</v>
      </c>
    </row>
    <row r="2128" spans="1:13" ht="16.5" customHeight="1" x14ac:dyDescent="0.25">
      <c r="A2128" s="24">
        <v>43122</v>
      </c>
      <c r="B2128" s="9" t="s">
        <v>29</v>
      </c>
      <c r="C2128" s="9">
        <v>1000</v>
      </c>
      <c r="D2128" s="9" t="s">
        <v>10</v>
      </c>
      <c r="E2128" s="19">
        <v>453.1</v>
      </c>
      <c r="F2128" s="19">
        <v>454.1</v>
      </c>
      <c r="G2128" s="9">
        <v>0</v>
      </c>
      <c r="H2128" s="15">
        <v>0</v>
      </c>
      <c r="I2128" s="8">
        <f t="shared" si="2240"/>
        <v>1000</v>
      </c>
      <c r="J2128" s="8">
        <v>0</v>
      </c>
      <c r="K2128" s="2">
        <v>0</v>
      </c>
      <c r="L2128" s="8">
        <f t="shared" si="2238"/>
        <v>1</v>
      </c>
      <c r="M2128" s="8">
        <f t="shared" si="2241"/>
        <v>1000</v>
      </c>
    </row>
    <row r="2129" spans="1:13" ht="16.5" customHeight="1" x14ac:dyDescent="0.25">
      <c r="A2129" s="24">
        <v>43119</v>
      </c>
      <c r="B2129" s="9" t="s">
        <v>31</v>
      </c>
      <c r="C2129" s="9">
        <v>250</v>
      </c>
      <c r="D2129" s="9" t="s">
        <v>11</v>
      </c>
      <c r="E2129" s="19">
        <v>788</v>
      </c>
      <c r="F2129" s="19">
        <v>803</v>
      </c>
      <c r="G2129" s="9">
        <v>0</v>
      </c>
      <c r="H2129" s="15">
        <v>0</v>
      </c>
      <c r="I2129" s="8">
        <f t="shared" si="2240"/>
        <v>-3750</v>
      </c>
      <c r="J2129" s="8">
        <v>0</v>
      </c>
      <c r="K2129" s="2">
        <v>0</v>
      </c>
      <c r="L2129" s="8">
        <f t="shared" si="2238"/>
        <v>-15</v>
      </c>
      <c r="M2129" s="8">
        <f t="shared" si="2241"/>
        <v>-3750</v>
      </c>
    </row>
    <row r="2130" spans="1:13" ht="16.5" customHeight="1" x14ac:dyDescent="0.25">
      <c r="A2130" s="24">
        <v>43119</v>
      </c>
      <c r="B2130" s="9" t="s">
        <v>17</v>
      </c>
      <c r="C2130" s="9">
        <v>5000</v>
      </c>
      <c r="D2130" s="9" t="s">
        <v>10</v>
      </c>
      <c r="E2130" s="19">
        <v>218</v>
      </c>
      <c r="F2130" s="19">
        <v>218.5</v>
      </c>
      <c r="G2130" s="9">
        <v>219.2</v>
      </c>
      <c r="H2130" s="15">
        <v>221</v>
      </c>
      <c r="I2130" s="8">
        <f t="shared" si="2240"/>
        <v>2500</v>
      </c>
      <c r="J2130" s="8">
        <f>(IF(D2130="SELL",IF(G2130="",0,F2130-G2130),IF(D2130="BUY",IF(G2130="",0,G2130-F2130))))*C2130</f>
        <v>3499.9999999999432</v>
      </c>
      <c r="K2130" s="2">
        <f>(IF(D2130="SELL",IF(H2130="",0,G2130-H2130),IF(D2130="BUY",IF(H2130="",0,(H2130-G2130)))))*C2130</f>
        <v>9000.0000000000564</v>
      </c>
      <c r="L2130" s="8">
        <f t="shared" si="2238"/>
        <v>3</v>
      </c>
      <c r="M2130" s="8">
        <f t="shared" si="2241"/>
        <v>15000</v>
      </c>
    </row>
    <row r="2131" spans="1:13" ht="16.5" customHeight="1" x14ac:dyDescent="0.25">
      <c r="A2131" s="24">
        <v>43119</v>
      </c>
      <c r="B2131" s="9" t="s">
        <v>46</v>
      </c>
      <c r="C2131" s="9">
        <v>1250</v>
      </c>
      <c r="D2131" s="9" t="s">
        <v>10</v>
      </c>
      <c r="E2131" s="19">
        <v>203</v>
      </c>
      <c r="F2131" s="19">
        <v>204</v>
      </c>
      <c r="G2131" s="9">
        <v>0</v>
      </c>
      <c r="H2131" s="15">
        <v>0</v>
      </c>
      <c r="I2131" s="8">
        <f t="shared" si="2240"/>
        <v>1250</v>
      </c>
      <c r="J2131" s="8">
        <v>0</v>
      </c>
      <c r="K2131" s="2">
        <v>0</v>
      </c>
      <c r="L2131" s="8">
        <f t="shared" si="2238"/>
        <v>1</v>
      </c>
      <c r="M2131" s="8">
        <f t="shared" si="2241"/>
        <v>1250</v>
      </c>
    </row>
    <row r="2132" spans="1:13" ht="16.5" customHeight="1" x14ac:dyDescent="0.25">
      <c r="A2132" s="24">
        <v>43119</v>
      </c>
      <c r="B2132" s="9" t="s">
        <v>29</v>
      </c>
      <c r="C2132" s="9">
        <v>1000</v>
      </c>
      <c r="D2132" s="9" t="s">
        <v>10</v>
      </c>
      <c r="E2132" s="19">
        <v>454.4</v>
      </c>
      <c r="F2132" s="19">
        <v>455.5</v>
      </c>
      <c r="G2132" s="9">
        <v>0</v>
      </c>
      <c r="H2132" s="15">
        <v>0</v>
      </c>
      <c r="I2132" s="8">
        <f t="shared" si="2240"/>
        <v>1100.0000000000227</v>
      </c>
      <c r="J2132" s="8">
        <v>0</v>
      </c>
      <c r="K2132" s="2">
        <v>0</v>
      </c>
      <c r="L2132" s="8">
        <f t="shared" si="2238"/>
        <v>1.1000000000000227</v>
      </c>
      <c r="M2132" s="8">
        <f t="shared" si="2241"/>
        <v>1100.0000000000227</v>
      </c>
    </row>
    <row r="2133" spans="1:13" ht="16.5" customHeight="1" x14ac:dyDescent="0.25">
      <c r="A2133" s="24">
        <v>43118</v>
      </c>
      <c r="B2133" s="9" t="s">
        <v>17</v>
      </c>
      <c r="C2133" s="9">
        <v>5000</v>
      </c>
      <c r="D2133" s="9" t="s">
        <v>10</v>
      </c>
      <c r="E2133" s="19">
        <v>218.1</v>
      </c>
      <c r="F2133" s="19">
        <v>218.6</v>
      </c>
      <c r="G2133" s="9">
        <v>0</v>
      </c>
      <c r="H2133" s="15">
        <v>0</v>
      </c>
      <c r="I2133" s="8">
        <f t="shared" si="2240"/>
        <v>2500</v>
      </c>
      <c r="J2133" s="8">
        <v>0</v>
      </c>
      <c r="K2133" s="2">
        <v>0</v>
      </c>
      <c r="L2133" s="8">
        <f t="shared" si="2238"/>
        <v>0.5</v>
      </c>
      <c r="M2133" s="8">
        <f t="shared" si="2241"/>
        <v>2500</v>
      </c>
    </row>
    <row r="2134" spans="1:13" ht="16.5" customHeight="1" x14ac:dyDescent="0.25">
      <c r="A2134" s="24">
        <v>43118</v>
      </c>
      <c r="B2134" s="9" t="s">
        <v>47</v>
      </c>
      <c r="C2134" s="9">
        <v>1250</v>
      </c>
      <c r="D2134" s="9" t="s">
        <v>11</v>
      </c>
      <c r="E2134" s="19">
        <v>207</v>
      </c>
      <c r="F2134" s="19">
        <v>206</v>
      </c>
      <c r="G2134" s="9">
        <v>204</v>
      </c>
      <c r="H2134" s="15">
        <v>0</v>
      </c>
      <c r="I2134" s="8">
        <f t="shared" si="2240"/>
        <v>1250</v>
      </c>
      <c r="J2134" s="8">
        <f>(IF(D2134="SELL",IF(G2134="",0,F2134-G2134),IF(D2134="BUY",IF(G2134="",0,G2134-F2134))))*C2134</f>
        <v>2500</v>
      </c>
      <c r="K2134" s="2">
        <v>0</v>
      </c>
      <c r="L2134" s="8">
        <f t="shared" si="2238"/>
        <v>3</v>
      </c>
      <c r="M2134" s="8">
        <f t="shared" si="2241"/>
        <v>3750</v>
      </c>
    </row>
    <row r="2135" spans="1:13" ht="16.5" customHeight="1" x14ac:dyDescent="0.25">
      <c r="A2135" s="24">
        <v>43118</v>
      </c>
      <c r="B2135" s="9" t="s">
        <v>29</v>
      </c>
      <c r="C2135" s="9">
        <v>1000</v>
      </c>
      <c r="D2135" s="9" t="s">
        <v>10</v>
      </c>
      <c r="E2135" s="19">
        <v>453</v>
      </c>
      <c r="F2135" s="19">
        <v>454</v>
      </c>
      <c r="G2135" s="9">
        <v>0</v>
      </c>
      <c r="H2135" s="15">
        <v>0</v>
      </c>
      <c r="I2135" s="8">
        <f t="shared" si="2240"/>
        <v>1000</v>
      </c>
      <c r="J2135" s="8">
        <v>0</v>
      </c>
      <c r="K2135" s="2">
        <v>0</v>
      </c>
      <c r="L2135" s="8">
        <f t="shared" si="2238"/>
        <v>1</v>
      </c>
      <c r="M2135" s="8">
        <f t="shared" si="2241"/>
        <v>1000</v>
      </c>
    </row>
    <row r="2136" spans="1:13" ht="16.5" customHeight="1" x14ac:dyDescent="0.25">
      <c r="A2136" s="24">
        <v>43118</v>
      </c>
      <c r="B2136" s="9" t="s">
        <v>21</v>
      </c>
      <c r="C2136" s="9">
        <v>250</v>
      </c>
      <c r="D2136" s="9" t="s">
        <v>10</v>
      </c>
      <c r="E2136" s="19">
        <v>794</v>
      </c>
      <c r="F2136" s="19">
        <v>798</v>
      </c>
      <c r="G2136" s="9">
        <v>0</v>
      </c>
      <c r="H2136" s="15">
        <v>0</v>
      </c>
      <c r="I2136" s="8">
        <f t="shared" si="2240"/>
        <v>1000</v>
      </c>
      <c r="J2136" s="8">
        <v>0</v>
      </c>
      <c r="K2136" s="2">
        <v>0</v>
      </c>
      <c r="L2136" s="8">
        <f t="shared" si="2238"/>
        <v>4</v>
      </c>
      <c r="M2136" s="8">
        <f t="shared" si="2241"/>
        <v>1000</v>
      </c>
    </row>
    <row r="2137" spans="1:13" ht="16.5" customHeight="1" x14ac:dyDescent="0.25">
      <c r="A2137" s="24">
        <v>43117</v>
      </c>
      <c r="B2137" s="9" t="s">
        <v>29</v>
      </c>
      <c r="C2137" s="9">
        <v>1000</v>
      </c>
      <c r="D2137" s="9" t="s">
        <v>11</v>
      </c>
      <c r="E2137" s="19">
        <v>454</v>
      </c>
      <c r="F2137" s="19">
        <v>453</v>
      </c>
      <c r="G2137" s="9">
        <v>451</v>
      </c>
      <c r="H2137" s="15">
        <v>0</v>
      </c>
      <c r="I2137" s="8">
        <f t="shared" si="2240"/>
        <v>1000</v>
      </c>
      <c r="J2137" s="8">
        <f>(IF(D2137="SELL",IF(G2137="",0,F2137-G2137),IF(D2137="BUY",IF(G2137="",0,G2137-F2137))))*C2137</f>
        <v>2000</v>
      </c>
      <c r="K2137" s="2">
        <v>0</v>
      </c>
      <c r="L2137" s="8">
        <f t="shared" si="2238"/>
        <v>3</v>
      </c>
      <c r="M2137" s="8">
        <f t="shared" si="2241"/>
        <v>3000</v>
      </c>
    </row>
    <row r="2138" spans="1:13" ht="16.5" customHeight="1" x14ac:dyDescent="0.25">
      <c r="A2138" s="24">
        <v>43117</v>
      </c>
      <c r="B2138" s="9" t="s">
        <v>31</v>
      </c>
      <c r="C2138" s="9">
        <v>250</v>
      </c>
      <c r="D2138" s="9" t="s">
        <v>11</v>
      </c>
      <c r="E2138" s="19">
        <v>796</v>
      </c>
      <c r="F2138" s="19">
        <v>792</v>
      </c>
      <c r="G2138" s="9">
        <v>0</v>
      </c>
      <c r="H2138" s="15">
        <v>0</v>
      </c>
      <c r="I2138" s="8">
        <f t="shared" si="2240"/>
        <v>1000</v>
      </c>
      <c r="J2138" s="8">
        <v>0</v>
      </c>
      <c r="K2138" s="2">
        <f>(IF(D2138="SELL",IF(H2138="",0,G2138-H2138),IF(D2138="BUY",IF(H2138="",0,(H2138-G2138)))))*C2138</f>
        <v>0</v>
      </c>
      <c r="L2138" s="8">
        <f t="shared" si="2238"/>
        <v>4</v>
      </c>
      <c r="M2138" s="8">
        <f t="shared" si="2241"/>
        <v>1000</v>
      </c>
    </row>
    <row r="2139" spans="1:13" ht="16.5" customHeight="1" x14ac:dyDescent="0.25">
      <c r="A2139" s="24">
        <v>43117</v>
      </c>
      <c r="B2139" s="9" t="s">
        <v>39</v>
      </c>
      <c r="C2139" s="9">
        <v>5000</v>
      </c>
      <c r="D2139" s="9" t="s">
        <v>11</v>
      </c>
      <c r="E2139" s="19">
        <v>219</v>
      </c>
      <c r="F2139" s="19">
        <v>218.5</v>
      </c>
      <c r="G2139" s="9">
        <v>0</v>
      </c>
      <c r="H2139" s="15">
        <v>0</v>
      </c>
      <c r="I2139" s="8">
        <f t="shared" si="2240"/>
        <v>2500</v>
      </c>
      <c r="J2139" s="8">
        <v>0</v>
      </c>
      <c r="K2139" s="2">
        <f>(IF(D2139="SELL",IF(H2139="",0,G2139-H2139),IF(D2139="BUY",IF(H2139="",0,(H2139-G2139)))))*C2139</f>
        <v>0</v>
      </c>
      <c r="L2139" s="8">
        <f t="shared" si="2238"/>
        <v>0.5</v>
      </c>
      <c r="M2139" s="8">
        <f t="shared" si="2241"/>
        <v>2500</v>
      </c>
    </row>
    <row r="2140" spans="1:13" ht="16.5" customHeight="1" x14ac:dyDescent="0.25">
      <c r="A2140" s="24">
        <v>43117</v>
      </c>
      <c r="B2140" s="9" t="s">
        <v>47</v>
      </c>
      <c r="C2140" s="9">
        <v>1250</v>
      </c>
      <c r="D2140" s="9" t="s">
        <v>10</v>
      </c>
      <c r="E2140" s="19">
        <v>199.4</v>
      </c>
      <c r="F2140" s="19">
        <v>200.4</v>
      </c>
      <c r="G2140" s="9">
        <v>202.5</v>
      </c>
      <c r="H2140" s="15">
        <v>205</v>
      </c>
      <c r="I2140" s="8">
        <f t="shared" si="2240"/>
        <v>1250</v>
      </c>
      <c r="J2140" s="8">
        <f>(IF(D2140="SELL",IF(G2140="",0,F2140-G2140),IF(D2140="BUY",IF(G2140="",0,G2140-F2140))))*C2140</f>
        <v>2624.9999999999927</v>
      </c>
      <c r="K2140" s="2">
        <f>(IF(D2140="SELL",IF(H2140="",0,G2140-H2140),IF(D2140="BUY",IF(H2140="",0,(H2140-G2140)))))*C2140</f>
        <v>3125</v>
      </c>
      <c r="L2140" s="8">
        <f t="shared" si="2238"/>
        <v>5.5999999999999943</v>
      </c>
      <c r="M2140" s="8">
        <f t="shared" si="2241"/>
        <v>6999.9999999999927</v>
      </c>
    </row>
    <row r="2141" spans="1:13" ht="16.5" customHeight="1" x14ac:dyDescent="0.25">
      <c r="A2141" s="24">
        <v>43116</v>
      </c>
      <c r="B2141" s="9" t="s">
        <v>29</v>
      </c>
      <c r="C2141" s="9">
        <v>1000</v>
      </c>
      <c r="D2141" s="9" t="s">
        <v>11</v>
      </c>
      <c r="E2141" s="19">
        <v>458.5</v>
      </c>
      <c r="F2141" s="19">
        <v>457.5</v>
      </c>
      <c r="G2141" s="9">
        <v>455</v>
      </c>
      <c r="H2141" s="15">
        <v>453</v>
      </c>
      <c r="I2141" s="8">
        <f t="shared" si="2240"/>
        <v>1000</v>
      </c>
      <c r="J2141" s="8">
        <f>(IF(D2141="SELL",IF(G2141="",0,F2141-G2141),IF(D2141="BUY",IF(G2141="",0,G2141-F2141))))*C2141</f>
        <v>2500</v>
      </c>
      <c r="K2141" s="2">
        <f>(IF(D2141="SELL",IF(H2141="",0,G2141-H2141),IF(D2141="BUY",IF(H2141="",0,(H2141-G2141)))))*C2141</f>
        <v>2000</v>
      </c>
      <c r="L2141" s="8">
        <f t="shared" si="2238"/>
        <v>5.5</v>
      </c>
      <c r="M2141" s="8">
        <f t="shared" si="2241"/>
        <v>5500</v>
      </c>
    </row>
    <row r="2142" spans="1:13" ht="16.5" customHeight="1" x14ac:dyDescent="0.25">
      <c r="A2142" s="24">
        <v>43116</v>
      </c>
      <c r="B2142" s="9" t="s">
        <v>39</v>
      </c>
      <c r="C2142" s="9">
        <v>5000</v>
      </c>
      <c r="D2142" s="9" t="s">
        <v>11</v>
      </c>
      <c r="E2142" s="19">
        <v>218.5</v>
      </c>
      <c r="F2142" s="19">
        <v>218</v>
      </c>
      <c r="G2142" s="9">
        <v>217.2</v>
      </c>
      <c r="H2142" s="15">
        <v>0</v>
      </c>
      <c r="I2142" s="8">
        <f t="shared" si="2240"/>
        <v>2500</v>
      </c>
      <c r="J2142" s="8">
        <f>(IF(D2142="SELL",IF(G2142="",0,F2142-G2142),IF(D2142="BUY",IF(G2142="",0,G2142-F2142))))*C2142</f>
        <v>4000.0000000000568</v>
      </c>
      <c r="K2142" s="2">
        <v>0</v>
      </c>
      <c r="L2142" s="8">
        <f t="shared" si="2238"/>
        <v>1.3000000000000114</v>
      </c>
      <c r="M2142" s="8">
        <f t="shared" si="2241"/>
        <v>6500.0000000000564</v>
      </c>
    </row>
    <row r="2143" spans="1:13" ht="13.5" customHeight="1" x14ac:dyDescent="0.25">
      <c r="A2143" s="24">
        <v>43116</v>
      </c>
      <c r="B2143" s="9" t="s">
        <v>21</v>
      </c>
      <c r="C2143" s="9">
        <v>250</v>
      </c>
      <c r="D2143" s="9" t="s">
        <v>11</v>
      </c>
      <c r="E2143" s="19">
        <v>807</v>
      </c>
      <c r="F2143" s="19">
        <v>803</v>
      </c>
      <c r="G2143" s="9">
        <v>796</v>
      </c>
      <c r="H2143" s="15">
        <v>787</v>
      </c>
      <c r="I2143" s="8">
        <f t="shared" si="2240"/>
        <v>1000</v>
      </c>
      <c r="J2143" s="8">
        <f>(IF(D2143="SELL",IF(G2143="",0,F2143-G2143),IF(D2143="BUY",IF(G2143="",0,G2143-F2143))))*C2143</f>
        <v>1750</v>
      </c>
      <c r="K2143" s="2">
        <f>(IF(D2143="SELL",IF(H2143="",0,G2143-H2143),IF(D2143="BUY",IF(H2143="",0,(H2143-G2143)))))*C2143</f>
        <v>2250</v>
      </c>
      <c r="L2143" s="8">
        <f t="shared" si="2238"/>
        <v>20</v>
      </c>
      <c r="M2143" s="8">
        <f t="shared" si="2241"/>
        <v>5000</v>
      </c>
    </row>
    <row r="2144" spans="1:13" ht="15" customHeight="1" x14ac:dyDescent="0.25">
      <c r="A2144" s="24">
        <v>43116</v>
      </c>
      <c r="B2144" s="9" t="s">
        <v>47</v>
      </c>
      <c r="C2144" s="9">
        <v>1250</v>
      </c>
      <c r="D2144" s="9" t="s">
        <v>11</v>
      </c>
      <c r="E2144" s="19">
        <v>199.9</v>
      </c>
      <c r="F2144" s="19">
        <v>199</v>
      </c>
      <c r="G2144" s="9">
        <v>197</v>
      </c>
      <c r="H2144" s="15">
        <v>0</v>
      </c>
      <c r="I2144" s="8">
        <f t="shared" si="2240"/>
        <v>1125.000000000007</v>
      </c>
      <c r="J2144" s="8">
        <f>(IF(D2144="SELL",IF(G2144="",0,F2144-G2144),IF(D2144="BUY",IF(G2144="",0,G2144-F2144))))*C2144</f>
        <v>2500</v>
      </c>
      <c r="K2144" s="2">
        <v>0</v>
      </c>
      <c r="L2144" s="8">
        <f t="shared" si="2238"/>
        <v>2.9000000000000057</v>
      </c>
      <c r="M2144" s="8">
        <f t="shared" si="2241"/>
        <v>3625.0000000000073</v>
      </c>
    </row>
    <row r="2145" spans="1:13" ht="15" customHeight="1" x14ac:dyDescent="0.25">
      <c r="A2145" s="24">
        <v>43115</v>
      </c>
      <c r="B2145" s="9" t="s">
        <v>19</v>
      </c>
      <c r="C2145" s="9">
        <v>100</v>
      </c>
      <c r="D2145" s="9" t="s">
        <v>10</v>
      </c>
      <c r="E2145" s="19">
        <v>29670</v>
      </c>
      <c r="F2145" s="19">
        <v>29715</v>
      </c>
      <c r="G2145" s="9">
        <v>0</v>
      </c>
      <c r="H2145" s="15">
        <v>0</v>
      </c>
      <c r="I2145" s="8">
        <f t="shared" si="2240"/>
        <v>4500</v>
      </c>
      <c r="J2145" s="8">
        <v>0</v>
      </c>
      <c r="K2145" s="2">
        <v>0</v>
      </c>
      <c r="L2145" s="8">
        <f t="shared" si="2238"/>
        <v>45</v>
      </c>
      <c r="M2145" s="8">
        <f t="shared" si="2241"/>
        <v>4500</v>
      </c>
    </row>
    <row r="2146" spans="1:13" ht="15" customHeight="1" x14ac:dyDescent="0.25">
      <c r="A2146" s="24">
        <v>43115</v>
      </c>
      <c r="B2146" s="9" t="s">
        <v>15</v>
      </c>
      <c r="C2146" s="9">
        <v>5000</v>
      </c>
      <c r="D2146" s="9" t="s">
        <v>10</v>
      </c>
      <c r="E2146" s="19">
        <v>163.15</v>
      </c>
      <c r="F2146" s="19">
        <v>163.69999999999999</v>
      </c>
      <c r="G2146" s="9">
        <v>0</v>
      </c>
      <c r="H2146" s="15">
        <v>0</v>
      </c>
      <c r="I2146" s="8">
        <f t="shared" ref="I2146:I2177" si="2242">(IF(D2146="SELL",E2146-F2146,IF(D2146="BUY",F2146-E2146)))*C2146</f>
        <v>2749.9999999999145</v>
      </c>
      <c r="J2146" s="8">
        <v>0</v>
      </c>
      <c r="K2146" s="2">
        <v>0</v>
      </c>
      <c r="L2146" s="8">
        <f t="shared" si="2238"/>
        <v>0.54999999999998295</v>
      </c>
      <c r="M2146" s="8">
        <f t="shared" si="2241"/>
        <v>2749.9999999999145</v>
      </c>
    </row>
    <row r="2147" spans="1:13" ht="15" customHeight="1" x14ac:dyDescent="0.25">
      <c r="A2147" s="24">
        <v>43115</v>
      </c>
      <c r="B2147" s="9" t="s">
        <v>18</v>
      </c>
      <c r="C2147" s="9">
        <v>1000</v>
      </c>
      <c r="D2147" s="9" t="s">
        <v>10</v>
      </c>
      <c r="E2147" s="19">
        <v>459</v>
      </c>
      <c r="F2147" s="19">
        <v>460</v>
      </c>
      <c r="G2147" s="9">
        <v>462</v>
      </c>
      <c r="H2147" s="15">
        <v>0</v>
      </c>
      <c r="I2147" s="8">
        <f t="shared" si="2242"/>
        <v>1000</v>
      </c>
      <c r="J2147" s="8">
        <f>(IF(D2147="SELL",IF(G2147="",0,F2147-G2147),IF(D2147="BUY",IF(G2147="",0,G2147-F2147))))*C2147</f>
        <v>2000</v>
      </c>
      <c r="K2147" s="2">
        <v>0</v>
      </c>
      <c r="L2147" s="8">
        <f t="shared" si="2238"/>
        <v>3</v>
      </c>
      <c r="M2147" s="8">
        <f t="shared" si="2241"/>
        <v>3000</v>
      </c>
    </row>
    <row r="2148" spans="1:13" ht="15" customHeight="1" x14ac:dyDescent="0.25">
      <c r="A2148" s="24">
        <v>43115</v>
      </c>
      <c r="B2148" s="9" t="s">
        <v>17</v>
      </c>
      <c r="C2148" s="9">
        <v>5000</v>
      </c>
      <c r="D2148" s="9" t="s">
        <v>10</v>
      </c>
      <c r="E2148" s="19">
        <v>218.4</v>
      </c>
      <c r="F2148" s="19">
        <v>218.9</v>
      </c>
      <c r="G2148" s="9">
        <v>0</v>
      </c>
      <c r="H2148" s="15">
        <v>0</v>
      </c>
      <c r="I2148" s="8">
        <f t="shared" si="2242"/>
        <v>2500</v>
      </c>
      <c r="J2148" s="8">
        <v>0</v>
      </c>
      <c r="K2148" s="2">
        <v>0</v>
      </c>
      <c r="L2148" s="8">
        <f t="shared" si="2238"/>
        <v>0.5</v>
      </c>
      <c r="M2148" s="8">
        <f t="shared" si="2241"/>
        <v>2500</v>
      </c>
    </row>
    <row r="2149" spans="1:13" ht="15" customHeight="1" x14ac:dyDescent="0.25">
      <c r="A2149" s="24">
        <v>43112</v>
      </c>
      <c r="B2149" s="9" t="s">
        <v>37</v>
      </c>
      <c r="C2149" s="9">
        <v>5000</v>
      </c>
      <c r="D2149" s="9" t="s">
        <v>10</v>
      </c>
      <c r="E2149" s="19">
        <v>139.19999999999999</v>
      </c>
      <c r="F2149" s="19">
        <v>139.69999999999999</v>
      </c>
      <c r="G2149" s="9">
        <v>140.4</v>
      </c>
      <c r="H2149" s="15">
        <v>0</v>
      </c>
      <c r="I2149" s="8">
        <f t="shared" si="2242"/>
        <v>2500</v>
      </c>
      <c r="J2149" s="8">
        <f>(IF(D2149="SELL",IF(G2149="",0,F2149-G2149),IF(D2149="BUY",IF(G2149="",0,G2149-F2149))))*C2149</f>
        <v>3500.0000000000855</v>
      </c>
      <c r="K2149" s="2">
        <v>0</v>
      </c>
      <c r="L2149" s="8">
        <f t="shared" si="2238"/>
        <v>1.2000000000000171</v>
      </c>
      <c r="M2149" s="8">
        <f t="shared" si="2241"/>
        <v>6000.0000000000855</v>
      </c>
    </row>
    <row r="2150" spans="1:13" ht="15" customHeight="1" x14ac:dyDescent="0.25">
      <c r="A2150" s="24">
        <v>43112</v>
      </c>
      <c r="B2150" s="9" t="s">
        <v>16</v>
      </c>
      <c r="C2150" s="9">
        <v>100</v>
      </c>
      <c r="D2150" s="9" t="s">
        <v>11</v>
      </c>
      <c r="E2150" s="19">
        <v>4045</v>
      </c>
      <c r="F2150" s="19">
        <v>4025</v>
      </c>
      <c r="G2150" s="9">
        <v>0</v>
      </c>
      <c r="H2150" s="15">
        <v>0</v>
      </c>
      <c r="I2150" s="8">
        <f t="shared" si="2242"/>
        <v>2000</v>
      </c>
      <c r="J2150" s="8">
        <v>0</v>
      </c>
      <c r="K2150" s="2">
        <v>0</v>
      </c>
      <c r="L2150" s="8">
        <f t="shared" si="2238"/>
        <v>20</v>
      </c>
      <c r="M2150" s="8">
        <f t="shared" si="2241"/>
        <v>2000</v>
      </c>
    </row>
    <row r="2151" spans="1:13" ht="15" customHeight="1" x14ac:dyDescent="0.25">
      <c r="A2151" s="24">
        <v>43112</v>
      </c>
      <c r="B2151" s="9" t="s">
        <v>39</v>
      </c>
      <c r="C2151" s="9">
        <v>5000</v>
      </c>
      <c r="D2151" s="9" t="s">
        <v>10</v>
      </c>
      <c r="E2151" s="19">
        <v>216.8</v>
      </c>
      <c r="F2151" s="19">
        <v>217.3</v>
      </c>
      <c r="G2151" s="9">
        <v>0</v>
      </c>
      <c r="H2151" s="15">
        <v>0</v>
      </c>
      <c r="I2151" s="8">
        <f t="shared" si="2242"/>
        <v>2500</v>
      </c>
      <c r="J2151" s="8">
        <v>0</v>
      </c>
      <c r="K2151" s="2">
        <v>0</v>
      </c>
      <c r="L2151" s="8">
        <f t="shared" si="2238"/>
        <v>0.5</v>
      </c>
      <c r="M2151" s="8">
        <f t="shared" si="2241"/>
        <v>2500</v>
      </c>
    </row>
    <row r="2152" spans="1:13" ht="15" customHeight="1" x14ac:dyDescent="0.25">
      <c r="A2152" s="24">
        <v>43111</v>
      </c>
      <c r="B2152" s="9" t="s">
        <v>16</v>
      </c>
      <c r="C2152" s="9">
        <v>100</v>
      </c>
      <c r="D2152" s="9" t="s">
        <v>10</v>
      </c>
      <c r="E2152" s="19">
        <v>4060</v>
      </c>
      <c r="F2152" s="19">
        <v>4078</v>
      </c>
      <c r="G2152" s="9">
        <v>4103</v>
      </c>
      <c r="H2152" s="15">
        <v>0</v>
      </c>
      <c r="I2152" s="8">
        <f t="shared" si="2242"/>
        <v>1800</v>
      </c>
      <c r="J2152" s="8">
        <f>(IF(D2152="SELL",IF(G2152="",0,F2152-G2152),IF(D2152="BUY",IF(G2152="",0,G2152-F2152))))*C2152</f>
        <v>2500</v>
      </c>
      <c r="K2152" s="2">
        <v>0</v>
      </c>
      <c r="L2152" s="8">
        <f t="shared" si="2238"/>
        <v>43</v>
      </c>
      <c r="M2152" s="8">
        <f t="shared" si="2241"/>
        <v>4300</v>
      </c>
    </row>
    <row r="2153" spans="1:13" ht="15" customHeight="1" x14ac:dyDescent="0.25">
      <c r="A2153" s="24">
        <v>43111</v>
      </c>
      <c r="B2153" s="9" t="s">
        <v>35</v>
      </c>
      <c r="C2153" s="9">
        <v>5000</v>
      </c>
      <c r="D2153" s="9" t="s">
        <v>10</v>
      </c>
      <c r="E2153" s="19">
        <v>163.5</v>
      </c>
      <c r="F2153" s="19">
        <v>164</v>
      </c>
      <c r="G2153" s="9">
        <v>0</v>
      </c>
      <c r="H2153" s="15">
        <v>0</v>
      </c>
      <c r="I2153" s="8">
        <f t="shared" si="2242"/>
        <v>2500</v>
      </c>
      <c r="J2153" s="8">
        <v>0</v>
      </c>
      <c r="K2153" s="2">
        <v>0</v>
      </c>
      <c r="L2153" s="8">
        <f t="shared" si="2238"/>
        <v>0.5</v>
      </c>
      <c r="M2153" s="8">
        <f t="shared" si="2241"/>
        <v>2500</v>
      </c>
    </row>
    <row r="2154" spans="1:13" ht="15" customHeight="1" x14ac:dyDescent="0.25">
      <c r="A2154" s="24">
        <v>43110</v>
      </c>
      <c r="B2154" s="9" t="s">
        <v>16</v>
      </c>
      <c r="C2154" s="9">
        <v>100</v>
      </c>
      <c r="D2154" s="9" t="s">
        <v>10</v>
      </c>
      <c r="E2154" s="19">
        <v>4037</v>
      </c>
      <c r="F2154" s="19">
        <v>4058</v>
      </c>
      <c r="G2154" s="9">
        <v>0</v>
      </c>
      <c r="H2154" s="15">
        <v>0</v>
      </c>
      <c r="I2154" s="8">
        <f t="shared" si="2242"/>
        <v>2100</v>
      </c>
      <c r="J2154" s="8">
        <v>0</v>
      </c>
      <c r="K2154" s="2">
        <v>0</v>
      </c>
      <c r="L2154" s="8">
        <f t="shared" si="2238"/>
        <v>21</v>
      </c>
      <c r="M2154" s="8">
        <f t="shared" si="2241"/>
        <v>2100</v>
      </c>
    </row>
    <row r="2155" spans="1:13" ht="15" customHeight="1" x14ac:dyDescent="0.25">
      <c r="A2155" s="24">
        <v>43110</v>
      </c>
      <c r="B2155" s="9" t="s">
        <v>20</v>
      </c>
      <c r="C2155" s="9">
        <v>1250</v>
      </c>
      <c r="D2155" s="9" t="s">
        <v>10</v>
      </c>
      <c r="E2155" s="19">
        <v>187.9</v>
      </c>
      <c r="F2155" s="19">
        <v>189</v>
      </c>
      <c r="G2155" s="9">
        <v>191</v>
      </c>
      <c r="H2155" s="15">
        <v>0</v>
      </c>
      <c r="I2155" s="8">
        <f t="shared" si="2242"/>
        <v>1374.999999999993</v>
      </c>
      <c r="J2155" s="8">
        <f>(IF(D2155="SELL",IF(G2155="",0,F2155-G2155),IF(D2155="BUY",IF(G2155="",0,G2155-F2155))))*C2155</f>
        <v>2500</v>
      </c>
      <c r="K2155" s="2">
        <v>0</v>
      </c>
      <c r="L2155" s="8">
        <f t="shared" si="2238"/>
        <v>3.0999999999999943</v>
      </c>
      <c r="M2155" s="8">
        <f t="shared" si="2241"/>
        <v>3874.9999999999927</v>
      </c>
    </row>
    <row r="2156" spans="1:13" ht="15" customHeight="1" x14ac:dyDescent="0.25">
      <c r="A2156" s="24">
        <v>43110</v>
      </c>
      <c r="B2156" s="9" t="s">
        <v>31</v>
      </c>
      <c r="C2156" s="9">
        <v>250</v>
      </c>
      <c r="D2156" s="9" t="s">
        <v>10</v>
      </c>
      <c r="E2156" s="19">
        <v>821</v>
      </c>
      <c r="F2156" s="19">
        <v>825</v>
      </c>
      <c r="G2156" s="9">
        <v>832</v>
      </c>
      <c r="H2156" s="15">
        <v>0</v>
      </c>
      <c r="I2156" s="8">
        <f t="shared" si="2242"/>
        <v>1000</v>
      </c>
      <c r="J2156" s="8">
        <f>(IF(D2156="SELL",IF(G2156="",0,F2156-G2156),IF(D2156="BUY",IF(G2156="",0,G2156-F2156))))*C2156</f>
        <v>1750</v>
      </c>
      <c r="K2156" s="2">
        <v>0</v>
      </c>
      <c r="L2156" s="8">
        <f t="shared" si="2238"/>
        <v>11</v>
      </c>
      <c r="M2156" s="8">
        <f t="shared" si="2241"/>
        <v>2750</v>
      </c>
    </row>
    <row r="2157" spans="1:13" ht="15" customHeight="1" x14ac:dyDescent="0.25">
      <c r="A2157" s="24">
        <v>43110</v>
      </c>
      <c r="B2157" s="9" t="s">
        <v>29</v>
      </c>
      <c r="C2157" s="9">
        <v>1000</v>
      </c>
      <c r="D2157" s="9" t="s">
        <v>10</v>
      </c>
      <c r="E2157" s="19">
        <v>456.4</v>
      </c>
      <c r="F2157" s="19">
        <v>457.4</v>
      </c>
      <c r="G2157" s="9">
        <v>459</v>
      </c>
      <c r="H2157" s="15">
        <v>0</v>
      </c>
      <c r="I2157" s="8">
        <f t="shared" si="2242"/>
        <v>1000</v>
      </c>
      <c r="J2157" s="8">
        <f>(IF(D2157="SELL",IF(G2157="",0,F2157-G2157),IF(D2157="BUY",IF(G2157="",0,G2157-F2157))))*C2157</f>
        <v>1600.0000000000227</v>
      </c>
      <c r="K2157" s="2">
        <v>0</v>
      </c>
      <c r="L2157" s="8">
        <f t="shared" si="2238"/>
        <v>2.6000000000000227</v>
      </c>
      <c r="M2157" s="8">
        <f t="shared" si="2241"/>
        <v>2600.0000000000227</v>
      </c>
    </row>
    <row r="2158" spans="1:13" ht="15" customHeight="1" x14ac:dyDescent="0.25">
      <c r="A2158" s="24">
        <v>43109</v>
      </c>
      <c r="B2158" s="9" t="s">
        <v>31</v>
      </c>
      <c r="C2158" s="9">
        <v>250</v>
      </c>
      <c r="D2158" s="9" t="s">
        <v>10</v>
      </c>
      <c r="E2158" s="19">
        <v>800.5</v>
      </c>
      <c r="F2158" s="19">
        <v>805</v>
      </c>
      <c r="G2158" s="9">
        <v>811</v>
      </c>
      <c r="H2158" s="15">
        <v>0</v>
      </c>
      <c r="I2158" s="8">
        <f t="shared" si="2242"/>
        <v>1125</v>
      </c>
      <c r="J2158" s="8">
        <f>(IF(D2158="SELL",IF(G2158="",0,F2158-G2158),IF(D2158="BUY",IF(G2158="",0,G2158-F2158))))*C2158</f>
        <v>1500</v>
      </c>
      <c r="K2158" s="2">
        <v>0</v>
      </c>
      <c r="L2158" s="8">
        <f t="shared" si="2238"/>
        <v>10.5</v>
      </c>
      <c r="M2158" s="8">
        <f t="shared" si="2241"/>
        <v>2625</v>
      </c>
    </row>
    <row r="2159" spans="1:13" ht="15" customHeight="1" x14ac:dyDescent="0.25">
      <c r="A2159" s="24">
        <v>43109</v>
      </c>
      <c r="B2159" s="9" t="s">
        <v>20</v>
      </c>
      <c r="C2159" s="9">
        <v>1250</v>
      </c>
      <c r="D2159" s="9" t="s">
        <v>10</v>
      </c>
      <c r="E2159" s="19">
        <v>182.2</v>
      </c>
      <c r="F2159" s="19">
        <v>183.2</v>
      </c>
      <c r="G2159" s="9">
        <v>185</v>
      </c>
      <c r="H2159" s="15">
        <v>0</v>
      </c>
      <c r="I2159" s="8">
        <f t="shared" si="2242"/>
        <v>1250</v>
      </c>
      <c r="J2159" s="8">
        <f>(IF(D2159="SELL",IF(G2159="",0,F2159-G2159),IF(D2159="BUY",IF(G2159="",0,G2159-F2159))))*C2159</f>
        <v>2250.0000000000141</v>
      </c>
      <c r="K2159" s="2">
        <v>0</v>
      </c>
      <c r="L2159" s="8">
        <f t="shared" si="2238"/>
        <v>2.8000000000000114</v>
      </c>
      <c r="M2159" s="8">
        <f t="shared" si="2241"/>
        <v>3500.0000000000141</v>
      </c>
    </row>
    <row r="2160" spans="1:13" ht="15" customHeight="1" x14ac:dyDescent="0.25">
      <c r="A2160" s="24">
        <v>43109</v>
      </c>
      <c r="B2160" s="9" t="s">
        <v>29</v>
      </c>
      <c r="C2160" s="9">
        <v>1000</v>
      </c>
      <c r="D2160" s="9" t="s">
        <v>10</v>
      </c>
      <c r="E2160" s="19">
        <v>456</v>
      </c>
      <c r="F2160" s="19">
        <v>457</v>
      </c>
      <c r="G2160" s="9">
        <v>0</v>
      </c>
      <c r="H2160" s="15">
        <v>0</v>
      </c>
      <c r="I2160" s="8">
        <f t="shared" si="2242"/>
        <v>1000</v>
      </c>
      <c r="J2160" s="8">
        <v>0</v>
      </c>
      <c r="K2160" s="2">
        <v>0</v>
      </c>
      <c r="L2160" s="8">
        <f t="shared" si="2238"/>
        <v>1</v>
      </c>
      <c r="M2160" s="8">
        <f t="shared" si="2241"/>
        <v>1000</v>
      </c>
    </row>
    <row r="2161" spans="1:13" ht="15" customHeight="1" x14ac:dyDescent="0.25">
      <c r="A2161" s="24">
        <v>43108</v>
      </c>
      <c r="B2161" s="9" t="s">
        <v>39</v>
      </c>
      <c r="C2161" s="9">
        <v>5000</v>
      </c>
      <c r="D2161" s="9" t="s">
        <v>10</v>
      </c>
      <c r="E2161" s="19">
        <v>213.7</v>
      </c>
      <c r="F2161" s="19">
        <v>214.2</v>
      </c>
      <c r="G2161" s="9">
        <v>215</v>
      </c>
      <c r="H2161" s="15">
        <v>0</v>
      </c>
      <c r="I2161" s="8">
        <f t="shared" si="2242"/>
        <v>2500</v>
      </c>
      <c r="J2161" s="8">
        <f>(IF(D2161="SELL",IF(G2161="",0,F2161-G2161),IF(D2161="BUY",IF(G2161="",0,G2161-F2161))))*C2161</f>
        <v>4000.0000000000568</v>
      </c>
      <c r="K2161" s="2">
        <v>0</v>
      </c>
      <c r="L2161" s="8">
        <f t="shared" si="2238"/>
        <v>1.3000000000000114</v>
      </c>
      <c r="M2161" s="8">
        <f t="shared" si="2241"/>
        <v>6500.0000000000564</v>
      </c>
    </row>
    <row r="2162" spans="1:13" ht="15" customHeight="1" x14ac:dyDescent="0.25">
      <c r="A2162" s="24">
        <v>43108</v>
      </c>
      <c r="B2162" s="9" t="s">
        <v>45</v>
      </c>
      <c r="C2162" s="9">
        <v>1250</v>
      </c>
      <c r="D2162" s="9" t="s">
        <v>10</v>
      </c>
      <c r="E2162" s="19">
        <v>181</v>
      </c>
      <c r="F2162" s="19">
        <v>182</v>
      </c>
      <c r="G2162" s="9">
        <v>0</v>
      </c>
      <c r="H2162" s="15">
        <v>0</v>
      </c>
      <c r="I2162" s="8">
        <f t="shared" si="2242"/>
        <v>1250</v>
      </c>
      <c r="J2162" s="8">
        <v>0</v>
      </c>
      <c r="K2162" s="2">
        <f>(IF(D2162="SELL",IF(H2162="",0,G2162-H2162),IF(D2162="BUY",IF(H2162="",0,(H2162-G2162)))))*C2162</f>
        <v>0</v>
      </c>
      <c r="L2162" s="8">
        <f t="shared" ref="L2162:L2225" si="2243">(J2162+I2162+K2162)/C2162</f>
        <v>1</v>
      </c>
      <c r="M2162" s="8">
        <f t="shared" si="2241"/>
        <v>1250</v>
      </c>
    </row>
    <row r="2163" spans="1:13" ht="15" customHeight="1" x14ac:dyDescent="0.25">
      <c r="A2163" s="24">
        <v>43108</v>
      </c>
      <c r="B2163" s="9" t="s">
        <v>31</v>
      </c>
      <c r="C2163" s="9">
        <v>250</v>
      </c>
      <c r="D2163" s="9" t="s">
        <v>11</v>
      </c>
      <c r="E2163" s="19">
        <v>788</v>
      </c>
      <c r="F2163" s="19">
        <v>784</v>
      </c>
      <c r="G2163" s="9">
        <v>0</v>
      </c>
      <c r="H2163" s="15">
        <v>0</v>
      </c>
      <c r="I2163" s="8">
        <f t="shared" si="2242"/>
        <v>1000</v>
      </c>
      <c r="J2163" s="8">
        <v>0</v>
      </c>
      <c r="K2163" s="2">
        <f>(IF(D2163="SELL",IF(H2163="",0,G2163-H2163),IF(D2163="BUY",IF(H2163="",0,(H2163-G2163)))))*C2163</f>
        <v>0</v>
      </c>
      <c r="L2163" s="8">
        <f t="shared" si="2243"/>
        <v>4</v>
      </c>
      <c r="M2163" s="8">
        <f t="shared" si="2241"/>
        <v>1000</v>
      </c>
    </row>
    <row r="2164" spans="1:13" ht="15" customHeight="1" x14ac:dyDescent="0.25">
      <c r="A2164" s="24">
        <v>43105</v>
      </c>
      <c r="B2164" s="9" t="s">
        <v>16</v>
      </c>
      <c r="C2164" s="9">
        <v>100</v>
      </c>
      <c r="D2164" s="9" t="s">
        <v>11</v>
      </c>
      <c r="E2164" s="19">
        <v>3900</v>
      </c>
      <c r="F2164" s="19">
        <v>3880</v>
      </c>
      <c r="G2164" s="9">
        <v>0</v>
      </c>
      <c r="H2164" s="15">
        <v>0</v>
      </c>
      <c r="I2164" s="8">
        <f t="shared" si="2242"/>
        <v>2000</v>
      </c>
      <c r="J2164" s="8">
        <v>0</v>
      </c>
      <c r="K2164" s="2">
        <f>(IF(D2164="SELL",IF(H2164="",0,G2164-H2164),IF(D2164="BUY",IF(H2164="",0,(H2164-G2164)))))*C2164</f>
        <v>0</v>
      </c>
      <c r="L2164" s="8">
        <f t="shared" si="2243"/>
        <v>20</v>
      </c>
      <c r="M2164" s="8">
        <f t="shared" si="2241"/>
        <v>2000</v>
      </c>
    </row>
    <row r="2165" spans="1:13" ht="15" customHeight="1" x14ac:dyDescent="0.25">
      <c r="A2165" s="24">
        <v>43105</v>
      </c>
      <c r="B2165" s="9" t="s">
        <v>17</v>
      </c>
      <c r="C2165" s="9">
        <v>5000</v>
      </c>
      <c r="D2165" s="9" t="s">
        <v>10</v>
      </c>
      <c r="E2165" s="19">
        <v>214</v>
      </c>
      <c r="F2165" s="19">
        <v>214.6</v>
      </c>
      <c r="G2165" s="9">
        <v>215.3</v>
      </c>
      <c r="H2165" s="15">
        <v>0</v>
      </c>
      <c r="I2165" s="8">
        <f t="shared" si="2242"/>
        <v>2999.9999999999718</v>
      </c>
      <c r="J2165" s="8">
        <f>(IF(D2165="SELL",IF(G2165="",0,F2165-G2165),IF(D2165="BUY",IF(G2165="",0,G2165-F2165))))*C2165</f>
        <v>3500.0000000000855</v>
      </c>
      <c r="K2165" s="2">
        <v>0</v>
      </c>
      <c r="L2165" s="8">
        <f t="shared" si="2243"/>
        <v>1.3000000000000114</v>
      </c>
      <c r="M2165" s="8">
        <f t="shared" si="2241"/>
        <v>6500.0000000000564</v>
      </c>
    </row>
    <row r="2166" spans="1:13" ht="15" customHeight="1" x14ac:dyDescent="0.25">
      <c r="A2166" s="24">
        <v>43105</v>
      </c>
      <c r="B2166" s="9" t="s">
        <v>20</v>
      </c>
      <c r="C2166" s="9">
        <v>1250</v>
      </c>
      <c r="D2166" s="9" t="s">
        <v>11</v>
      </c>
      <c r="E2166" s="19">
        <v>181</v>
      </c>
      <c r="F2166" s="19">
        <v>180</v>
      </c>
      <c r="G2166" s="9">
        <v>178</v>
      </c>
      <c r="H2166" s="15">
        <v>176</v>
      </c>
      <c r="I2166" s="8">
        <f t="shared" si="2242"/>
        <v>1250</v>
      </c>
      <c r="J2166" s="8">
        <f>(IF(D2166="SELL",IF(G2166="",0,F2166-G2166),IF(D2166="BUY",IF(G2166="",0,G2166-F2166))))*C2166</f>
        <v>2500</v>
      </c>
      <c r="K2166" s="2">
        <f>(IF(D2166="SELL",IF(H2166="",0,G2166-H2166),IF(D2166="BUY",IF(H2166="",0,(H2166-G2166)))))*C2166</f>
        <v>2500</v>
      </c>
      <c r="L2166" s="8">
        <f t="shared" si="2243"/>
        <v>5</v>
      </c>
      <c r="M2166" s="8">
        <f t="shared" si="2241"/>
        <v>6250</v>
      </c>
    </row>
    <row r="2167" spans="1:13" ht="15" customHeight="1" x14ac:dyDescent="0.25">
      <c r="A2167" s="24">
        <v>43105</v>
      </c>
      <c r="B2167" s="9" t="s">
        <v>18</v>
      </c>
      <c r="C2167" s="9">
        <v>1000</v>
      </c>
      <c r="D2167" s="9" t="s">
        <v>11</v>
      </c>
      <c r="E2167" s="19">
        <v>458.7</v>
      </c>
      <c r="F2167" s="19">
        <v>457.2</v>
      </c>
      <c r="G2167" s="9">
        <v>0</v>
      </c>
      <c r="H2167" s="15">
        <v>0</v>
      </c>
      <c r="I2167" s="8">
        <f t="shared" si="2242"/>
        <v>1500</v>
      </c>
      <c r="J2167" s="8">
        <v>0</v>
      </c>
      <c r="K2167" s="2">
        <f>(IF(D2167="SELL",IF(H2167="",0,G2167-H2167),IF(D2167="BUY",IF(H2167="",0,(H2167-G2167)))))*C2167</f>
        <v>0</v>
      </c>
      <c r="L2167" s="8">
        <f t="shared" si="2243"/>
        <v>1.5</v>
      </c>
      <c r="M2167" s="8">
        <f t="shared" si="2241"/>
        <v>1500</v>
      </c>
    </row>
    <row r="2168" spans="1:13" ht="15" customHeight="1" x14ac:dyDescent="0.25">
      <c r="A2168" s="24">
        <v>43104</v>
      </c>
      <c r="B2168" s="9" t="s">
        <v>19</v>
      </c>
      <c r="C2168" s="9">
        <v>100</v>
      </c>
      <c r="D2168" s="9" t="s">
        <v>11</v>
      </c>
      <c r="E2168" s="19">
        <v>29110</v>
      </c>
      <c r="F2168" s="19">
        <v>29065</v>
      </c>
      <c r="G2168" s="9">
        <v>0</v>
      </c>
      <c r="H2168" s="15">
        <v>0</v>
      </c>
      <c r="I2168" s="8">
        <f t="shared" si="2242"/>
        <v>4500</v>
      </c>
      <c r="J2168" s="8">
        <v>0</v>
      </c>
      <c r="K2168" s="2">
        <f>(IF(D2168="SELL",IF(H2168="",0,G2168-H2168),IF(D2168="BUY",IF(H2168="",0,(H2168-G2168)))))*C2168</f>
        <v>0</v>
      </c>
      <c r="L2168" s="8">
        <f t="shared" si="2243"/>
        <v>45</v>
      </c>
      <c r="M2168" s="8">
        <f t="shared" si="2241"/>
        <v>4500</v>
      </c>
    </row>
    <row r="2169" spans="1:13" ht="15" customHeight="1" x14ac:dyDescent="0.25">
      <c r="A2169" s="24">
        <v>43104</v>
      </c>
      <c r="B2169" s="9" t="s">
        <v>18</v>
      </c>
      <c r="C2169" s="9">
        <v>1000</v>
      </c>
      <c r="D2169" s="9" t="s">
        <v>11</v>
      </c>
      <c r="E2169" s="19">
        <v>459.2</v>
      </c>
      <c r="F2169" s="19">
        <v>454.5</v>
      </c>
      <c r="G2169" s="9">
        <v>0</v>
      </c>
      <c r="H2169" s="15">
        <v>0</v>
      </c>
      <c r="I2169" s="8">
        <f t="shared" si="2242"/>
        <v>4699.9999999999891</v>
      </c>
      <c r="J2169" s="8">
        <v>0</v>
      </c>
      <c r="K2169" s="2">
        <f>(IF(D2169="SELL",IF(H2169="",0,G2169-H2169),IF(D2169="BUY",IF(H2169="",0,(H2169-G2169)))))*C2169</f>
        <v>0</v>
      </c>
      <c r="L2169" s="8">
        <f t="shared" si="2243"/>
        <v>4.6999999999999895</v>
      </c>
      <c r="M2169" s="8">
        <f t="shared" si="2241"/>
        <v>4699.9999999999891</v>
      </c>
    </row>
    <row r="2170" spans="1:13" ht="15" customHeight="1" x14ac:dyDescent="0.25">
      <c r="A2170" s="24">
        <v>43104</v>
      </c>
      <c r="B2170" s="9" t="s">
        <v>21</v>
      </c>
      <c r="C2170" s="9">
        <v>250</v>
      </c>
      <c r="D2170" s="9" t="s">
        <v>10</v>
      </c>
      <c r="E2170" s="19">
        <v>792</v>
      </c>
      <c r="F2170" s="19">
        <v>796</v>
      </c>
      <c r="G2170" s="9">
        <v>802</v>
      </c>
      <c r="H2170" s="15">
        <v>0</v>
      </c>
      <c r="I2170" s="8">
        <f t="shared" si="2242"/>
        <v>1000</v>
      </c>
      <c r="J2170" s="8">
        <f>(IF(D2170="SELL",IF(G2170="",0,F2170-G2170),IF(D2170="BUY",IF(G2170="",0,G2170-F2170))))*C2170</f>
        <v>1500</v>
      </c>
      <c r="K2170" s="2">
        <v>0</v>
      </c>
      <c r="L2170" s="8">
        <f t="shared" si="2243"/>
        <v>10</v>
      </c>
      <c r="M2170" s="8">
        <f t="shared" si="2241"/>
        <v>2500</v>
      </c>
    </row>
    <row r="2171" spans="1:13" ht="15" customHeight="1" x14ac:dyDescent="0.25">
      <c r="A2171" s="24">
        <v>43104</v>
      </c>
      <c r="B2171" s="9" t="s">
        <v>45</v>
      </c>
      <c r="C2171" s="9">
        <v>1250</v>
      </c>
      <c r="D2171" s="9" t="s">
        <v>10</v>
      </c>
      <c r="E2171" s="19">
        <v>194.3</v>
      </c>
      <c r="F2171" s="19">
        <v>195.3</v>
      </c>
      <c r="G2171" s="9">
        <v>0</v>
      </c>
      <c r="H2171" s="15">
        <v>0</v>
      </c>
      <c r="I2171" s="8">
        <f t="shared" si="2242"/>
        <v>1250</v>
      </c>
      <c r="J2171" s="8">
        <v>0</v>
      </c>
      <c r="K2171" s="2">
        <f t="shared" ref="K2171:K2179" si="2244">(IF(D2171="SELL",IF(H2171="",0,G2171-H2171),IF(D2171="BUY",IF(H2171="",0,(H2171-G2171)))))*C2171</f>
        <v>0</v>
      </c>
      <c r="L2171" s="8">
        <f t="shared" si="2243"/>
        <v>1</v>
      </c>
      <c r="M2171" s="8">
        <f t="shared" si="2241"/>
        <v>1250</v>
      </c>
    </row>
    <row r="2172" spans="1:13" ht="15" customHeight="1" x14ac:dyDescent="0.25">
      <c r="A2172" s="24">
        <v>43103</v>
      </c>
      <c r="B2172" s="9" t="s">
        <v>49</v>
      </c>
      <c r="C2172" s="9">
        <v>100</v>
      </c>
      <c r="D2172" s="9" t="s">
        <v>10</v>
      </c>
      <c r="E2172" s="19">
        <v>3860</v>
      </c>
      <c r="F2172" s="19">
        <v>3880</v>
      </c>
      <c r="G2172" s="9">
        <v>0</v>
      </c>
      <c r="H2172" s="15">
        <v>0</v>
      </c>
      <c r="I2172" s="8">
        <f t="shared" si="2242"/>
        <v>2000</v>
      </c>
      <c r="J2172" s="8">
        <v>0</v>
      </c>
      <c r="K2172" s="2">
        <f t="shared" si="2244"/>
        <v>0</v>
      </c>
      <c r="L2172" s="8">
        <f t="shared" si="2243"/>
        <v>20</v>
      </c>
      <c r="M2172" s="8">
        <f t="shared" si="2241"/>
        <v>2000</v>
      </c>
    </row>
    <row r="2173" spans="1:13" ht="15" customHeight="1" x14ac:dyDescent="0.25">
      <c r="A2173" s="24">
        <v>43102</v>
      </c>
      <c r="B2173" s="9" t="s">
        <v>21</v>
      </c>
      <c r="C2173" s="9">
        <v>250</v>
      </c>
      <c r="D2173" s="9" t="s">
        <v>11</v>
      </c>
      <c r="E2173" s="19">
        <v>801.7</v>
      </c>
      <c r="F2173" s="19">
        <v>812</v>
      </c>
      <c r="G2173" s="9">
        <v>0</v>
      </c>
      <c r="H2173" s="15">
        <v>0</v>
      </c>
      <c r="I2173" s="8">
        <f t="shared" si="2242"/>
        <v>-2574.9999999999886</v>
      </c>
      <c r="J2173" s="8">
        <v>0</v>
      </c>
      <c r="K2173" s="2">
        <f t="shared" si="2244"/>
        <v>0</v>
      </c>
      <c r="L2173" s="8">
        <f t="shared" si="2243"/>
        <v>-10.299999999999955</v>
      </c>
      <c r="M2173" s="8">
        <f t="shared" si="2241"/>
        <v>-2574.9999999999886</v>
      </c>
    </row>
    <row r="2174" spans="1:13" ht="15" customHeight="1" x14ac:dyDescent="0.25">
      <c r="A2174" s="24">
        <v>43101</v>
      </c>
      <c r="B2174" s="9" t="s">
        <v>20</v>
      </c>
      <c r="C2174" s="9">
        <v>1250</v>
      </c>
      <c r="D2174" s="9" t="s">
        <v>11</v>
      </c>
      <c r="E2174" s="19">
        <v>187</v>
      </c>
      <c r="F2174" s="19">
        <v>190</v>
      </c>
      <c r="G2174" s="9">
        <v>0</v>
      </c>
      <c r="H2174" s="15">
        <v>0</v>
      </c>
      <c r="I2174" s="8">
        <f t="shared" si="2242"/>
        <v>-3750</v>
      </c>
      <c r="J2174" s="8">
        <v>0</v>
      </c>
      <c r="K2174" s="2">
        <f t="shared" si="2244"/>
        <v>0</v>
      </c>
      <c r="L2174" s="8">
        <f t="shared" si="2243"/>
        <v>-3</v>
      </c>
      <c r="M2174" s="8">
        <f t="shared" si="2241"/>
        <v>-3750</v>
      </c>
    </row>
    <row r="2175" spans="1:13" ht="15" customHeight="1" x14ac:dyDescent="0.25">
      <c r="A2175" s="24">
        <v>43101</v>
      </c>
      <c r="B2175" s="9" t="s">
        <v>29</v>
      </c>
      <c r="C2175" s="9">
        <v>1000</v>
      </c>
      <c r="D2175" s="9" t="s">
        <v>11</v>
      </c>
      <c r="E2175" s="19">
        <v>466.5</v>
      </c>
      <c r="F2175" s="19">
        <v>465</v>
      </c>
      <c r="G2175" s="9">
        <v>0</v>
      </c>
      <c r="H2175" s="15">
        <v>0</v>
      </c>
      <c r="I2175" s="8">
        <f t="shared" si="2242"/>
        <v>1500</v>
      </c>
      <c r="J2175" s="8">
        <v>0</v>
      </c>
      <c r="K2175" s="2">
        <f t="shared" si="2244"/>
        <v>0</v>
      </c>
      <c r="L2175" s="8">
        <f t="shared" si="2243"/>
        <v>1.5</v>
      </c>
      <c r="M2175" s="8">
        <f t="shared" si="2241"/>
        <v>1500</v>
      </c>
    </row>
    <row r="2176" spans="1:13" ht="15" customHeight="1" x14ac:dyDescent="0.25">
      <c r="A2176" s="24">
        <v>43098</v>
      </c>
      <c r="B2176" s="9" t="s">
        <v>48</v>
      </c>
      <c r="C2176" s="9">
        <v>1000</v>
      </c>
      <c r="D2176" s="9" t="s">
        <v>11</v>
      </c>
      <c r="E2176" s="19">
        <v>466</v>
      </c>
      <c r="F2176" s="19">
        <v>465</v>
      </c>
      <c r="G2176" s="9">
        <v>463.5</v>
      </c>
      <c r="H2176" s="15">
        <v>461</v>
      </c>
      <c r="I2176" s="8">
        <f t="shared" si="2242"/>
        <v>1000</v>
      </c>
      <c r="J2176" s="8">
        <f>(IF(D2176="SELL",IF(G2176="",0,F2176-G2176),IF(D2176="BUY",IF(G2176="",0,G2176-F2176))))*C2176</f>
        <v>1500</v>
      </c>
      <c r="K2176" s="2">
        <f t="shared" si="2244"/>
        <v>2500</v>
      </c>
      <c r="L2176" s="8">
        <f t="shared" si="2243"/>
        <v>5</v>
      </c>
      <c r="M2176" s="8">
        <f t="shared" si="2241"/>
        <v>5000</v>
      </c>
    </row>
    <row r="2177" spans="1:13" ht="15" customHeight="1" x14ac:dyDescent="0.25">
      <c r="A2177" s="24">
        <v>43098</v>
      </c>
      <c r="B2177" s="9" t="s">
        <v>20</v>
      </c>
      <c r="C2177" s="9">
        <v>1250</v>
      </c>
      <c r="D2177" s="9" t="s">
        <v>10</v>
      </c>
      <c r="E2177" s="19">
        <v>189.6</v>
      </c>
      <c r="F2177" s="19">
        <v>190.6</v>
      </c>
      <c r="G2177" s="9">
        <v>0</v>
      </c>
      <c r="H2177" s="15">
        <v>0</v>
      </c>
      <c r="I2177" s="8">
        <f t="shared" si="2242"/>
        <v>1250</v>
      </c>
      <c r="J2177" s="8">
        <v>0</v>
      </c>
      <c r="K2177" s="2">
        <f t="shared" si="2244"/>
        <v>0</v>
      </c>
      <c r="L2177" s="8">
        <f t="shared" si="2243"/>
        <v>1</v>
      </c>
      <c r="M2177" s="8">
        <f t="shared" si="2241"/>
        <v>1250</v>
      </c>
    </row>
    <row r="2178" spans="1:13" ht="15" customHeight="1" x14ac:dyDescent="0.25">
      <c r="A2178" s="24">
        <v>43097</v>
      </c>
      <c r="B2178" s="9" t="s">
        <v>30</v>
      </c>
      <c r="C2178" s="9">
        <v>100</v>
      </c>
      <c r="D2178" s="9" t="s">
        <v>10</v>
      </c>
      <c r="E2178" s="19">
        <v>29005</v>
      </c>
      <c r="F2178" s="19">
        <v>29045</v>
      </c>
      <c r="G2178" s="9">
        <v>0</v>
      </c>
      <c r="H2178" s="15">
        <v>0</v>
      </c>
      <c r="I2178" s="8">
        <f t="shared" ref="I2178:I2199" si="2245">(IF(D2178="SELL",E2178-F2178,IF(D2178="BUY",F2178-E2178)))*C2178</f>
        <v>4000</v>
      </c>
      <c r="J2178" s="8">
        <v>0</v>
      </c>
      <c r="K2178" s="2">
        <f t="shared" si="2244"/>
        <v>0</v>
      </c>
      <c r="L2178" s="8">
        <f t="shared" si="2243"/>
        <v>40</v>
      </c>
      <c r="M2178" s="8">
        <f t="shared" si="2241"/>
        <v>4000</v>
      </c>
    </row>
    <row r="2179" spans="1:13" ht="15" customHeight="1" x14ac:dyDescent="0.25">
      <c r="A2179" s="24">
        <v>43097</v>
      </c>
      <c r="B2179" s="9" t="s">
        <v>47</v>
      </c>
      <c r="C2179" s="9">
        <v>1250</v>
      </c>
      <c r="D2179" s="9" t="s">
        <v>10</v>
      </c>
      <c r="E2179" s="19">
        <v>179.4</v>
      </c>
      <c r="F2179" s="19">
        <v>180.4</v>
      </c>
      <c r="G2179" s="9">
        <v>181.8</v>
      </c>
      <c r="H2179" s="15">
        <v>183.5</v>
      </c>
      <c r="I2179" s="8">
        <f t="shared" si="2245"/>
        <v>1250</v>
      </c>
      <c r="J2179" s="8">
        <f>(IF(D2179="SELL",IF(G2179="",0,F2179-G2179),IF(D2179="BUY",IF(G2179="",0,G2179-F2179))))*C2179</f>
        <v>1750.000000000007</v>
      </c>
      <c r="K2179" s="2">
        <f t="shared" si="2244"/>
        <v>2124.9999999999859</v>
      </c>
      <c r="L2179" s="8">
        <f t="shared" si="2243"/>
        <v>4.0999999999999943</v>
      </c>
      <c r="M2179" s="8">
        <f t="shared" si="2241"/>
        <v>5124.9999999999927</v>
      </c>
    </row>
    <row r="2180" spans="1:13" ht="15" customHeight="1" x14ac:dyDescent="0.25">
      <c r="A2180" s="24">
        <v>43097</v>
      </c>
      <c r="B2180" s="9" t="s">
        <v>18</v>
      </c>
      <c r="C2180" s="9">
        <v>1000</v>
      </c>
      <c r="D2180" s="9" t="s">
        <v>10</v>
      </c>
      <c r="E2180" s="19">
        <v>466.8</v>
      </c>
      <c r="F2180" s="19">
        <v>467.8</v>
      </c>
      <c r="G2180" s="9">
        <v>469.2</v>
      </c>
      <c r="H2180" s="15">
        <v>0</v>
      </c>
      <c r="I2180" s="8">
        <f t="shared" si="2245"/>
        <v>1000</v>
      </c>
      <c r="J2180" s="8">
        <f>(IF(D2180="SELL",IF(G2180="",0,F2180-G2180),IF(D2180="BUY",IF(G2180="",0,G2180-F2180))))*C2180</f>
        <v>1399.9999999999773</v>
      </c>
      <c r="K2180" s="2">
        <v>0</v>
      </c>
      <c r="L2180" s="8">
        <f t="shared" si="2243"/>
        <v>2.3999999999999773</v>
      </c>
      <c r="M2180" s="8">
        <f t="shared" si="2241"/>
        <v>2399.9999999999773</v>
      </c>
    </row>
    <row r="2181" spans="1:13" ht="15" customHeight="1" x14ac:dyDescent="0.25">
      <c r="A2181" s="24">
        <v>43097</v>
      </c>
      <c r="B2181" s="9" t="s">
        <v>31</v>
      </c>
      <c r="C2181" s="9">
        <v>250</v>
      </c>
      <c r="D2181" s="9" t="s">
        <v>10</v>
      </c>
      <c r="E2181" s="19">
        <v>776.8</v>
      </c>
      <c r="F2181" s="19">
        <v>780</v>
      </c>
      <c r="G2181" s="9">
        <v>786</v>
      </c>
      <c r="H2181" s="15">
        <v>0</v>
      </c>
      <c r="I2181" s="8">
        <f t="shared" si="2245"/>
        <v>800.00000000001137</v>
      </c>
      <c r="J2181" s="8">
        <f>(IF(D2181="SELL",IF(G2181="",0,F2181-G2181),IF(D2181="BUY",IF(G2181="",0,G2181-F2181))))*C2181</f>
        <v>1500</v>
      </c>
      <c r="K2181" s="2">
        <v>0</v>
      </c>
      <c r="L2181" s="8">
        <f t="shared" si="2243"/>
        <v>9.2000000000000455</v>
      </c>
      <c r="M2181" s="8">
        <f t="shared" ref="M2181:M2244" si="2246">L2181*C2181</f>
        <v>2300.0000000000114</v>
      </c>
    </row>
    <row r="2182" spans="1:13" ht="15" customHeight="1" x14ac:dyDescent="0.25">
      <c r="A2182" s="24">
        <v>43096</v>
      </c>
      <c r="B2182" s="9" t="s">
        <v>37</v>
      </c>
      <c r="C2182" s="9">
        <v>5000</v>
      </c>
      <c r="D2182" s="9" t="s">
        <v>10</v>
      </c>
      <c r="E2182" s="19">
        <v>140</v>
      </c>
      <c r="F2182" s="19">
        <v>140.5</v>
      </c>
      <c r="G2182" s="9">
        <v>141.19999999999999</v>
      </c>
      <c r="H2182" s="15">
        <v>0</v>
      </c>
      <c r="I2182" s="8">
        <f t="shared" si="2245"/>
        <v>2500</v>
      </c>
      <c r="J2182" s="8">
        <f>(IF(D2182="SELL",IF(G2182="",0,F2182-G2182),IF(D2182="BUY",IF(G2182="",0,G2182-F2182))))*C2182</f>
        <v>3499.9999999999432</v>
      </c>
      <c r="K2182" s="2">
        <v>0</v>
      </c>
      <c r="L2182" s="8">
        <f t="shared" si="2243"/>
        <v>1.1999999999999886</v>
      </c>
      <c r="M2182" s="8">
        <f t="shared" si="2246"/>
        <v>5999.9999999999436</v>
      </c>
    </row>
    <row r="2183" spans="1:13" ht="15" customHeight="1" x14ac:dyDescent="0.25">
      <c r="A2183" s="24">
        <v>43096</v>
      </c>
      <c r="B2183" s="9" t="s">
        <v>39</v>
      </c>
      <c r="C2183" s="9">
        <v>5000</v>
      </c>
      <c r="D2183" s="9" t="s">
        <v>11</v>
      </c>
      <c r="E2183" s="19">
        <v>208.5</v>
      </c>
      <c r="F2183" s="19">
        <v>208</v>
      </c>
      <c r="G2183" s="9">
        <v>0</v>
      </c>
      <c r="H2183" s="15">
        <v>0</v>
      </c>
      <c r="I2183" s="8">
        <f t="shared" si="2245"/>
        <v>2500</v>
      </c>
      <c r="J2183" s="8">
        <v>0</v>
      </c>
      <c r="K2183" s="2">
        <v>0</v>
      </c>
      <c r="L2183" s="8">
        <f t="shared" si="2243"/>
        <v>0.5</v>
      </c>
      <c r="M2183" s="8">
        <f t="shared" si="2246"/>
        <v>2500</v>
      </c>
    </row>
    <row r="2184" spans="1:13" ht="15" customHeight="1" x14ac:dyDescent="0.25">
      <c r="A2184" s="24">
        <v>43096</v>
      </c>
      <c r="B2184" s="9" t="s">
        <v>31</v>
      </c>
      <c r="C2184" s="9">
        <v>250</v>
      </c>
      <c r="D2184" s="9" t="s">
        <v>11</v>
      </c>
      <c r="E2184" s="19">
        <v>761.5</v>
      </c>
      <c r="F2184" s="19">
        <v>757</v>
      </c>
      <c r="G2184" s="9">
        <v>0</v>
      </c>
      <c r="H2184" s="15">
        <v>0</v>
      </c>
      <c r="I2184" s="8">
        <f t="shared" si="2245"/>
        <v>1125</v>
      </c>
      <c r="J2184" s="8">
        <v>0</v>
      </c>
      <c r="K2184" s="2">
        <v>0</v>
      </c>
      <c r="L2184" s="8">
        <f t="shared" si="2243"/>
        <v>4.5</v>
      </c>
      <c r="M2184" s="8">
        <f t="shared" si="2246"/>
        <v>1125</v>
      </c>
    </row>
    <row r="2185" spans="1:13" ht="15" customHeight="1" x14ac:dyDescent="0.25">
      <c r="A2185" s="24">
        <v>43095</v>
      </c>
      <c r="B2185" s="9" t="s">
        <v>18</v>
      </c>
      <c r="C2185" s="9">
        <v>1000</v>
      </c>
      <c r="D2185" s="9" t="s">
        <v>10</v>
      </c>
      <c r="E2185" s="19">
        <v>462.5</v>
      </c>
      <c r="F2185" s="19">
        <v>463.6</v>
      </c>
      <c r="G2185" s="9">
        <v>0</v>
      </c>
      <c r="H2185" s="15">
        <v>0</v>
      </c>
      <c r="I2185" s="8">
        <f t="shared" si="2245"/>
        <v>1100.0000000000227</v>
      </c>
      <c r="J2185" s="8">
        <v>0</v>
      </c>
      <c r="K2185" s="2">
        <v>0</v>
      </c>
      <c r="L2185" s="8">
        <f t="shared" si="2243"/>
        <v>1.1000000000000227</v>
      </c>
      <c r="M2185" s="8">
        <f t="shared" si="2246"/>
        <v>1100.0000000000227</v>
      </c>
    </row>
    <row r="2186" spans="1:13" ht="15" customHeight="1" x14ac:dyDescent="0.25">
      <c r="A2186" s="24">
        <v>43095</v>
      </c>
      <c r="B2186" s="9" t="s">
        <v>46</v>
      </c>
      <c r="C2186" s="9">
        <v>1250</v>
      </c>
      <c r="D2186" s="9" t="s">
        <v>10</v>
      </c>
      <c r="E2186" s="19">
        <v>175.4</v>
      </c>
      <c r="F2186" s="19">
        <v>176.5</v>
      </c>
      <c r="G2186" s="9">
        <v>178</v>
      </c>
      <c r="H2186" s="15">
        <v>0</v>
      </c>
      <c r="I2186" s="8">
        <f t="shared" si="2245"/>
        <v>1374.999999999993</v>
      </c>
      <c r="J2186" s="8">
        <f>(IF(D2186="SELL",IF(G2186="",0,F2186-G2186),IF(D2186="BUY",IF(G2186="",0,G2186-F2186))))*C2186</f>
        <v>1875</v>
      </c>
      <c r="K2186" s="2">
        <v>0</v>
      </c>
      <c r="L2186" s="8">
        <f t="shared" si="2243"/>
        <v>2.5999999999999943</v>
      </c>
      <c r="M2186" s="8">
        <f t="shared" si="2246"/>
        <v>3249.9999999999927</v>
      </c>
    </row>
    <row r="2187" spans="1:13" ht="15" customHeight="1" x14ac:dyDescent="0.25">
      <c r="A2187" s="24">
        <v>43091</v>
      </c>
      <c r="B2187" s="9" t="s">
        <v>39</v>
      </c>
      <c r="C2187" s="9">
        <v>5000</v>
      </c>
      <c r="D2187" s="9" t="s">
        <v>10</v>
      </c>
      <c r="E2187" s="19">
        <v>207.2</v>
      </c>
      <c r="F2187" s="19">
        <v>207.8</v>
      </c>
      <c r="G2187" s="9">
        <v>0</v>
      </c>
      <c r="H2187" s="15">
        <v>0</v>
      </c>
      <c r="I2187" s="8">
        <f t="shared" si="2245"/>
        <v>3000.0000000001137</v>
      </c>
      <c r="J2187" s="8">
        <v>0</v>
      </c>
      <c r="K2187" s="2">
        <v>0</v>
      </c>
      <c r="L2187" s="8">
        <f t="shared" si="2243"/>
        <v>0.60000000000002274</v>
      </c>
      <c r="M2187" s="8">
        <f t="shared" si="2246"/>
        <v>3000.0000000001137</v>
      </c>
    </row>
    <row r="2188" spans="1:13" ht="15" customHeight="1" x14ac:dyDescent="0.25">
      <c r="A2188" s="24">
        <v>43091</v>
      </c>
      <c r="B2188" s="9" t="s">
        <v>35</v>
      </c>
      <c r="C2188" s="9">
        <v>5000</v>
      </c>
      <c r="D2188" s="9" t="s">
        <v>11</v>
      </c>
      <c r="E2188" s="19">
        <v>159</v>
      </c>
      <c r="F2188" s="19">
        <v>158.5</v>
      </c>
      <c r="G2188" s="9">
        <v>0</v>
      </c>
      <c r="H2188" s="15">
        <v>0</v>
      </c>
      <c r="I2188" s="8">
        <f t="shared" si="2245"/>
        <v>2500</v>
      </c>
      <c r="J2188" s="8">
        <v>0</v>
      </c>
      <c r="K2188" s="2">
        <v>0</v>
      </c>
      <c r="L2188" s="8">
        <f t="shared" si="2243"/>
        <v>0.5</v>
      </c>
      <c r="M2188" s="8">
        <f t="shared" si="2246"/>
        <v>2500</v>
      </c>
    </row>
    <row r="2189" spans="1:13" ht="15" customHeight="1" x14ac:dyDescent="0.25">
      <c r="A2189" s="24">
        <v>43091</v>
      </c>
      <c r="B2189" s="9" t="s">
        <v>37</v>
      </c>
      <c r="C2189" s="9">
        <v>5000</v>
      </c>
      <c r="D2189" s="9" t="s">
        <v>10</v>
      </c>
      <c r="E2189" s="19">
        <v>137.55000000000001</v>
      </c>
      <c r="F2189" s="19">
        <v>138</v>
      </c>
      <c r="G2189" s="9">
        <v>0</v>
      </c>
      <c r="H2189" s="15">
        <v>0</v>
      </c>
      <c r="I2189" s="8">
        <f t="shared" si="2245"/>
        <v>2249.9999999999432</v>
      </c>
      <c r="J2189" s="8">
        <v>0</v>
      </c>
      <c r="K2189" s="2">
        <v>0</v>
      </c>
      <c r="L2189" s="8">
        <f t="shared" si="2243"/>
        <v>0.44999999999998863</v>
      </c>
      <c r="M2189" s="8">
        <f t="shared" si="2246"/>
        <v>2249.9999999999432</v>
      </c>
    </row>
    <row r="2190" spans="1:13" ht="15" customHeight="1" x14ac:dyDescent="0.25">
      <c r="A2190" s="24">
        <v>43091</v>
      </c>
      <c r="B2190" s="9" t="s">
        <v>21</v>
      </c>
      <c r="C2190" s="9">
        <v>250</v>
      </c>
      <c r="D2190" s="9" t="s">
        <v>10</v>
      </c>
      <c r="E2190" s="19">
        <v>769</v>
      </c>
      <c r="F2190" s="19">
        <v>773</v>
      </c>
      <c r="G2190" s="9">
        <v>779</v>
      </c>
      <c r="H2190" s="15">
        <v>0</v>
      </c>
      <c r="I2190" s="8">
        <f t="shared" si="2245"/>
        <v>1000</v>
      </c>
      <c r="J2190" s="8">
        <f>(IF(D2190="SELL",IF(G2190="",0,F2190-G2190),IF(D2190="BUY",IF(G2190="",0,G2190-F2190))))*C2190</f>
        <v>1500</v>
      </c>
      <c r="K2190" s="2">
        <v>0</v>
      </c>
      <c r="L2190" s="8">
        <f t="shared" si="2243"/>
        <v>10</v>
      </c>
      <c r="M2190" s="8">
        <f t="shared" si="2246"/>
        <v>2500</v>
      </c>
    </row>
    <row r="2191" spans="1:13" ht="15" customHeight="1" x14ac:dyDescent="0.25">
      <c r="A2191" s="24">
        <v>43090</v>
      </c>
      <c r="B2191" s="9" t="s">
        <v>39</v>
      </c>
      <c r="C2191" s="9">
        <v>5000</v>
      </c>
      <c r="D2191" s="9" t="s">
        <v>10</v>
      </c>
      <c r="E2191" s="19">
        <v>206.1</v>
      </c>
      <c r="F2191" s="19">
        <v>206.7</v>
      </c>
      <c r="G2191" s="9">
        <v>0</v>
      </c>
      <c r="H2191" s="15">
        <v>0</v>
      </c>
      <c r="I2191" s="8">
        <f t="shared" si="2245"/>
        <v>2999.9999999999718</v>
      </c>
      <c r="J2191" s="8">
        <v>0</v>
      </c>
      <c r="K2191" s="2">
        <v>0</v>
      </c>
      <c r="L2191" s="8">
        <f t="shared" si="2243"/>
        <v>0.59999999999999432</v>
      </c>
      <c r="M2191" s="8">
        <f t="shared" si="2246"/>
        <v>2999.9999999999718</v>
      </c>
    </row>
    <row r="2192" spans="1:13" ht="15" customHeight="1" x14ac:dyDescent="0.25">
      <c r="A2192" s="24">
        <v>43090</v>
      </c>
      <c r="B2192" s="9" t="s">
        <v>31</v>
      </c>
      <c r="C2192" s="9">
        <v>250</v>
      </c>
      <c r="D2192" s="9" t="s">
        <v>10</v>
      </c>
      <c r="E2192" s="19">
        <v>766</v>
      </c>
      <c r="F2192" s="19">
        <v>770</v>
      </c>
      <c r="G2192" s="9">
        <v>0</v>
      </c>
      <c r="H2192" s="15">
        <v>0</v>
      </c>
      <c r="I2192" s="8">
        <f t="shared" si="2245"/>
        <v>1000</v>
      </c>
      <c r="J2192" s="8">
        <v>0</v>
      </c>
      <c r="K2192" s="2">
        <v>0</v>
      </c>
      <c r="L2192" s="8">
        <f t="shared" si="2243"/>
        <v>4</v>
      </c>
      <c r="M2192" s="8">
        <f t="shared" si="2246"/>
        <v>1000</v>
      </c>
    </row>
    <row r="2193" spans="1:13" ht="15" customHeight="1" x14ac:dyDescent="0.25">
      <c r="A2193" s="24">
        <v>43089</v>
      </c>
      <c r="B2193" s="9" t="s">
        <v>35</v>
      </c>
      <c r="C2193" s="9">
        <v>5000</v>
      </c>
      <c r="D2193" s="9" t="s">
        <v>10</v>
      </c>
      <c r="E2193" s="19">
        <v>164.5</v>
      </c>
      <c r="F2193" s="19">
        <v>163.5</v>
      </c>
      <c r="G2193" s="9">
        <v>0</v>
      </c>
      <c r="H2193" s="15">
        <v>0</v>
      </c>
      <c r="I2193" s="8">
        <f t="shared" si="2245"/>
        <v>-5000</v>
      </c>
      <c r="J2193" s="8">
        <v>0</v>
      </c>
      <c r="K2193" s="2">
        <v>0</v>
      </c>
      <c r="L2193" s="8">
        <f t="shared" si="2243"/>
        <v>-1</v>
      </c>
      <c r="M2193" s="8">
        <f t="shared" si="2246"/>
        <v>-5000</v>
      </c>
    </row>
    <row r="2194" spans="1:13" ht="15" customHeight="1" x14ac:dyDescent="0.25">
      <c r="A2194" s="24">
        <v>43089</v>
      </c>
      <c r="B2194" s="9" t="s">
        <v>39</v>
      </c>
      <c r="C2194" s="9">
        <v>5000</v>
      </c>
      <c r="D2194" s="9" t="s">
        <v>10</v>
      </c>
      <c r="E2194" s="19">
        <v>206.4</v>
      </c>
      <c r="F2194" s="19">
        <v>206.9</v>
      </c>
      <c r="G2194" s="9">
        <v>207.6</v>
      </c>
      <c r="H2194" s="15">
        <v>0</v>
      </c>
      <c r="I2194" s="8">
        <f t="shared" si="2245"/>
        <v>2500</v>
      </c>
      <c r="J2194" s="8">
        <f>(IF(D2194="SELL",IF(G2194="",0,F2194-G2194),IF(D2194="BUY",IF(G2194="",0,G2194-F2194))))*C2194</f>
        <v>3499.9999999999432</v>
      </c>
      <c r="K2194" s="2">
        <v>0</v>
      </c>
      <c r="L2194" s="8">
        <f t="shared" si="2243"/>
        <v>1.1999999999999886</v>
      </c>
      <c r="M2194" s="8">
        <f t="shared" si="2246"/>
        <v>5999.9999999999436</v>
      </c>
    </row>
    <row r="2195" spans="1:13" ht="15" customHeight="1" x14ac:dyDescent="0.25">
      <c r="A2195" s="24">
        <v>43089</v>
      </c>
      <c r="B2195" s="9" t="s">
        <v>29</v>
      </c>
      <c r="C2195" s="9">
        <v>1000</v>
      </c>
      <c r="D2195" s="9" t="s">
        <v>10</v>
      </c>
      <c r="E2195" s="19">
        <v>450</v>
      </c>
      <c r="F2195" s="19">
        <v>451</v>
      </c>
      <c r="G2195" s="9">
        <v>0</v>
      </c>
      <c r="H2195" s="15">
        <v>0</v>
      </c>
      <c r="I2195" s="8">
        <f t="shared" si="2245"/>
        <v>1000</v>
      </c>
      <c r="J2195" s="8">
        <v>0</v>
      </c>
      <c r="K2195" s="2">
        <v>0</v>
      </c>
      <c r="L2195" s="8">
        <f t="shared" si="2243"/>
        <v>1</v>
      </c>
      <c r="M2195" s="8">
        <f t="shared" si="2246"/>
        <v>1000</v>
      </c>
    </row>
    <row r="2196" spans="1:13" ht="15" customHeight="1" x14ac:dyDescent="0.25">
      <c r="A2196" s="24">
        <v>43089</v>
      </c>
      <c r="B2196" s="9" t="s">
        <v>31</v>
      </c>
      <c r="C2196" s="9">
        <v>250</v>
      </c>
      <c r="D2196" s="9" t="s">
        <v>10</v>
      </c>
      <c r="E2196" s="19">
        <v>756.5</v>
      </c>
      <c r="F2196" s="19">
        <v>760</v>
      </c>
      <c r="G2196" s="9">
        <v>0</v>
      </c>
      <c r="H2196" s="15">
        <v>0</v>
      </c>
      <c r="I2196" s="8">
        <f t="shared" si="2245"/>
        <v>875</v>
      </c>
      <c r="J2196" s="8">
        <v>0</v>
      </c>
      <c r="K2196" s="2">
        <v>0</v>
      </c>
      <c r="L2196" s="8">
        <f t="shared" si="2243"/>
        <v>3.5</v>
      </c>
      <c r="M2196" s="8">
        <f t="shared" si="2246"/>
        <v>875</v>
      </c>
    </row>
    <row r="2197" spans="1:13" ht="15" customHeight="1" x14ac:dyDescent="0.25">
      <c r="A2197" s="24">
        <v>43088</v>
      </c>
      <c r="B2197" s="9" t="s">
        <v>35</v>
      </c>
      <c r="C2197" s="9">
        <v>5000</v>
      </c>
      <c r="D2197" s="9" t="s">
        <v>11</v>
      </c>
      <c r="E2197" s="19">
        <v>163.80000000000001</v>
      </c>
      <c r="F2197" s="19">
        <v>163.30000000000001</v>
      </c>
      <c r="G2197" s="9">
        <v>0</v>
      </c>
      <c r="H2197" s="15">
        <v>0</v>
      </c>
      <c r="I2197" s="8">
        <f t="shared" si="2245"/>
        <v>2500</v>
      </c>
      <c r="J2197" s="8">
        <v>0</v>
      </c>
      <c r="K2197" s="2">
        <v>0</v>
      </c>
      <c r="L2197" s="8">
        <f t="shared" si="2243"/>
        <v>0.5</v>
      </c>
      <c r="M2197" s="8">
        <f t="shared" si="2246"/>
        <v>2500</v>
      </c>
    </row>
    <row r="2198" spans="1:13" ht="15.75" customHeight="1" x14ac:dyDescent="0.25">
      <c r="A2198" s="24">
        <v>43088</v>
      </c>
      <c r="B2198" s="9" t="s">
        <v>29</v>
      </c>
      <c r="C2198" s="9">
        <v>1000</v>
      </c>
      <c r="D2198" s="9" t="s">
        <v>11</v>
      </c>
      <c r="E2198" s="19">
        <v>445.6</v>
      </c>
      <c r="F2198" s="19">
        <v>444.5</v>
      </c>
      <c r="G2198" s="9">
        <v>0</v>
      </c>
      <c r="H2198" s="15">
        <v>0</v>
      </c>
      <c r="I2198" s="8">
        <f t="shared" si="2245"/>
        <v>1100.0000000000227</v>
      </c>
      <c r="J2198" s="8">
        <v>0</v>
      </c>
      <c r="K2198" s="2">
        <v>0</v>
      </c>
      <c r="L2198" s="8">
        <f t="shared" si="2243"/>
        <v>1.1000000000000227</v>
      </c>
      <c r="M2198" s="8">
        <f t="shared" si="2246"/>
        <v>1100.0000000000227</v>
      </c>
    </row>
    <row r="2199" spans="1:13" ht="15" customHeight="1" x14ac:dyDescent="0.25">
      <c r="A2199" s="24">
        <v>43087</v>
      </c>
      <c r="B2199" s="9" t="s">
        <v>19</v>
      </c>
      <c r="C2199" s="9">
        <v>100</v>
      </c>
      <c r="D2199" s="9" t="s">
        <v>10</v>
      </c>
      <c r="E2199" s="19">
        <v>28370</v>
      </c>
      <c r="F2199" s="19">
        <v>28410</v>
      </c>
      <c r="G2199" s="9">
        <v>28470</v>
      </c>
      <c r="H2199" s="15">
        <v>0</v>
      </c>
      <c r="I2199" s="8">
        <f t="shared" si="2245"/>
        <v>4000</v>
      </c>
      <c r="J2199" s="8">
        <f>(IF(D2199="SELL",IF(G2199="",0,F2199-G2199),IF(D2199="BUY",IF(G2199="",0,G2199-F2199))))*C2199</f>
        <v>6000</v>
      </c>
      <c r="K2199" s="2">
        <v>0</v>
      </c>
      <c r="L2199" s="8">
        <f t="shared" si="2243"/>
        <v>100</v>
      </c>
      <c r="M2199" s="8">
        <f t="shared" si="2246"/>
        <v>10000</v>
      </c>
    </row>
    <row r="2200" spans="1:13" ht="15" customHeight="1" x14ac:dyDescent="0.25">
      <c r="A2200" s="24">
        <v>43087</v>
      </c>
      <c r="B2200" s="9" t="s">
        <v>39</v>
      </c>
      <c r="C2200" s="9">
        <v>5000</v>
      </c>
      <c r="D2200" s="9" t="s">
        <v>10</v>
      </c>
      <c r="E2200" s="19">
        <v>206</v>
      </c>
      <c r="F2200" s="19">
        <v>206.5</v>
      </c>
      <c r="G2200" s="9">
        <v>0</v>
      </c>
      <c r="H2200" s="15">
        <v>0</v>
      </c>
      <c r="I2200" s="8">
        <f t="shared" ref="I2200:I2206" si="2247">(IF(D2200="SELL",E2200-F2200,IF(D2200="BUY",F2200-E2200)))*C2200</f>
        <v>2500</v>
      </c>
      <c r="J2200" s="8">
        <v>0</v>
      </c>
      <c r="K2200" s="2">
        <v>0</v>
      </c>
      <c r="L2200" s="8">
        <f t="shared" si="2243"/>
        <v>0.5</v>
      </c>
      <c r="M2200" s="8">
        <f t="shared" si="2246"/>
        <v>2500</v>
      </c>
    </row>
    <row r="2201" spans="1:13" ht="15" customHeight="1" x14ac:dyDescent="0.25">
      <c r="A2201" s="24">
        <v>43087</v>
      </c>
      <c r="B2201" s="9" t="s">
        <v>35</v>
      </c>
      <c r="C2201" s="9">
        <v>5000</v>
      </c>
      <c r="D2201" s="9" t="s">
        <v>10</v>
      </c>
      <c r="E2201" s="19">
        <v>163.19999999999999</v>
      </c>
      <c r="F2201" s="19">
        <v>163.69999999999999</v>
      </c>
      <c r="G2201" s="9">
        <v>164.6</v>
      </c>
      <c r="H2201" s="15">
        <v>0</v>
      </c>
      <c r="I2201" s="8">
        <f t="shared" si="2247"/>
        <v>2500</v>
      </c>
      <c r="J2201" s="8">
        <f>(IF(D2201="SELL",IF(G2201="",0,F2201-G2201),IF(D2201="BUY",IF(G2201="",0,G2201-F2201))))*C2201</f>
        <v>4500.0000000000282</v>
      </c>
      <c r="K2201" s="2">
        <v>0</v>
      </c>
      <c r="L2201" s="8">
        <f t="shared" si="2243"/>
        <v>1.4000000000000057</v>
      </c>
      <c r="M2201" s="8">
        <f t="shared" si="2246"/>
        <v>7000.0000000000282</v>
      </c>
    </row>
    <row r="2202" spans="1:13" ht="15" customHeight="1" x14ac:dyDescent="0.25">
      <c r="A2202" s="24">
        <v>43087</v>
      </c>
      <c r="B2202" s="9" t="s">
        <v>40</v>
      </c>
      <c r="C2202" s="9">
        <v>30</v>
      </c>
      <c r="D2202" s="9" t="s">
        <v>10</v>
      </c>
      <c r="E2202" s="19">
        <v>37405</v>
      </c>
      <c r="F2202" s="19">
        <v>37505</v>
      </c>
      <c r="G2202" s="9">
        <v>0</v>
      </c>
      <c r="H2202" s="15">
        <v>0</v>
      </c>
      <c r="I2202" s="8">
        <f t="shared" si="2247"/>
        <v>3000</v>
      </c>
      <c r="J2202" s="8">
        <v>0</v>
      </c>
      <c r="K2202" s="2">
        <v>0</v>
      </c>
      <c r="L2202" s="8">
        <f t="shared" si="2243"/>
        <v>100</v>
      </c>
      <c r="M2202" s="8">
        <f t="shared" si="2246"/>
        <v>3000</v>
      </c>
    </row>
    <row r="2203" spans="1:13" ht="15" customHeight="1" x14ac:dyDescent="0.25">
      <c r="A2203" s="24">
        <v>43087</v>
      </c>
      <c r="B2203" s="9" t="s">
        <v>43</v>
      </c>
      <c r="C2203" s="9">
        <v>100</v>
      </c>
      <c r="D2203" s="9" t="s">
        <v>10</v>
      </c>
      <c r="E2203" s="19">
        <v>3690</v>
      </c>
      <c r="F2203" s="19">
        <v>3710</v>
      </c>
      <c r="G2203" s="9">
        <v>0</v>
      </c>
      <c r="H2203" s="15">
        <v>0</v>
      </c>
      <c r="I2203" s="8">
        <f t="shared" si="2247"/>
        <v>2000</v>
      </c>
      <c r="J2203" s="8">
        <v>0</v>
      </c>
      <c r="K2203" s="2">
        <v>0</v>
      </c>
      <c r="L2203" s="8">
        <f t="shared" si="2243"/>
        <v>20</v>
      </c>
      <c r="M2203" s="8">
        <f t="shared" si="2246"/>
        <v>2000</v>
      </c>
    </row>
    <row r="2204" spans="1:13" ht="15" customHeight="1" x14ac:dyDescent="0.25">
      <c r="A2204" s="24">
        <v>43087</v>
      </c>
      <c r="B2204" s="9" t="s">
        <v>46</v>
      </c>
      <c r="C2204" s="9">
        <v>1250</v>
      </c>
      <c r="D2204" s="9" t="s">
        <v>10</v>
      </c>
      <c r="E2204" s="19">
        <v>171.5</v>
      </c>
      <c r="F2204" s="19">
        <v>172.5</v>
      </c>
      <c r="G2204" s="9">
        <v>173.6</v>
      </c>
      <c r="H2204" s="15">
        <v>176</v>
      </c>
      <c r="I2204" s="8">
        <f t="shared" si="2247"/>
        <v>1250</v>
      </c>
      <c r="J2204" s="8">
        <f>(IF(D2204="SELL",IF(G2204="",0,F2204-G2204),IF(D2204="BUY",IF(G2204="",0,G2204-F2204))))*C2204</f>
        <v>1374.999999999993</v>
      </c>
      <c r="K2204" s="2">
        <f>(IF(D2204="SELL",IF(H2204="",0,G2204-H2204),IF(D2204="BUY",IF(H2204="",0,(H2204-G2204)))))*C2204</f>
        <v>3000.0000000000073</v>
      </c>
      <c r="L2204" s="8">
        <f t="shared" si="2243"/>
        <v>4.5</v>
      </c>
      <c r="M2204" s="8">
        <f t="shared" si="2246"/>
        <v>5625</v>
      </c>
    </row>
    <row r="2205" spans="1:13" ht="15" customHeight="1" x14ac:dyDescent="0.25">
      <c r="A2205" s="24">
        <v>43084</v>
      </c>
      <c r="B2205" s="9" t="s">
        <v>30</v>
      </c>
      <c r="C2205" s="9">
        <v>100</v>
      </c>
      <c r="D2205" s="9" t="s">
        <v>10</v>
      </c>
      <c r="E2205" s="19">
        <v>28370</v>
      </c>
      <c r="F2205" s="19">
        <v>0</v>
      </c>
      <c r="G2205" s="9">
        <v>0</v>
      </c>
      <c r="H2205" s="15">
        <v>0</v>
      </c>
      <c r="I2205" s="8">
        <v>0</v>
      </c>
      <c r="J2205" s="8">
        <v>0</v>
      </c>
      <c r="K2205" s="2">
        <v>0</v>
      </c>
      <c r="L2205" s="8">
        <f t="shared" si="2243"/>
        <v>0</v>
      </c>
      <c r="M2205" s="8">
        <f t="shared" si="2246"/>
        <v>0</v>
      </c>
    </row>
    <row r="2206" spans="1:13" ht="15" customHeight="1" x14ac:dyDescent="0.25">
      <c r="A2206" s="24">
        <v>43083</v>
      </c>
      <c r="B2206" s="9" t="s">
        <v>36</v>
      </c>
      <c r="C2206" s="9">
        <v>100</v>
      </c>
      <c r="D2206" s="9" t="s">
        <v>11</v>
      </c>
      <c r="E2206" s="19">
        <v>3622</v>
      </c>
      <c r="F2206" s="19">
        <v>3605</v>
      </c>
      <c r="G2206" s="9">
        <v>0</v>
      </c>
      <c r="H2206" s="15">
        <v>0</v>
      </c>
      <c r="I2206" s="8">
        <f t="shared" si="2247"/>
        <v>1700</v>
      </c>
      <c r="J2206" s="8">
        <v>0</v>
      </c>
      <c r="K2206" s="2">
        <v>0</v>
      </c>
      <c r="L2206" s="8">
        <f t="shared" si="2243"/>
        <v>17</v>
      </c>
      <c r="M2206" s="8">
        <f t="shared" si="2246"/>
        <v>1700</v>
      </c>
    </row>
    <row r="2207" spans="1:13" ht="15" customHeight="1" x14ac:dyDescent="0.25">
      <c r="A2207" s="24">
        <v>43083</v>
      </c>
      <c r="B2207" s="9" t="s">
        <v>45</v>
      </c>
      <c r="C2207" s="9">
        <v>1000</v>
      </c>
      <c r="D2207" s="9" t="s">
        <v>11</v>
      </c>
      <c r="E2207" s="19">
        <v>174.9</v>
      </c>
      <c r="F2207" s="19">
        <v>173.8</v>
      </c>
      <c r="G2207" s="9">
        <v>172.5</v>
      </c>
      <c r="H2207" s="15">
        <v>0</v>
      </c>
      <c r="I2207" s="8">
        <f t="shared" ref="I2207:I2238" si="2248">(IF(D2207="SELL",E2207-F2207,IF(D2207="BUY",F2207-E2207)))*C2207</f>
        <v>1099.9999999999943</v>
      </c>
      <c r="J2207" s="8">
        <f>(IF(D2207="SELL",IF(G2207="",0,F2207-G2207),IF(D2207="BUY",IF(G2207="",0,G2207-F2207))))*C2207</f>
        <v>1300.0000000000114</v>
      </c>
      <c r="K2207" s="2">
        <v>0</v>
      </c>
      <c r="L2207" s="8">
        <f t="shared" si="2243"/>
        <v>2.4000000000000052</v>
      </c>
      <c r="M2207" s="8">
        <f t="shared" si="2246"/>
        <v>2400.0000000000055</v>
      </c>
    </row>
    <row r="2208" spans="1:13" ht="15" customHeight="1" x14ac:dyDescent="0.25">
      <c r="A2208" s="24">
        <v>43082</v>
      </c>
      <c r="B2208" s="9" t="s">
        <v>18</v>
      </c>
      <c r="C2208" s="9">
        <v>1000</v>
      </c>
      <c r="D2208" s="9" t="s">
        <v>10</v>
      </c>
      <c r="E2208" s="19">
        <v>437</v>
      </c>
      <c r="F2208" s="19">
        <v>438</v>
      </c>
      <c r="G2208" s="9">
        <v>0</v>
      </c>
      <c r="H2208" s="15">
        <v>0</v>
      </c>
      <c r="I2208" s="8">
        <f t="shared" si="2248"/>
        <v>1000</v>
      </c>
      <c r="J2208" s="8">
        <v>0</v>
      </c>
      <c r="K2208" s="2">
        <v>0</v>
      </c>
      <c r="L2208" s="8">
        <f t="shared" si="2243"/>
        <v>1</v>
      </c>
      <c r="M2208" s="8">
        <f t="shared" si="2246"/>
        <v>1000</v>
      </c>
    </row>
    <row r="2209" spans="1:13" ht="15" customHeight="1" x14ac:dyDescent="0.25">
      <c r="A2209" s="24">
        <v>43081</v>
      </c>
      <c r="B2209" s="9" t="s">
        <v>30</v>
      </c>
      <c r="C2209" s="9">
        <v>100</v>
      </c>
      <c r="D2209" s="9" t="s">
        <v>11</v>
      </c>
      <c r="E2209" s="19">
        <v>28270</v>
      </c>
      <c r="F2209" s="19">
        <v>28230</v>
      </c>
      <c r="G2209" s="9">
        <v>28150</v>
      </c>
      <c r="H2209" s="15">
        <v>0</v>
      </c>
      <c r="I2209" s="8">
        <f t="shared" si="2248"/>
        <v>4000</v>
      </c>
      <c r="J2209" s="8">
        <f>(IF(D2209="SELL",IF(G2209="",0,F2209-G2209),IF(D2209="BUY",IF(G2209="",0,G2209-F2209))))*C2209</f>
        <v>8000</v>
      </c>
      <c r="K2209" s="2">
        <v>0</v>
      </c>
      <c r="L2209" s="8">
        <f t="shared" si="2243"/>
        <v>120</v>
      </c>
      <c r="M2209" s="8">
        <f t="shared" si="2246"/>
        <v>12000</v>
      </c>
    </row>
    <row r="2210" spans="1:13" ht="15" customHeight="1" x14ac:dyDescent="0.25">
      <c r="A2210" s="24">
        <v>43081</v>
      </c>
      <c r="B2210" s="9" t="s">
        <v>16</v>
      </c>
      <c r="C2210" s="9">
        <v>100</v>
      </c>
      <c r="D2210" s="9" t="s">
        <v>10</v>
      </c>
      <c r="E2210" s="19">
        <v>3752</v>
      </c>
      <c r="F2210" s="19">
        <v>3775</v>
      </c>
      <c r="G2210" s="9">
        <v>0</v>
      </c>
      <c r="H2210" s="15">
        <v>0</v>
      </c>
      <c r="I2210" s="8">
        <f t="shared" si="2248"/>
        <v>2300</v>
      </c>
      <c r="J2210" s="8">
        <v>0</v>
      </c>
      <c r="K2210" s="2">
        <f>(IF(D2210="SELL",IF(H2210="",0,G2210-H2210),IF(D2210="BUY",IF(H2210="",0,(H2210-G2210)))))*C2210</f>
        <v>0</v>
      </c>
      <c r="L2210" s="8">
        <f t="shared" si="2243"/>
        <v>23</v>
      </c>
      <c r="M2210" s="8">
        <f t="shared" si="2246"/>
        <v>2300</v>
      </c>
    </row>
    <row r="2211" spans="1:13" ht="15" customHeight="1" x14ac:dyDescent="0.25">
      <c r="A2211" s="24">
        <v>43081</v>
      </c>
      <c r="B2211" s="9" t="s">
        <v>40</v>
      </c>
      <c r="C2211" s="9">
        <v>30</v>
      </c>
      <c r="D2211" s="9" t="s">
        <v>11</v>
      </c>
      <c r="E2211" s="19">
        <v>36820</v>
      </c>
      <c r="F2211" s="19">
        <v>36721</v>
      </c>
      <c r="G2211" s="9">
        <v>0</v>
      </c>
      <c r="H2211" s="15">
        <v>0</v>
      </c>
      <c r="I2211" s="8">
        <f t="shared" si="2248"/>
        <v>2970</v>
      </c>
      <c r="J2211" s="8">
        <v>0</v>
      </c>
      <c r="K2211" s="2">
        <f>(IF(D2211="SELL",IF(H2211="",0,G2211-H2211),IF(D2211="BUY",IF(H2211="",0,(H2211-G2211)))))*C2211</f>
        <v>0</v>
      </c>
      <c r="L2211" s="8">
        <f t="shared" si="2243"/>
        <v>99</v>
      </c>
      <c r="M2211" s="8">
        <f t="shared" si="2246"/>
        <v>2970</v>
      </c>
    </row>
    <row r="2212" spans="1:13" ht="15" customHeight="1" x14ac:dyDescent="0.25">
      <c r="A2212" s="24">
        <v>43081</v>
      </c>
      <c r="B2212" s="9" t="s">
        <v>29</v>
      </c>
      <c r="C2212" s="9">
        <v>1000</v>
      </c>
      <c r="D2212" s="9" t="s">
        <v>10</v>
      </c>
      <c r="E2212" s="19">
        <v>432.8</v>
      </c>
      <c r="F2212" s="19">
        <v>433.8</v>
      </c>
      <c r="G2212" s="9">
        <v>435</v>
      </c>
      <c r="H2212" s="15">
        <v>0</v>
      </c>
      <c r="I2212" s="8">
        <f t="shared" si="2248"/>
        <v>1000</v>
      </c>
      <c r="J2212" s="8">
        <f>(IF(D2212="SELL",IF(G2212="",0,F2212-G2212),IF(D2212="BUY",IF(G2212="",0,G2212-F2212))))*C2212</f>
        <v>1199.9999999999886</v>
      </c>
      <c r="K2212" s="2">
        <v>0</v>
      </c>
      <c r="L2212" s="8">
        <f t="shared" si="2243"/>
        <v>2.1999999999999886</v>
      </c>
      <c r="M2212" s="8">
        <f t="shared" si="2246"/>
        <v>2199.9999999999886</v>
      </c>
    </row>
    <row r="2213" spans="1:13" ht="15" customHeight="1" x14ac:dyDescent="0.25">
      <c r="A2213" s="24">
        <v>43080</v>
      </c>
      <c r="B2213" s="9" t="s">
        <v>29</v>
      </c>
      <c r="C2213" s="9">
        <v>1000</v>
      </c>
      <c r="D2213" s="9" t="s">
        <v>11</v>
      </c>
      <c r="E2213" s="19">
        <v>425.5</v>
      </c>
      <c r="F2213" s="19">
        <v>427.9</v>
      </c>
      <c r="G2213" s="9">
        <v>0</v>
      </c>
      <c r="H2213" s="15">
        <v>0</v>
      </c>
      <c r="I2213" s="8">
        <f t="shared" si="2248"/>
        <v>-2399.9999999999773</v>
      </c>
      <c r="J2213" s="8">
        <v>0</v>
      </c>
      <c r="K2213" s="2">
        <f t="shared" ref="K2213:K2218" si="2249">(IF(D2213="SELL",IF(H2213="",0,G2213-H2213),IF(D2213="BUY",IF(H2213="",0,(H2213-G2213)))))*C2213</f>
        <v>0</v>
      </c>
      <c r="L2213" s="8">
        <f t="shared" si="2243"/>
        <v>-2.3999999999999773</v>
      </c>
      <c r="M2213" s="8">
        <f t="shared" si="2246"/>
        <v>-2399.9999999999773</v>
      </c>
    </row>
    <row r="2214" spans="1:13" ht="15" customHeight="1" x14ac:dyDescent="0.25">
      <c r="A2214" s="24">
        <v>43080</v>
      </c>
      <c r="B2214" s="9" t="s">
        <v>35</v>
      </c>
      <c r="C2214" s="9">
        <v>5000</v>
      </c>
      <c r="D2214" s="9" t="s">
        <v>10</v>
      </c>
      <c r="E2214" s="19">
        <v>160.5</v>
      </c>
      <c r="F2214" s="19">
        <v>161</v>
      </c>
      <c r="G2214" s="9">
        <v>0</v>
      </c>
      <c r="H2214" s="15">
        <v>0</v>
      </c>
      <c r="I2214" s="8">
        <f t="shared" si="2248"/>
        <v>2500</v>
      </c>
      <c r="J2214" s="8">
        <v>0</v>
      </c>
      <c r="K2214" s="2">
        <f t="shared" si="2249"/>
        <v>0</v>
      </c>
      <c r="L2214" s="8">
        <f t="shared" si="2243"/>
        <v>0.5</v>
      </c>
      <c r="M2214" s="8">
        <f t="shared" si="2246"/>
        <v>2500</v>
      </c>
    </row>
    <row r="2215" spans="1:13" ht="15" customHeight="1" x14ac:dyDescent="0.25">
      <c r="A2215" s="24">
        <v>43080</v>
      </c>
      <c r="B2215" s="9" t="s">
        <v>16</v>
      </c>
      <c r="C2215" s="9">
        <v>100</v>
      </c>
      <c r="D2215" s="9" t="s">
        <v>10</v>
      </c>
      <c r="E2215" s="19">
        <v>3703</v>
      </c>
      <c r="F2215" s="19">
        <v>3720</v>
      </c>
      <c r="G2215" s="9">
        <v>0</v>
      </c>
      <c r="H2215" s="15">
        <v>0</v>
      </c>
      <c r="I2215" s="8">
        <f t="shared" si="2248"/>
        <v>1700</v>
      </c>
      <c r="J2215" s="8">
        <v>0</v>
      </c>
      <c r="K2215" s="2">
        <f t="shared" si="2249"/>
        <v>0</v>
      </c>
      <c r="L2215" s="8">
        <f t="shared" si="2243"/>
        <v>17</v>
      </c>
      <c r="M2215" s="8">
        <f t="shared" si="2246"/>
        <v>1700</v>
      </c>
    </row>
    <row r="2216" spans="1:13" ht="15" customHeight="1" x14ac:dyDescent="0.25">
      <c r="A2216" s="24">
        <v>43080</v>
      </c>
      <c r="B2216" s="9" t="s">
        <v>30</v>
      </c>
      <c r="C2216" s="9">
        <v>100</v>
      </c>
      <c r="D2216" s="9" t="s">
        <v>11</v>
      </c>
      <c r="E2216" s="19">
        <v>28445</v>
      </c>
      <c r="F2216" s="19">
        <v>28405</v>
      </c>
      <c r="G2216" s="9">
        <v>0</v>
      </c>
      <c r="H2216" s="15">
        <v>0</v>
      </c>
      <c r="I2216" s="8">
        <f t="shared" si="2248"/>
        <v>4000</v>
      </c>
      <c r="J2216" s="8">
        <v>0</v>
      </c>
      <c r="K2216" s="2">
        <f t="shared" si="2249"/>
        <v>0</v>
      </c>
      <c r="L2216" s="8">
        <f t="shared" si="2243"/>
        <v>40</v>
      </c>
      <c r="M2216" s="8">
        <f t="shared" si="2246"/>
        <v>4000</v>
      </c>
    </row>
    <row r="2217" spans="1:13" ht="15" customHeight="1" x14ac:dyDescent="0.25">
      <c r="A2217" s="24">
        <v>43080</v>
      </c>
      <c r="B2217" s="9" t="s">
        <v>39</v>
      </c>
      <c r="C2217" s="9">
        <v>5000</v>
      </c>
      <c r="D2217" s="9" t="s">
        <v>11</v>
      </c>
      <c r="E2217" s="19">
        <v>199.3</v>
      </c>
      <c r="F2217" s="19">
        <v>198.8</v>
      </c>
      <c r="G2217" s="9">
        <v>0</v>
      </c>
      <c r="H2217" s="15">
        <v>0</v>
      </c>
      <c r="I2217" s="8">
        <f t="shared" si="2248"/>
        <v>2500</v>
      </c>
      <c r="J2217" s="8">
        <v>0</v>
      </c>
      <c r="K2217" s="2">
        <f t="shared" si="2249"/>
        <v>0</v>
      </c>
      <c r="L2217" s="8">
        <f t="shared" si="2243"/>
        <v>0.5</v>
      </c>
      <c r="M2217" s="8">
        <f t="shared" si="2246"/>
        <v>2500</v>
      </c>
    </row>
    <row r="2218" spans="1:13" ht="15" customHeight="1" x14ac:dyDescent="0.25">
      <c r="A2218" s="24">
        <v>43077</v>
      </c>
      <c r="B2218" s="9" t="s">
        <v>30</v>
      </c>
      <c r="C2218" s="9">
        <v>100</v>
      </c>
      <c r="D2218" s="9" t="s">
        <v>11</v>
      </c>
      <c r="E2218" s="19">
        <v>28560</v>
      </c>
      <c r="F2218" s="19">
        <v>28520</v>
      </c>
      <c r="G2218" s="9">
        <v>0</v>
      </c>
      <c r="H2218" s="15">
        <v>0</v>
      </c>
      <c r="I2218" s="8">
        <f t="shared" si="2248"/>
        <v>4000</v>
      </c>
      <c r="J2218" s="8">
        <v>0</v>
      </c>
      <c r="K2218" s="2">
        <f t="shared" si="2249"/>
        <v>0</v>
      </c>
      <c r="L2218" s="8">
        <f t="shared" si="2243"/>
        <v>40</v>
      </c>
      <c r="M2218" s="8">
        <f t="shared" si="2246"/>
        <v>4000</v>
      </c>
    </row>
    <row r="2219" spans="1:13" ht="15" customHeight="1" x14ac:dyDescent="0.25">
      <c r="A2219" s="24">
        <v>43077</v>
      </c>
      <c r="B2219" s="9" t="s">
        <v>38</v>
      </c>
      <c r="C2219" s="9">
        <v>100</v>
      </c>
      <c r="D2219" s="9" t="s">
        <v>10</v>
      </c>
      <c r="E2219" s="19">
        <v>3662</v>
      </c>
      <c r="F2219" s="19">
        <v>3678</v>
      </c>
      <c r="G2219" s="9">
        <v>3699</v>
      </c>
      <c r="H2219" s="15">
        <v>0</v>
      </c>
      <c r="I2219" s="8">
        <f t="shared" si="2248"/>
        <v>1600</v>
      </c>
      <c r="J2219" s="8">
        <f>(IF(D2219="SELL",IF(G2219="",0,F2219-G2219),IF(D2219="BUY",IF(G2219="",0,G2219-F2219))))*C2219</f>
        <v>2100</v>
      </c>
      <c r="K2219" s="2">
        <v>0</v>
      </c>
      <c r="L2219" s="8">
        <f t="shared" si="2243"/>
        <v>37</v>
      </c>
      <c r="M2219" s="8">
        <f t="shared" si="2246"/>
        <v>3700</v>
      </c>
    </row>
    <row r="2220" spans="1:13" ht="15" customHeight="1" x14ac:dyDescent="0.25">
      <c r="A2220" s="24">
        <v>43077</v>
      </c>
      <c r="B2220" s="9" t="s">
        <v>15</v>
      </c>
      <c r="C2220" s="9">
        <v>5000</v>
      </c>
      <c r="D2220" s="9" t="s">
        <v>11</v>
      </c>
      <c r="E2220" s="19">
        <v>157.5</v>
      </c>
      <c r="F2220" s="19">
        <v>157</v>
      </c>
      <c r="G2220" s="9">
        <v>0</v>
      </c>
      <c r="H2220" s="15">
        <v>0</v>
      </c>
      <c r="I2220" s="8">
        <f t="shared" si="2248"/>
        <v>2500</v>
      </c>
      <c r="J2220" s="8">
        <v>0</v>
      </c>
      <c r="K2220" s="2">
        <f t="shared" ref="K2220:K2227" si="2250">(IF(D2220="SELL",IF(H2220="",0,G2220-H2220),IF(D2220="BUY",IF(H2220="",0,(H2220-G2220)))))*C2220</f>
        <v>0</v>
      </c>
      <c r="L2220" s="8">
        <f t="shared" si="2243"/>
        <v>0.5</v>
      </c>
      <c r="M2220" s="8">
        <f t="shared" si="2246"/>
        <v>2500</v>
      </c>
    </row>
    <row r="2221" spans="1:13" ht="15" customHeight="1" x14ac:dyDescent="0.25">
      <c r="A2221" s="24">
        <v>43077</v>
      </c>
      <c r="B2221" s="9" t="s">
        <v>20</v>
      </c>
      <c r="C2221" s="9">
        <v>1250</v>
      </c>
      <c r="D2221" s="9" t="s">
        <v>10</v>
      </c>
      <c r="E2221" s="19">
        <v>180.7</v>
      </c>
      <c r="F2221" s="19">
        <v>181.7</v>
      </c>
      <c r="G2221" s="9">
        <v>0</v>
      </c>
      <c r="H2221" s="15">
        <v>0</v>
      </c>
      <c r="I2221" s="8">
        <f t="shared" si="2248"/>
        <v>1250</v>
      </c>
      <c r="J2221" s="8">
        <v>0</v>
      </c>
      <c r="K2221" s="2">
        <f t="shared" si="2250"/>
        <v>0</v>
      </c>
      <c r="L2221" s="8">
        <f t="shared" si="2243"/>
        <v>1</v>
      </c>
      <c r="M2221" s="8">
        <f t="shared" si="2246"/>
        <v>1250</v>
      </c>
    </row>
    <row r="2222" spans="1:13" ht="15" customHeight="1" x14ac:dyDescent="0.25">
      <c r="A2222" s="24">
        <v>43076</v>
      </c>
      <c r="B2222" s="9" t="s">
        <v>39</v>
      </c>
      <c r="C2222" s="9">
        <v>5000</v>
      </c>
      <c r="D2222" s="9" t="s">
        <v>10</v>
      </c>
      <c r="E2222" s="19">
        <v>201.2</v>
      </c>
      <c r="F2222" s="19">
        <v>200</v>
      </c>
      <c r="G2222" s="9">
        <v>0</v>
      </c>
      <c r="H2222" s="15">
        <v>0</v>
      </c>
      <c r="I2222" s="8">
        <f t="shared" si="2248"/>
        <v>-5999.9999999999436</v>
      </c>
      <c r="J2222" s="8">
        <v>0</v>
      </c>
      <c r="K2222" s="2">
        <f t="shared" si="2250"/>
        <v>0</v>
      </c>
      <c r="L2222" s="8">
        <f t="shared" si="2243"/>
        <v>-1.1999999999999886</v>
      </c>
      <c r="M2222" s="8">
        <f t="shared" si="2246"/>
        <v>-5999.9999999999436</v>
      </c>
    </row>
    <row r="2223" spans="1:13" ht="15" customHeight="1" x14ac:dyDescent="0.25">
      <c r="A2223" s="24">
        <v>43076</v>
      </c>
      <c r="B2223" s="9" t="s">
        <v>30</v>
      </c>
      <c r="C2223" s="9">
        <v>100</v>
      </c>
      <c r="D2223" s="9" t="s">
        <v>11</v>
      </c>
      <c r="E2223" s="19">
        <v>28912</v>
      </c>
      <c r="F2223" s="19">
        <v>28870</v>
      </c>
      <c r="G2223" s="9">
        <v>28800</v>
      </c>
      <c r="H2223" s="15">
        <v>28710</v>
      </c>
      <c r="I2223" s="8">
        <f t="shared" si="2248"/>
        <v>4200</v>
      </c>
      <c r="J2223" s="8">
        <f>(IF(D2223="SELL",IF(G2223="",0,F2223-G2223),IF(D2223="BUY",IF(G2223="",0,G2223-F2223))))*C2223</f>
        <v>7000</v>
      </c>
      <c r="K2223" s="2">
        <f t="shared" si="2250"/>
        <v>9000</v>
      </c>
      <c r="L2223" s="8">
        <f t="shared" si="2243"/>
        <v>202</v>
      </c>
      <c r="M2223" s="8">
        <f t="shared" si="2246"/>
        <v>20200</v>
      </c>
    </row>
    <row r="2224" spans="1:13" ht="15" customHeight="1" x14ac:dyDescent="0.25">
      <c r="A2224" s="24">
        <v>43076</v>
      </c>
      <c r="B2224" s="9" t="s">
        <v>40</v>
      </c>
      <c r="C2224" s="9">
        <v>30</v>
      </c>
      <c r="D2224" s="9" t="s">
        <v>11</v>
      </c>
      <c r="E2224" s="19">
        <v>37180</v>
      </c>
      <c r="F2224" s="19">
        <v>37080</v>
      </c>
      <c r="G2224" s="9">
        <v>0</v>
      </c>
      <c r="H2224" s="15">
        <v>0</v>
      </c>
      <c r="I2224" s="8">
        <f t="shared" si="2248"/>
        <v>3000</v>
      </c>
      <c r="J2224" s="8">
        <v>0</v>
      </c>
      <c r="K2224" s="2">
        <f t="shared" si="2250"/>
        <v>0</v>
      </c>
      <c r="L2224" s="8">
        <f t="shared" si="2243"/>
        <v>100</v>
      </c>
      <c r="M2224" s="8">
        <f t="shared" si="2246"/>
        <v>3000</v>
      </c>
    </row>
    <row r="2225" spans="1:13" ht="15" customHeight="1" x14ac:dyDescent="0.25">
      <c r="A2225" s="24">
        <v>43076</v>
      </c>
      <c r="B2225" s="9" t="s">
        <v>46</v>
      </c>
      <c r="C2225" s="9">
        <v>1250</v>
      </c>
      <c r="D2225" s="9" t="s">
        <v>11</v>
      </c>
      <c r="E2225" s="19">
        <v>185.6</v>
      </c>
      <c r="F2225" s="19">
        <v>184.6</v>
      </c>
      <c r="G2225" s="9">
        <v>183</v>
      </c>
      <c r="H2225" s="15">
        <v>181</v>
      </c>
      <c r="I2225" s="8">
        <f t="shared" si="2248"/>
        <v>1250</v>
      </c>
      <c r="J2225" s="8">
        <f>(IF(D2225="SELL",IF(G2225="",0,F2225-G2225),IF(D2225="BUY",IF(G2225="",0,G2225-F2225))))*C2225</f>
        <v>1999.999999999993</v>
      </c>
      <c r="K2225" s="2">
        <f t="shared" si="2250"/>
        <v>2500</v>
      </c>
      <c r="L2225" s="8">
        <f t="shared" si="2243"/>
        <v>4.5999999999999943</v>
      </c>
      <c r="M2225" s="8">
        <f t="shared" si="2246"/>
        <v>5749.9999999999927</v>
      </c>
    </row>
    <row r="2226" spans="1:13" ht="15" customHeight="1" x14ac:dyDescent="0.25">
      <c r="A2226" s="24">
        <v>43075</v>
      </c>
      <c r="B2226" s="9" t="s">
        <v>39</v>
      </c>
      <c r="C2226" s="9">
        <v>5000</v>
      </c>
      <c r="D2226" s="9" t="s">
        <v>10</v>
      </c>
      <c r="E2226" s="19">
        <v>201.7</v>
      </c>
      <c r="F2226" s="19">
        <v>202.3</v>
      </c>
      <c r="G2226" s="9">
        <v>0</v>
      </c>
      <c r="H2226" s="15">
        <v>0</v>
      </c>
      <c r="I2226" s="8">
        <f t="shared" si="2248"/>
        <v>3000.0000000001137</v>
      </c>
      <c r="J2226" s="8">
        <v>0</v>
      </c>
      <c r="K2226" s="2">
        <f t="shared" si="2250"/>
        <v>0</v>
      </c>
      <c r="L2226" s="8">
        <f t="shared" ref="L2226:L2289" si="2251">(J2226+I2226+K2226)/C2226</f>
        <v>0.60000000000002274</v>
      </c>
      <c r="M2226" s="8">
        <f t="shared" si="2246"/>
        <v>3000.0000000001137</v>
      </c>
    </row>
    <row r="2227" spans="1:13" ht="15" customHeight="1" x14ac:dyDescent="0.25">
      <c r="A2227" s="24">
        <v>43075</v>
      </c>
      <c r="B2227" s="9" t="s">
        <v>46</v>
      </c>
      <c r="C2227" s="9">
        <v>1250</v>
      </c>
      <c r="D2227" s="9" t="s">
        <v>10</v>
      </c>
      <c r="E2227" s="19">
        <v>189.4</v>
      </c>
      <c r="F2227" s="19">
        <v>190.4</v>
      </c>
      <c r="G2227" s="9">
        <v>0</v>
      </c>
      <c r="H2227" s="15">
        <v>0</v>
      </c>
      <c r="I2227" s="8">
        <f t="shared" si="2248"/>
        <v>1250</v>
      </c>
      <c r="J2227" s="8">
        <v>0</v>
      </c>
      <c r="K2227" s="2">
        <f t="shared" si="2250"/>
        <v>0</v>
      </c>
      <c r="L2227" s="8">
        <f t="shared" si="2251"/>
        <v>1</v>
      </c>
      <c r="M2227" s="8">
        <f t="shared" si="2246"/>
        <v>1250</v>
      </c>
    </row>
    <row r="2228" spans="1:13" ht="15" customHeight="1" x14ac:dyDescent="0.25">
      <c r="A2228" s="24">
        <v>43075</v>
      </c>
      <c r="B2228" s="9" t="s">
        <v>29</v>
      </c>
      <c r="C2228" s="9">
        <v>1000</v>
      </c>
      <c r="D2228" s="9" t="s">
        <v>10</v>
      </c>
      <c r="E2228" s="19">
        <v>426</v>
      </c>
      <c r="F2228" s="19">
        <v>427</v>
      </c>
      <c r="G2228" s="9">
        <v>428.6</v>
      </c>
      <c r="H2228" s="15">
        <v>0</v>
      </c>
      <c r="I2228" s="8">
        <f t="shared" si="2248"/>
        <v>1000</v>
      </c>
      <c r="J2228" s="8">
        <f>(IF(D2228="SELL",IF(G2228="",0,F2228-G2228),IF(D2228="BUY",IF(G2228="",0,G2228-F2228))))*C2228</f>
        <v>1600.0000000000227</v>
      </c>
      <c r="K2228" s="2">
        <v>0</v>
      </c>
      <c r="L2228" s="8">
        <f t="shared" si="2251"/>
        <v>2.6000000000000227</v>
      </c>
      <c r="M2228" s="8">
        <f t="shared" si="2246"/>
        <v>2600.0000000000227</v>
      </c>
    </row>
    <row r="2229" spans="1:13" ht="15" customHeight="1" x14ac:dyDescent="0.25">
      <c r="A2229" s="24">
        <v>43074</v>
      </c>
      <c r="B2229" s="9" t="s">
        <v>35</v>
      </c>
      <c r="C2229" s="9">
        <v>5000</v>
      </c>
      <c r="D2229" s="9" t="s">
        <v>10</v>
      </c>
      <c r="E2229" s="19">
        <v>162.80000000000001</v>
      </c>
      <c r="F2229" s="19">
        <v>161.5</v>
      </c>
      <c r="G2229" s="9">
        <v>0</v>
      </c>
      <c r="H2229" s="15">
        <v>0</v>
      </c>
      <c r="I2229" s="8">
        <f t="shared" si="2248"/>
        <v>-6500.0000000000564</v>
      </c>
      <c r="J2229" s="8">
        <v>0</v>
      </c>
      <c r="K2229" s="2">
        <f>(IF(D2229="SELL",IF(H2229="",0,G2229-H2229),IF(D2229="BUY",IF(H2229="",0,(H2229-G2229)))))*C2229</f>
        <v>0</v>
      </c>
      <c r="L2229" s="8">
        <f t="shared" si="2251"/>
        <v>-1.3000000000000114</v>
      </c>
      <c r="M2229" s="8">
        <f t="shared" si="2246"/>
        <v>-6500.0000000000564</v>
      </c>
    </row>
    <row r="2230" spans="1:13" ht="15" customHeight="1" x14ac:dyDescent="0.25">
      <c r="A2230" s="24">
        <v>43074</v>
      </c>
      <c r="B2230" s="9" t="s">
        <v>43</v>
      </c>
      <c r="C2230" s="9">
        <v>100</v>
      </c>
      <c r="D2230" s="9" t="s">
        <v>11</v>
      </c>
      <c r="E2230" s="19">
        <v>3706</v>
      </c>
      <c r="F2230" s="19">
        <v>3690</v>
      </c>
      <c r="G2230" s="9">
        <v>0</v>
      </c>
      <c r="H2230" s="15">
        <v>0</v>
      </c>
      <c r="I2230" s="8">
        <f t="shared" si="2248"/>
        <v>1600</v>
      </c>
      <c r="J2230" s="8">
        <v>0</v>
      </c>
      <c r="K2230" s="2">
        <f>(IF(D2230="SELL",IF(H2230="",0,G2230-H2230),IF(D2230="BUY",IF(H2230="",0,(H2230-G2230)))))*C2230</f>
        <v>0</v>
      </c>
      <c r="L2230" s="8">
        <f t="shared" si="2251"/>
        <v>16</v>
      </c>
      <c r="M2230" s="8">
        <f t="shared" si="2246"/>
        <v>1600</v>
      </c>
    </row>
    <row r="2231" spans="1:13" ht="15" customHeight="1" x14ac:dyDescent="0.25">
      <c r="A2231" s="24">
        <v>43074</v>
      </c>
      <c r="B2231" s="9" t="s">
        <v>39</v>
      </c>
      <c r="C2231" s="9">
        <v>5000</v>
      </c>
      <c r="D2231" s="9" t="s">
        <v>10</v>
      </c>
      <c r="E2231" s="19">
        <v>205.5</v>
      </c>
      <c r="F2231" s="19">
        <v>206</v>
      </c>
      <c r="G2231" s="9">
        <v>0</v>
      </c>
      <c r="H2231" s="15">
        <v>0</v>
      </c>
      <c r="I2231" s="8">
        <f t="shared" si="2248"/>
        <v>2500</v>
      </c>
      <c r="J2231" s="8">
        <v>0</v>
      </c>
      <c r="K2231" s="2">
        <f>(IF(D2231="SELL",IF(H2231="",0,G2231-H2231),IF(D2231="BUY",IF(H2231="",0,(H2231-G2231)))))*C2231</f>
        <v>0</v>
      </c>
      <c r="L2231" s="8">
        <f t="shared" si="2251"/>
        <v>0.5</v>
      </c>
      <c r="M2231" s="8">
        <f t="shared" si="2246"/>
        <v>2500</v>
      </c>
    </row>
    <row r="2232" spans="1:13" ht="15" customHeight="1" x14ac:dyDescent="0.25">
      <c r="A2232" s="24">
        <v>43074</v>
      </c>
      <c r="B2232" s="9" t="s">
        <v>20</v>
      </c>
      <c r="C2232" s="9">
        <v>1250</v>
      </c>
      <c r="D2232" s="9" t="s">
        <v>11</v>
      </c>
      <c r="E2232" s="19">
        <v>192.6</v>
      </c>
      <c r="F2232" s="19">
        <v>191.6</v>
      </c>
      <c r="G2232" s="9">
        <v>190</v>
      </c>
      <c r="H2232" s="15">
        <v>0</v>
      </c>
      <c r="I2232" s="8">
        <f t="shared" si="2248"/>
        <v>1250</v>
      </c>
      <c r="J2232" s="8">
        <f>(IF(D2232="SELL",IF(G2232="",0,F2232-G2232),IF(D2232="BUY",IF(G2232="",0,G2232-F2232))))*C2232</f>
        <v>1999.999999999993</v>
      </c>
      <c r="K2232" s="2">
        <v>0</v>
      </c>
      <c r="L2232" s="8">
        <f t="shared" si="2251"/>
        <v>2.5999999999999943</v>
      </c>
      <c r="M2232" s="8">
        <f t="shared" si="2246"/>
        <v>3249.9999999999927</v>
      </c>
    </row>
    <row r="2233" spans="1:13" ht="15" customHeight="1" x14ac:dyDescent="0.25">
      <c r="A2233" s="24">
        <v>43074</v>
      </c>
      <c r="B2233" s="9" t="s">
        <v>29</v>
      </c>
      <c r="C2233" s="9">
        <v>1000</v>
      </c>
      <c r="D2233" s="9" t="s">
        <v>11</v>
      </c>
      <c r="E2233" s="19">
        <v>440.6</v>
      </c>
      <c r="F2233" s="19">
        <v>439.6</v>
      </c>
      <c r="G2233" s="9">
        <v>438</v>
      </c>
      <c r="H2233" s="15">
        <v>436</v>
      </c>
      <c r="I2233" s="8">
        <f t="shared" si="2248"/>
        <v>1000</v>
      </c>
      <c r="J2233" s="8">
        <f>(IF(D2233="SELL",IF(G2233="",0,F2233-G2233),IF(D2233="BUY",IF(G2233="",0,G2233-F2233))))*C2233</f>
        <v>1600.0000000000227</v>
      </c>
      <c r="K2233" s="2">
        <f>(IF(D2233="SELL",IF(H2233="",0,G2233-H2233),IF(D2233="BUY",IF(H2233="",0,(H2233-G2233)))))*C2233</f>
        <v>2000</v>
      </c>
      <c r="L2233" s="8">
        <f t="shared" si="2251"/>
        <v>4.6000000000000227</v>
      </c>
      <c r="M2233" s="8">
        <f t="shared" si="2246"/>
        <v>4600.0000000000227</v>
      </c>
    </row>
    <row r="2234" spans="1:13" ht="15" customHeight="1" x14ac:dyDescent="0.25">
      <c r="A2234" s="24">
        <v>43070</v>
      </c>
      <c r="B2234" s="9" t="s">
        <v>39</v>
      </c>
      <c r="C2234" s="9">
        <v>5000</v>
      </c>
      <c r="D2234" s="9" t="s">
        <v>10</v>
      </c>
      <c r="E2234" s="19">
        <v>204.8</v>
      </c>
      <c r="F2234" s="19">
        <v>205.4</v>
      </c>
      <c r="G2234" s="9">
        <v>206.2</v>
      </c>
      <c r="H2234" s="15">
        <v>207.8</v>
      </c>
      <c r="I2234" s="8">
        <f t="shared" si="2248"/>
        <v>2999.9999999999718</v>
      </c>
      <c r="J2234" s="8">
        <f>(IF(D2234="SELL",IF(G2234="",0,F2234-G2234),IF(D2234="BUY",IF(G2234="",0,G2234-F2234))))*C2234</f>
        <v>3999.9999999999145</v>
      </c>
      <c r="K2234" s="2">
        <f>(IF(D2234="SELL",IF(H2234="",0,G2234-H2234),IF(D2234="BUY",IF(H2234="",0,(H2234-G2234)))))*C2234</f>
        <v>8000.0000000001137</v>
      </c>
      <c r="L2234" s="8">
        <f t="shared" si="2251"/>
        <v>3</v>
      </c>
      <c r="M2234" s="8">
        <f t="shared" si="2246"/>
        <v>15000</v>
      </c>
    </row>
    <row r="2235" spans="1:13" ht="15" customHeight="1" x14ac:dyDescent="0.25">
      <c r="A2235" s="24">
        <v>43070</v>
      </c>
      <c r="B2235" s="9" t="s">
        <v>31</v>
      </c>
      <c r="C2235" s="9">
        <v>250</v>
      </c>
      <c r="D2235" s="9" t="s">
        <v>11</v>
      </c>
      <c r="E2235" s="19">
        <v>715</v>
      </c>
      <c r="F2235" s="19">
        <v>711</v>
      </c>
      <c r="G2235" s="9">
        <v>0</v>
      </c>
      <c r="H2235" s="15">
        <v>0</v>
      </c>
      <c r="I2235" s="8">
        <f t="shared" si="2248"/>
        <v>1000</v>
      </c>
      <c r="J2235" s="8">
        <v>0</v>
      </c>
      <c r="K2235" s="2">
        <v>0</v>
      </c>
      <c r="L2235" s="8">
        <f t="shared" si="2251"/>
        <v>4</v>
      </c>
      <c r="M2235" s="8">
        <f t="shared" si="2246"/>
        <v>1000</v>
      </c>
    </row>
    <row r="2236" spans="1:13" ht="15" customHeight="1" x14ac:dyDescent="0.25">
      <c r="A2236" s="24">
        <v>43070</v>
      </c>
      <c r="B2236" s="9" t="s">
        <v>15</v>
      </c>
      <c r="C2236" s="9">
        <v>5000</v>
      </c>
      <c r="D2236" s="9" t="s">
        <v>10</v>
      </c>
      <c r="E2236" s="19">
        <v>160.6</v>
      </c>
      <c r="F2236" s="19">
        <v>161.19999999999999</v>
      </c>
      <c r="G2236" s="9">
        <v>162.1</v>
      </c>
      <c r="H2236" s="15">
        <v>0</v>
      </c>
      <c r="I2236" s="8">
        <f t="shared" si="2248"/>
        <v>2999.9999999999718</v>
      </c>
      <c r="J2236" s="8">
        <f>(IF(D2236="SELL",IF(G2236="",0,F2236-G2236),IF(D2236="BUY",IF(G2236="",0,G2236-F2236))))*C2236</f>
        <v>4500.0000000000282</v>
      </c>
      <c r="K2236" s="2">
        <v>0</v>
      </c>
      <c r="L2236" s="8">
        <f t="shared" si="2251"/>
        <v>1.5</v>
      </c>
      <c r="M2236" s="8">
        <f t="shared" si="2246"/>
        <v>7500</v>
      </c>
    </row>
    <row r="2237" spans="1:13" ht="15" customHeight="1" x14ac:dyDescent="0.25">
      <c r="A2237" s="24">
        <v>43070</v>
      </c>
      <c r="B2237" s="9" t="s">
        <v>45</v>
      </c>
      <c r="C2237" s="9">
        <v>1250</v>
      </c>
      <c r="D2237" s="9" t="s">
        <v>10</v>
      </c>
      <c r="E2237" s="19">
        <v>198</v>
      </c>
      <c r="F2237" s="19">
        <v>199</v>
      </c>
      <c r="G2237" s="9">
        <v>200.5</v>
      </c>
      <c r="H2237" s="15">
        <v>0</v>
      </c>
      <c r="I2237" s="8">
        <f t="shared" si="2248"/>
        <v>1250</v>
      </c>
      <c r="J2237" s="8">
        <f>(IF(D2237="SELL",IF(G2237="",0,F2237-G2237),IF(D2237="BUY",IF(G2237="",0,G2237-F2237))))*C2237</f>
        <v>1875</v>
      </c>
      <c r="K2237" s="2">
        <v>0</v>
      </c>
      <c r="L2237" s="8">
        <f t="shared" si="2251"/>
        <v>2.5</v>
      </c>
      <c r="M2237" s="8">
        <f t="shared" si="2246"/>
        <v>3125</v>
      </c>
    </row>
    <row r="2238" spans="1:13" ht="15" customHeight="1" x14ac:dyDescent="0.25">
      <c r="A2238" s="24">
        <v>43069</v>
      </c>
      <c r="B2238" s="9" t="s">
        <v>15</v>
      </c>
      <c r="C2238" s="9">
        <v>5000</v>
      </c>
      <c r="D2238" s="9" t="s">
        <v>10</v>
      </c>
      <c r="E2238" s="19">
        <v>157.9</v>
      </c>
      <c r="F2238" s="19">
        <v>158.5</v>
      </c>
      <c r="G2238" s="9">
        <v>159.19999999999999</v>
      </c>
      <c r="H2238" s="15">
        <v>0</v>
      </c>
      <c r="I2238" s="8">
        <f t="shared" si="2248"/>
        <v>2999.9999999999718</v>
      </c>
      <c r="J2238" s="8">
        <f>(IF(D2238="SELL",IF(G2238="",0,F2238-G2238),IF(D2238="BUY",IF(G2238="",0,G2238-F2238))))*C2238</f>
        <v>3499.9999999999432</v>
      </c>
      <c r="K2238" s="2">
        <v>0</v>
      </c>
      <c r="L2238" s="8">
        <f t="shared" si="2251"/>
        <v>1.2999999999999829</v>
      </c>
      <c r="M2238" s="8">
        <f t="shared" si="2246"/>
        <v>6499.9999999999145</v>
      </c>
    </row>
    <row r="2239" spans="1:13" ht="15" customHeight="1" x14ac:dyDescent="0.25">
      <c r="A2239" s="24">
        <v>43069</v>
      </c>
      <c r="B2239" s="9" t="s">
        <v>20</v>
      </c>
      <c r="C2239" s="9">
        <v>1250</v>
      </c>
      <c r="D2239" s="9" t="s">
        <v>11</v>
      </c>
      <c r="E2239" s="19">
        <v>202.5</v>
      </c>
      <c r="F2239" s="19">
        <v>201.5</v>
      </c>
      <c r="G2239" s="9">
        <v>0</v>
      </c>
      <c r="H2239" s="15">
        <v>0</v>
      </c>
      <c r="I2239" s="8">
        <f t="shared" ref="I2239:I2270" si="2252">(IF(D2239="SELL",E2239-F2239,IF(D2239="BUY",F2239-E2239)))*C2239</f>
        <v>1250</v>
      </c>
      <c r="J2239" s="8">
        <v>0</v>
      </c>
      <c r="K2239" s="2">
        <v>0</v>
      </c>
      <c r="L2239" s="8">
        <f t="shared" si="2251"/>
        <v>1</v>
      </c>
      <c r="M2239" s="8">
        <f t="shared" si="2246"/>
        <v>1250</v>
      </c>
    </row>
    <row r="2240" spans="1:13" ht="15" customHeight="1" x14ac:dyDescent="0.25">
      <c r="A2240" s="24">
        <v>43069</v>
      </c>
      <c r="B2240" s="9" t="s">
        <v>17</v>
      </c>
      <c r="C2240" s="9">
        <v>5000</v>
      </c>
      <c r="D2240" s="9" t="s">
        <v>11</v>
      </c>
      <c r="E2240" s="19">
        <v>203</v>
      </c>
      <c r="F2240" s="19">
        <v>202.5</v>
      </c>
      <c r="G2240" s="9">
        <v>0</v>
      </c>
      <c r="H2240" s="15">
        <v>0</v>
      </c>
      <c r="I2240" s="8">
        <f t="shared" si="2252"/>
        <v>2500</v>
      </c>
      <c r="J2240" s="8">
        <v>0</v>
      </c>
      <c r="K2240" s="2">
        <v>0</v>
      </c>
      <c r="L2240" s="8">
        <f t="shared" si="2251"/>
        <v>0.5</v>
      </c>
      <c r="M2240" s="8">
        <f t="shared" si="2246"/>
        <v>2500</v>
      </c>
    </row>
    <row r="2241" spans="1:13" ht="15" customHeight="1" x14ac:dyDescent="0.25">
      <c r="A2241" s="24">
        <v>43068</v>
      </c>
      <c r="B2241" s="9" t="s">
        <v>40</v>
      </c>
      <c r="C2241" s="9">
        <v>30</v>
      </c>
      <c r="D2241" s="9" t="s">
        <v>11</v>
      </c>
      <c r="E2241" s="19">
        <v>38400</v>
      </c>
      <c r="F2241" s="19">
        <v>38300</v>
      </c>
      <c r="G2241" s="9">
        <v>38100</v>
      </c>
      <c r="H2241" s="15">
        <v>0</v>
      </c>
      <c r="I2241" s="8">
        <f t="shared" si="2252"/>
        <v>3000</v>
      </c>
      <c r="J2241" s="8">
        <f t="shared" ref="J2241:J2249" si="2253">(IF(D2241="SELL",IF(G2241="",0,F2241-G2241),IF(D2241="BUY",IF(G2241="",0,G2241-F2241))))*C2241</f>
        <v>6000</v>
      </c>
      <c r="K2241" s="2">
        <v>0</v>
      </c>
      <c r="L2241" s="8">
        <f t="shared" si="2251"/>
        <v>300</v>
      </c>
      <c r="M2241" s="8">
        <f t="shared" si="2246"/>
        <v>9000</v>
      </c>
    </row>
    <row r="2242" spans="1:13" ht="15" customHeight="1" x14ac:dyDescent="0.25">
      <c r="A2242" s="24">
        <v>43068</v>
      </c>
      <c r="B2242" s="9" t="s">
        <v>39</v>
      </c>
      <c r="C2242" s="9">
        <v>5000</v>
      </c>
      <c r="D2242" s="9" t="s">
        <v>11</v>
      </c>
      <c r="E2242" s="19">
        <v>203.3</v>
      </c>
      <c r="F2242" s="19">
        <v>202.8</v>
      </c>
      <c r="G2242" s="9">
        <v>202</v>
      </c>
      <c r="H2242" s="15">
        <v>0</v>
      </c>
      <c r="I2242" s="8">
        <f t="shared" si="2252"/>
        <v>2500</v>
      </c>
      <c r="J2242" s="8">
        <f t="shared" si="2253"/>
        <v>4000.0000000000568</v>
      </c>
      <c r="K2242" s="2">
        <v>0</v>
      </c>
      <c r="L2242" s="8">
        <f t="shared" si="2251"/>
        <v>1.3000000000000114</v>
      </c>
      <c r="M2242" s="8">
        <f t="shared" si="2246"/>
        <v>6500.0000000000564</v>
      </c>
    </row>
    <row r="2243" spans="1:13" ht="15" customHeight="1" x14ac:dyDescent="0.25">
      <c r="A2243" s="24">
        <v>43068</v>
      </c>
      <c r="B2243" s="9" t="s">
        <v>29</v>
      </c>
      <c r="C2243" s="9">
        <v>1000</v>
      </c>
      <c r="D2243" s="9" t="s">
        <v>11</v>
      </c>
      <c r="E2243" s="19">
        <v>436.3</v>
      </c>
      <c r="F2243" s="19">
        <v>435.3</v>
      </c>
      <c r="G2243" s="9">
        <v>434</v>
      </c>
      <c r="H2243" s="15">
        <v>432</v>
      </c>
      <c r="I2243" s="8">
        <f t="shared" si="2252"/>
        <v>1000</v>
      </c>
      <c r="J2243" s="8">
        <f t="shared" si="2253"/>
        <v>1300.0000000000114</v>
      </c>
      <c r="K2243" s="2">
        <f>(IF(D2243="SELL",IF(H2243="",0,G2243-H2243),IF(D2243="BUY",IF(H2243="",0,(H2243-G2243)))))*C2243</f>
        <v>2000</v>
      </c>
      <c r="L2243" s="8">
        <f t="shared" si="2251"/>
        <v>4.3000000000000105</v>
      </c>
      <c r="M2243" s="8">
        <f t="shared" si="2246"/>
        <v>4300.0000000000109</v>
      </c>
    </row>
    <row r="2244" spans="1:13" ht="15" customHeight="1" x14ac:dyDescent="0.25">
      <c r="A2244" s="24">
        <v>43067</v>
      </c>
      <c r="B2244" s="9" t="s">
        <v>35</v>
      </c>
      <c r="C2244" s="9">
        <v>5000</v>
      </c>
      <c r="D2244" s="9" t="s">
        <v>11</v>
      </c>
      <c r="E2244" s="19">
        <v>157.25</v>
      </c>
      <c r="F2244" s="19">
        <v>156.69999999999999</v>
      </c>
      <c r="G2244" s="9">
        <v>155.9</v>
      </c>
      <c r="H2244" s="15">
        <v>0</v>
      </c>
      <c r="I2244" s="8">
        <f t="shared" si="2252"/>
        <v>2750.0000000000568</v>
      </c>
      <c r="J2244" s="8">
        <f t="shared" si="2253"/>
        <v>3999.9999999999145</v>
      </c>
      <c r="K2244" s="2">
        <v>0</v>
      </c>
      <c r="L2244" s="8">
        <f t="shared" si="2251"/>
        <v>1.3499999999999941</v>
      </c>
      <c r="M2244" s="8">
        <f t="shared" si="2246"/>
        <v>6749.9999999999709</v>
      </c>
    </row>
    <row r="2245" spans="1:13" ht="15" customHeight="1" x14ac:dyDescent="0.25">
      <c r="A2245" s="24">
        <v>43067</v>
      </c>
      <c r="B2245" s="9" t="s">
        <v>31</v>
      </c>
      <c r="C2245" s="9">
        <v>250</v>
      </c>
      <c r="D2245" s="9" t="s">
        <v>11</v>
      </c>
      <c r="E2245" s="19">
        <v>732.5</v>
      </c>
      <c r="F2245" s="19">
        <v>728.5</v>
      </c>
      <c r="G2245" s="9">
        <v>722</v>
      </c>
      <c r="H2245" s="15">
        <v>0</v>
      </c>
      <c r="I2245" s="8">
        <f t="shared" si="2252"/>
        <v>1000</v>
      </c>
      <c r="J2245" s="8">
        <f t="shared" si="2253"/>
        <v>1625</v>
      </c>
      <c r="K2245" s="2">
        <v>0</v>
      </c>
      <c r="L2245" s="8">
        <f t="shared" si="2251"/>
        <v>10.5</v>
      </c>
      <c r="M2245" s="8">
        <f t="shared" ref="M2245:M2308" si="2254">L2245*C2245</f>
        <v>2625</v>
      </c>
    </row>
    <row r="2246" spans="1:13" ht="15" customHeight="1" x14ac:dyDescent="0.25">
      <c r="A2246" s="24">
        <v>43067</v>
      </c>
      <c r="B2246" s="9" t="s">
        <v>39</v>
      </c>
      <c r="C2246" s="9">
        <v>5000</v>
      </c>
      <c r="D2246" s="9" t="s">
        <v>11</v>
      </c>
      <c r="E2246" s="19">
        <v>205.7</v>
      </c>
      <c r="F2246" s="19">
        <v>205.1</v>
      </c>
      <c r="G2246" s="9">
        <v>204.2</v>
      </c>
      <c r="H2246" s="15">
        <v>0</v>
      </c>
      <c r="I2246" s="8">
        <f t="shared" si="2252"/>
        <v>2999.9999999999718</v>
      </c>
      <c r="J2246" s="8">
        <f t="shared" si="2253"/>
        <v>4500.0000000000282</v>
      </c>
      <c r="K2246" s="2">
        <v>0</v>
      </c>
      <c r="L2246" s="8">
        <f t="shared" si="2251"/>
        <v>1.5</v>
      </c>
      <c r="M2246" s="8">
        <f t="shared" si="2254"/>
        <v>7500</v>
      </c>
    </row>
    <row r="2247" spans="1:13" ht="15" customHeight="1" x14ac:dyDescent="0.25">
      <c r="A2247" s="24">
        <v>43067</v>
      </c>
      <c r="B2247" s="9" t="s">
        <v>29</v>
      </c>
      <c r="C2247" s="9">
        <v>1000</v>
      </c>
      <c r="D2247" s="9" t="s">
        <v>11</v>
      </c>
      <c r="E2247" s="19">
        <v>442</v>
      </c>
      <c r="F2247" s="19">
        <v>441</v>
      </c>
      <c r="G2247" s="9">
        <v>439.5</v>
      </c>
      <c r="H2247" s="15">
        <v>437</v>
      </c>
      <c r="I2247" s="8">
        <f t="shared" si="2252"/>
        <v>1000</v>
      </c>
      <c r="J2247" s="8">
        <f t="shared" si="2253"/>
        <v>1500</v>
      </c>
      <c r="K2247" s="2">
        <f>(IF(D2247="SELL",IF(H2247="",0,G2247-H2247),IF(D2247="BUY",IF(H2247="",0,(H2247-G2247)))))*C2247</f>
        <v>2500</v>
      </c>
      <c r="L2247" s="8">
        <f t="shared" si="2251"/>
        <v>5</v>
      </c>
      <c r="M2247" s="8">
        <f t="shared" si="2254"/>
        <v>5000</v>
      </c>
    </row>
    <row r="2248" spans="1:13" ht="15" customHeight="1" x14ac:dyDescent="0.25">
      <c r="A2248" s="24">
        <v>43066</v>
      </c>
      <c r="B2248" s="9" t="s">
        <v>36</v>
      </c>
      <c r="C2248" s="9">
        <v>100</v>
      </c>
      <c r="D2248" s="9" t="s">
        <v>11</v>
      </c>
      <c r="E2248" s="19">
        <v>3785</v>
      </c>
      <c r="F2248" s="19">
        <v>3770</v>
      </c>
      <c r="G2248" s="9">
        <v>3740</v>
      </c>
      <c r="H2248" s="15">
        <v>0</v>
      </c>
      <c r="I2248" s="8">
        <f t="shared" si="2252"/>
        <v>1500</v>
      </c>
      <c r="J2248" s="8">
        <f t="shared" si="2253"/>
        <v>3000</v>
      </c>
      <c r="K2248" s="2">
        <v>0</v>
      </c>
      <c r="L2248" s="8">
        <f t="shared" si="2251"/>
        <v>45</v>
      </c>
      <c r="M2248" s="8">
        <f t="shared" si="2254"/>
        <v>4500</v>
      </c>
    </row>
    <row r="2249" spans="1:13" ht="15" customHeight="1" x14ac:dyDescent="0.25">
      <c r="A2249" s="24">
        <v>43066</v>
      </c>
      <c r="B2249" s="9" t="s">
        <v>20</v>
      </c>
      <c r="C2249" s="9">
        <v>1250</v>
      </c>
      <c r="D2249" s="9" t="s">
        <v>11</v>
      </c>
      <c r="E2249" s="19">
        <v>188.9</v>
      </c>
      <c r="F2249" s="19">
        <v>187.9</v>
      </c>
      <c r="G2249" s="9">
        <v>186.5</v>
      </c>
      <c r="H2249" s="15">
        <v>0</v>
      </c>
      <c r="I2249" s="8">
        <f t="shared" si="2252"/>
        <v>1250</v>
      </c>
      <c r="J2249" s="8">
        <f t="shared" si="2253"/>
        <v>1750.000000000007</v>
      </c>
      <c r="K2249" s="2">
        <v>0</v>
      </c>
      <c r="L2249" s="8">
        <f t="shared" si="2251"/>
        <v>2.4000000000000057</v>
      </c>
      <c r="M2249" s="8">
        <f t="shared" si="2254"/>
        <v>3000.0000000000073</v>
      </c>
    </row>
    <row r="2250" spans="1:13" ht="15" customHeight="1" x14ac:dyDescent="0.25">
      <c r="A2250" s="24">
        <v>43066</v>
      </c>
      <c r="B2250" s="9" t="s">
        <v>29</v>
      </c>
      <c r="C2250" s="9">
        <v>1000</v>
      </c>
      <c r="D2250" s="9" t="s">
        <v>11</v>
      </c>
      <c r="E2250" s="19">
        <v>450.7</v>
      </c>
      <c r="F2250" s="19">
        <v>449.5</v>
      </c>
      <c r="G2250" s="9">
        <v>0</v>
      </c>
      <c r="H2250" s="15">
        <v>0</v>
      </c>
      <c r="I2250" s="8">
        <f t="shared" si="2252"/>
        <v>1199.9999999999886</v>
      </c>
      <c r="J2250" s="8">
        <v>0</v>
      </c>
      <c r="K2250" s="2">
        <v>0</v>
      </c>
      <c r="L2250" s="8">
        <f t="shared" si="2251"/>
        <v>1.1999999999999886</v>
      </c>
      <c r="M2250" s="8">
        <f t="shared" si="2254"/>
        <v>1199.9999999999886</v>
      </c>
    </row>
    <row r="2251" spans="1:13" ht="15" customHeight="1" x14ac:dyDescent="0.25">
      <c r="A2251" s="24">
        <v>43066</v>
      </c>
      <c r="B2251" s="9" t="s">
        <v>31</v>
      </c>
      <c r="C2251" s="9">
        <v>250</v>
      </c>
      <c r="D2251" s="9" t="s">
        <v>11</v>
      </c>
      <c r="E2251" s="19">
        <v>761</v>
      </c>
      <c r="F2251" s="19">
        <v>752</v>
      </c>
      <c r="G2251" s="9">
        <v>0</v>
      </c>
      <c r="H2251" s="15">
        <v>0</v>
      </c>
      <c r="I2251" s="8">
        <f t="shared" si="2252"/>
        <v>2250</v>
      </c>
      <c r="J2251" s="8">
        <v>0</v>
      </c>
      <c r="K2251" s="2">
        <v>0</v>
      </c>
      <c r="L2251" s="8">
        <f t="shared" si="2251"/>
        <v>9</v>
      </c>
      <c r="M2251" s="8">
        <f t="shared" si="2254"/>
        <v>2250</v>
      </c>
    </row>
    <row r="2252" spans="1:13" ht="15" customHeight="1" x14ac:dyDescent="0.25">
      <c r="A2252" s="24">
        <v>43066</v>
      </c>
      <c r="B2252" s="9" t="s">
        <v>39</v>
      </c>
      <c r="C2252" s="9">
        <v>5000</v>
      </c>
      <c r="D2252" s="9" t="s">
        <v>11</v>
      </c>
      <c r="E2252" s="19">
        <v>209.2</v>
      </c>
      <c r="F2252" s="19">
        <v>208.6</v>
      </c>
      <c r="G2252" s="9">
        <v>207.9</v>
      </c>
      <c r="H2252" s="15">
        <v>206.8</v>
      </c>
      <c r="I2252" s="8">
        <f t="shared" si="2252"/>
        <v>2999.9999999999718</v>
      </c>
      <c r="J2252" s="8">
        <f>(IF(D2252="SELL",IF(G2252="",0,F2252-G2252),IF(D2252="BUY",IF(G2252="",0,G2252-F2252))))*C2252</f>
        <v>3499.9999999999432</v>
      </c>
      <c r="K2252" s="2">
        <f>(IF(D2252="SELL",IF(H2252="",0,G2252-H2252),IF(D2252="BUY",IF(H2252="",0,(H2252-G2252)))))*C2252</f>
        <v>5499.9999999999718</v>
      </c>
      <c r="L2252" s="8">
        <f t="shared" si="2251"/>
        <v>2.3999999999999773</v>
      </c>
      <c r="M2252" s="8">
        <f t="shared" si="2254"/>
        <v>11999.999999999887</v>
      </c>
    </row>
    <row r="2253" spans="1:13" ht="15" customHeight="1" x14ac:dyDescent="0.25">
      <c r="A2253" s="24">
        <v>43063</v>
      </c>
      <c r="B2253" s="9" t="s">
        <v>35</v>
      </c>
      <c r="C2253" s="9">
        <v>5000</v>
      </c>
      <c r="D2253" s="9" t="s">
        <v>10</v>
      </c>
      <c r="E2253" s="19">
        <v>159.5</v>
      </c>
      <c r="F2253" s="19">
        <v>160</v>
      </c>
      <c r="G2253" s="9">
        <v>160.80000000000001</v>
      </c>
      <c r="H2253" s="15">
        <v>0</v>
      </c>
      <c r="I2253" s="8">
        <f t="shared" si="2252"/>
        <v>2500</v>
      </c>
      <c r="J2253" s="8">
        <f>(IF(D2253="SELL",IF(G2253="",0,F2253-G2253),IF(D2253="BUY",IF(G2253="",0,G2253-F2253))))*C2253</f>
        <v>4000.0000000000568</v>
      </c>
      <c r="K2253" s="2">
        <v>0</v>
      </c>
      <c r="L2253" s="8">
        <f t="shared" si="2251"/>
        <v>1.3000000000000114</v>
      </c>
      <c r="M2253" s="8">
        <f t="shared" si="2254"/>
        <v>6500.0000000000564</v>
      </c>
    </row>
    <row r="2254" spans="1:13" ht="15" customHeight="1" x14ac:dyDescent="0.25">
      <c r="A2254" s="24">
        <v>43063</v>
      </c>
      <c r="B2254" s="9" t="s">
        <v>20</v>
      </c>
      <c r="C2254" s="9">
        <v>1250</v>
      </c>
      <c r="D2254" s="9" t="s">
        <v>11</v>
      </c>
      <c r="E2254" s="19">
        <v>187.8</v>
      </c>
      <c r="F2254" s="19">
        <v>186.8</v>
      </c>
      <c r="G2254" s="9">
        <v>0</v>
      </c>
      <c r="H2254" s="15">
        <v>0</v>
      </c>
      <c r="I2254" s="8">
        <f t="shared" si="2252"/>
        <v>1250</v>
      </c>
      <c r="J2254" s="8">
        <v>0</v>
      </c>
      <c r="K2254" s="2">
        <f t="shared" ref="K2254:K2275" si="2255">(IF(D2254="SELL",IF(H2254="",0,G2254-H2254),IF(D2254="BUY",IF(H2254="",0,(H2254-G2254)))))*C2254</f>
        <v>0</v>
      </c>
      <c r="L2254" s="8">
        <f t="shared" si="2251"/>
        <v>1</v>
      </c>
      <c r="M2254" s="8">
        <f t="shared" si="2254"/>
        <v>1250</v>
      </c>
    </row>
    <row r="2255" spans="1:13" ht="15" customHeight="1" x14ac:dyDescent="0.25">
      <c r="A2255" s="24">
        <v>43063</v>
      </c>
      <c r="B2255" s="9" t="s">
        <v>29</v>
      </c>
      <c r="C2255" s="9">
        <v>1000</v>
      </c>
      <c r="D2255" s="9" t="s">
        <v>10</v>
      </c>
      <c r="E2255" s="19">
        <v>451</v>
      </c>
      <c r="F2255" s="19">
        <v>452</v>
      </c>
      <c r="G2255" s="9">
        <v>0</v>
      </c>
      <c r="H2255" s="15">
        <v>0</v>
      </c>
      <c r="I2255" s="8">
        <f t="shared" si="2252"/>
        <v>1000</v>
      </c>
      <c r="J2255" s="8">
        <v>0</v>
      </c>
      <c r="K2255" s="2">
        <f t="shared" si="2255"/>
        <v>0</v>
      </c>
      <c r="L2255" s="8">
        <f t="shared" si="2251"/>
        <v>1</v>
      </c>
      <c r="M2255" s="8">
        <f t="shared" si="2254"/>
        <v>1000</v>
      </c>
    </row>
    <row r="2256" spans="1:13" ht="15" customHeight="1" x14ac:dyDescent="0.25">
      <c r="A2256" s="24">
        <v>43062</v>
      </c>
      <c r="B2256" s="9" t="s">
        <v>20</v>
      </c>
      <c r="C2256" s="9">
        <v>1250</v>
      </c>
      <c r="D2256" s="9" t="s">
        <v>11</v>
      </c>
      <c r="E2256" s="19">
        <v>191.7</v>
      </c>
      <c r="F2256" s="19">
        <v>190.7</v>
      </c>
      <c r="G2256" s="9">
        <v>189.5</v>
      </c>
      <c r="H2256" s="15">
        <v>187</v>
      </c>
      <c r="I2256" s="8">
        <f t="shared" si="2252"/>
        <v>1250</v>
      </c>
      <c r="J2256" s="8">
        <f>(IF(D2256="SELL",IF(G2256="",0,F2256-G2256),IF(D2256="BUY",IF(G2256="",0,G2256-F2256))))*C2256</f>
        <v>1499.9999999999859</v>
      </c>
      <c r="K2256" s="2">
        <f t="shared" si="2255"/>
        <v>3125</v>
      </c>
      <c r="L2256" s="8">
        <f t="shared" si="2251"/>
        <v>4.6999999999999886</v>
      </c>
      <c r="M2256" s="8">
        <f t="shared" si="2254"/>
        <v>5874.9999999999854</v>
      </c>
    </row>
    <row r="2257" spans="1:13" ht="15" customHeight="1" x14ac:dyDescent="0.25">
      <c r="A2257" s="24">
        <v>43062</v>
      </c>
      <c r="B2257" s="9" t="s">
        <v>18</v>
      </c>
      <c r="C2257" s="9">
        <v>1000</v>
      </c>
      <c r="D2257" s="9" t="s">
        <v>11</v>
      </c>
      <c r="E2257" s="19">
        <v>447.7</v>
      </c>
      <c r="F2257" s="19">
        <v>446.7</v>
      </c>
      <c r="G2257" s="9">
        <v>0</v>
      </c>
      <c r="H2257" s="15">
        <v>0</v>
      </c>
      <c r="I2257" s="8">
        <f t="shared" si="2252"/>
        <v>1000</v>
      </c>
      <c r="J2257" s="8">
        <v>0</v>
      </c>
      <c r="K2257" s="2">
        <f t="shared" si="2255"/>
        <v>0</v>
      </c>
      <c r="L2257" s="8">
        <f t="shared" si="2251"/>
        <v>1</v>
      </c>
      <c r="M2257" s="8">
        <f t="shared" si="2254"/>
        <v>1000</v>
      </c>
    </row>
    <row r="2258" spans="1:13" ht="15" customHeight="1" x14ac:dyDescent="0.25">
      <c r="A2258" s="24">
        <v>43062</v>
      </c>
      <c r="B2258" s="9" t="s">
        <v>31</v>
      </c>
      <c r="C2258" s="9">
        <v>250</v>
      </c>
      <c r="D2258" s="9" t="s">
        <v>11</v>
      </c>
      <c r="E2258" s="19">
        <v>759</v>
      </c>
      <c r="F2258" s="19">
        <v>755</v>
      </c>
      <c r="G2258" s="9">
        <v>0</v>
      </c>
      <c r="H2258" s="15">
        <v>0</v>
      </c>
      <c r="I2258" s="8">
        <f t="shared" si="2252"/>
        <v>1000</v>
      </c>
      <c r="J2258" s="8">
        <v>0</v>
      </c>
      <c r="K2258" s="2">
        <f t="shared" si="2255"/>
        <v>0</v>
      </c>
      <c r="L2258" s="8">
        <f t="shared" si="2251"/>
        <v>4</v>
      </c>
      <c r="M2258" s="8">
        <f t="shared" si="2254"/>
        <v>1000</v>
      </c>
    </row>
    <row r="2259" spans="1:13" ht="15" customHeight="1" x14ac:dyDescent="0.25">
      <c r="A2259" s="24">
        <v>43062</v>
      </c>
      <c r="B2259" s="9" t="s">
        <v>35</v>
      </c>
      <c r="C2259" s="9">
        <v>5000</v>
      </c>
      <c r="D2259" s="9" t="s">
        <v>11</v>
      </c>
      <c r="E2259" s="19">
        <v>157.5</v>
      </c>
      <c r="F2259" s="19">
        <v>157</v>
      </c>
      <c r="G2259" s="9">
        <v>0</v>
      </c>
      <c r="H2259" s="15">
        <v>0</v>
      </c>
      <c r="I2259" s="8">
        <f t="shared" si="2252"/>
        <v>2500</v>
      </c>
      <c r="J2259" s="8">
        <v>0</v>
      </c>
      <c r="K2259" s="2">
        <f t="shared" si="2255"/>
        <v>0</v>
      </c>
      <c r="L2259" s="8">
        <f t="shared" si="2251"/>
        <v>0.5</v>
      </c>
      <c r="M2259" s="8">
        <f t="shared" si="2254"/>
        <v>2500</v>
      </c>
    </row>
    <row r="2260" spans="1:13" ht="15" customHeight="1" x14ac:dyDescent="0.25">
      <c r="A2260" s="24">
        <v>43061</v>
      </c>
      <c r="B2260" s="9" t="s">
        <v>18</v>
      </c>
      <c r="C2260" s="9">
        <v>1000</v>
      </c>
      <c r="D2260" s="9" t="s">
        <v>10</v>
      </c>
      <c r="E2260" s="19">
        <v>449.4</v>
      </c>
      <c r="F2260" s="19">
        <v>447</v>
      </c>
      <c r="G2260" s="9">
        <v>0</v>
      </c>
      <c r="H2260" s="15">
        <v>0</v>
      </c>
      <c r="I2260" s="8">
        <f t="shared" si="2252"/>
        <v>-2399.9999999999773</v>
      </c>
      <c r="J2260" s="8">
        <v>0</v>
      </c>
      <c r="K2260" s="2">
        <f t="shared" si="2255"/>
        <v>0</v>
      </c>
      <c r="L2260" s="8">
        <f t="shared" si="2251"/>
        <v>-2.3999999999999773</v>
      </c>
      <c r="M2260" s="8">
        <f t="shared" si="2254"/>
        <v>-2399.9999999999773</v>
      </c>
    </row>
    <row r="2261" spans="1:13" ht="15" customHeight="1" x14ac:dyDescent="0.25">
      <c r="A2261" s="24">
        <v>43061</v>
      </c>
      <c r="B2261" s="9" t="s">
        <v>19</v>
      </c>
      <c r="C2261" s="9">
        <v>100</v>
      </c>
      <c r="D2261" s="9" t="s">
        <v>10</v>
      </c>
      <c r="E2261" s="19">
        <v>29420</v>
      </c>
      <c r="F2261" s="19">
        <v>29460</v>
      </c>
      <c r="G2261" s="9">
        <v>0</v>
      </c>
      <c r="H2261" s="15">
        <v>0</v>
      </c>
      <c r="I2261" s="8">
        <f t="shared" si="2252"/>
        <v>4000</v>
      </c>
      <c r="J2261" s="8">
        <v>0</v>
      </c>
      <c r="K2261" s="2">
        <f t="shared" si="2255"/>
        <v>0</v>
      </c>
      <c r="L2261" s="8">
        <f t="shared" si="2251"/>
        <v>40</v>
      </c>
      <c r="M2261" s="8">
        <f t="shared" si="2254"/>
        <v>4000</v>
      </c>
    </row>
    <row r="2262" spans="1:13" ht="15" customHeight="1" x14ac:dyDescent="0.25">
      <c r="A2262" s="24">
        <v>43061</v>
      </c>
      <c r="B2262" s="9" t="s">
        <v>40</v>
      </c>
      <c r="C2262" s="9">
        <v>30</v>
      </c>
      <c r="D2262" s="9" t="s">
        <v>10</v>
      </c>
      <c r="E2262" s="19">
        <v>39500</v>
      </c>
      <c r="F2262" s="19">
        <v>39600</v>
      </c>
      <c r="G2262" s="9">
        <v>0</v>
      </c>
      <c r="H2262" s="15">
        <v>0</v>
      </c>
      <c r="I2262" s="8">
        <f t="shared" si="2252"/>
        <v>3000</v>
      </c>
      <c r="J2262" s="8">
        <v>0</v>
      </c>
      <c r="K2262" s="2">
        <f t="shared" si="2255"/>
        <v>0</v>
      </c>
      <c r="L2262" s="8">
        <f t="shared" si="2251"/>
        <v>100</v>
      </c>
      <c r="M2262" s="8">
        <f t="shared" si="2254"/>
        <v>3000</v>
      </c>
    </row>
    <row r="2263" spans="1:13" ht="15" customHeight="1" x14ac:dyDescent="0.25">
      <c r="A2263" s="24">
        <v>43061</v>
      </c>
      <c r="B2263" s="9" t="s">
        <v>36</v>
      </c>
      <c r="C2263" s="9">
        <v>100</v>
      </c>
      <c r="D2263" s="9" t="s">
        <v>10</v>
      </c>
      <c r="E2263" s="19">
        <v>3747</v>
      </c>
      <c r="F2263" s="19">
        <v>3763</v>
      </c>
      <c r="G2263" s="9">
        <v>0</v>
      </c>
      <c r="H2263" s="15">
        <v>0</v>
      </c>
      <c r="I2263" s="8">
        <f t="shared" si="2252"/>
        <v>1600</v>
      </c>
      <c r="J2263" s="8">
        <v>0</v>
      </c>
      <c r="K2263" s="2">
        <f t="shared" si="2255"/>
        <v>0</v>
      </c>
      <c r="L2263" s="8">
        <f t="shared" si="2251"/>
        <v>16</v>
      </c>
      <c r="M2263" s="8">
        <f t="shared" si="2254"/>
        <v>1600</v>
      </c>
    </row>
    <row r="2264" spans="1:13" ht="15" customHeight="1" x14ac:dyDescent="0.25">
      <c r="A2264" s="24">
        <v>43060</v>
      </c>
      <c r="B2264" s="9" t="s">
        <v>39</v>
      </c>
      <c r="C2264" s="9">
        <v>5000</v>
      </c>
      <c r="D2264" s="9" t="s">
        <v>10</v>
      </c>
      <c r="E2264" s="19">
        <v>209</v>
      </c>
      <c r="F2264" s="19">
        <v>209.5</v>
      </c>
      <c r="G2264" s="9">
        <v>0</v>
      </c>
      <c r="H2264" s="15">
        <v>0</v>
      </c>
      <c r="I2264" s="8">
        <f t="shared" si="2252"/>
        <v>2500</v>
      </c>
      <c r="J2264" s="8">
        <v>0</v>
      </c>
      <c r="K2264" s="2">
        <f t="shared" si="2255"/>
        <v>0</v>
      </c>
      <c r="L2264" s="8">
        <f t="shared" si="2251"/>
        <v>0.5</v>
      </c>
      <c r="M2264" s="8">
        <f t="shared" si="2254"/>
        <v>2500</v>
      </c>
    </row>
    <row r="2265" spans="1:13" ht="15" customHeight="1" x14ac:dyDescent="0.25">
      <c r="A2265" s="24">
        <v>43060</v>
      </c>
      <c r="B2265" s="9" t="s">
        <v>29</v>
      </c>
      <c r="C2265" s="9">
        <v>1000</v>
      </c>
      <c r="D2265" s="9" t="s">
        <v>10</v>
      </c>
      <c r="E2265" s="19">
        <v>446.6</v>
      </c>
      <c r="F2265" s="19">
        <v>447.6</v>
      </c>
      <c r="G2265" s="9">
        <v>0</v>
      </c>
      <c r="H2265" s="15">
        <v>0</v>
      </c>
      <c r="I2265" s="8">
        <f t="shared" si="2252"/>
        <v>1000</v>
      </c>
      <c r="J2265" s="8">
        <v>0</v>
      </c>
      <c r="K2265" s="2">
        <f t="shared" si="2255"/>
        <v>0</v>
      </c>
      <c r="L2265" s="8">
        <f t="shared" si="2251"/>
        <v>1</v>
      </c>
      <c r="M2265" s="8">
        <f t="shared" si="2254"/>
        <v>1000</v>
      </c>
    </row>
    <row r="2266" spans="1:13" ht="15" customHeight="1" x14ac:dyDescent="0.25">
      <c r="A2266" s="24">
        <v>43060</v>
      </c>
      <c r="B2266" s="9" t="s">
        <v>37</v>
      </c>
      <c r="C2266" s="9">
        <v>5000</v>
      </c>
      <c r="D2266" s="9" t="s">
        <v>11</v>
      </c>
      <c r="E2266" s="19">
        <v>134.44999999999999</v>
      </c>
      <c r="F2266" s="19">
        <v>133.94999999999999</v>
      </c>
      <c r="G2266" s="9">
        <v>0</v>
      </c>
      <c r="H2266" s="15">
        <v>0</v>
      </c>
      <c r="I2266" s="8">
        <f t="shared" si="2252"/>
        <v>2500</v>
      </c>
      <c r="J2266" s="8">
        <v>0</v>
      </c>
      <c r="K2266" s="2">
        <f t="shared" si="2255"/>
        <v>0</v>
      </c>
      <c r="L2266" s="8">
        <f t="shared" si="2251"/>
        <v>0.5</v>
      </c>
      <c r="M2266" s="8">
        <f t="shared" si="2254"/>
        <v>2500</v>
      </c>
    </row>
    <row r="2267" spans="1:13" ht="15" customHeight="1" x14ac:dyDescent="0.25">
      <c r="A2267" s="24">
        <v>43060</v>
      </c>
      <c r="B2267" s="9" t="s">
        <v>20</v>
      </c>
      <c r="C2267" s="9">
        <v>1250</v>
      </c>
      <c r="D2267" s="9" t="s">
        <v>11</v>
      </c>
      <c r="E2267" s="19">
        <v>197.5</v>
      </c>
      <c r="F2267" s="19">
        <v>196.5</v>
      </c>
      <c r="G2267" s="9">
        <v>0</v>
      </c>
      <c r="H2267" s="15">
        <v>0</v>
      </c>
      <c r="I2267" s="8">
        <f t="shared" si="2252"/>
        <v>1250</v>
      </c>
      <c r="J2267" s="8">
        <v>0</v>
      </c>
      <c r="K2267" s="2">
        <f t="shared" si="2255"/>
        <v>0</v>
      </c>
      <c r="L2267" s="8">
        <f t="shared" si="2251"/>
        <v>1</v>
      </c>
      <c r="M2267" s="8">
        <f t="shared" si="2254"/>
        <v>1250</v>
      </c>
    </row>
    <row r="2268" spans="1:13" ht="15" customHeight="1" x14ac:dyDescent="0.25">
      <c r="A2268" s="24">
        <v>43059</v>
      </c>
      <c r="B2268" s="9" t="s">
        <v>31</v>
      </c>
      <c r="C2268" s="9">
        <v>250</v>
      </c>
      <c r="D2268" s="9" t="s">
        <v>10</v>
      </c>
      <c r="E2268" s="19">
        <v>757</v>
      </c>
      <c r="F2268" s="19">
        <v>746.5</v>
      </c>
      <c r="G2268" s="9">
        <v>0</v>
      </c>
      <c r="H2268" s="15">
        <v>0</v>
      </c>
      <c r="I2268" s="8">
        <f t="shared" si="2252"/>
        <v>-2625</v>
      </c>
      <c r="J2268" s="8">
        <v>0</v>
      </c>
      <c r="K2268" s="2">
        <f t="shared" si="2255"/>
        <v>0</v>
      </c>
      <c r="L2268" s="8">
        <f t="shared" si="2251"/>
        <v>-10.5</v>
      </c>
      <c r="M2268" s="8">
        <f t="shared" si="2254"/>
        <v>-2625</v>
      </c>
    </row>
    <row r="2269" spans="1:13" ht="15" customHeight="1" x14ac:dyDescent="0.25">
      <c r="A2269" s="24">
        <v>43059</v>
      </c>
      <c r="B2269" s="9" t="s">
        <v>17</v>
      </c>
      <c r="C2269" s="9">
        <v>5000</v>
      </c>
      <c r="D2269" s="9" t="s">
        <v>11</v>
      </c>
      <c r="E2269" s="19">
        <v>206.45</v>
      </c>
      <c r="F2269" s="19">
        <v>205.8</v>
      </c>
      <c r="G2269" s="9">
        <v>0</v>
      </c>
      <c r="H2269" s="15">
        <v>0</v>
      </c>
      <c r="I2269" s="8">
        <f t="shared" si="2252"/>
        <v>3249.9999999998863</v>
      </c>
      <c r="J2269" s="8">
        <v>0</v>
      </c>
      <c r="K2269" s="2">
        <f t="shared" si="2255"/>
        <v>0</v>
      </c>
      <c r="L2269" s="8">
        <f t="shared" si="2251"/>
        <v>0.64999999999997726</v>
      </c>
      <c r="M2269" s="8">
        <f t="shared" si="2254"/>
        <v>3249.9999999998863</v>
      </c>
    </row>
    <row r="2270" spans="1:13" ht="15" customHeight="1" x14ac:dyDescent="0.25">
      <c r="A2270" s="24">
        <v>43059</v>
      </c>
      <c r="B2270" s="9" t="s">
        <v>20</v>
      </c>
      <c r="C2270" s="9">
        <v>1250</v>
      </c>
      <c r="D2270" s="9" t="s">
        <v>11</v>
      </c>
      <c r="E2270" s="19">
        <v>200.2</v>
      </c>
      <c r="F2270" s="19">
        <v>199.1</v>
      </c>
      <c r="G2270" s="9">
        <v>198</v>
      </c>
      <c r="H2270" s="15">
        <v>196</v>
      </c>
      <c r="I2270" s="8">
        <f t="shared" si="2252"/>
        <v>1374.999999999993</v>
      </c>
      <c r="J2270" s="8">
        <f>(IF(D2270="SELL",IF(G2270="",0,F2270-G2270),IF(D2270="BUY",IF(G2270="",0,G2270-F2270))))*C2270</f>
        <v>1374.999999999993</v>
      </c>
      <c r="K2270" s="2">
        <f t="shared" si="2255"/>
        <v>2500</v>
      </c>
      <c r="L2270" s="8">
        <f t="shared" si="2251"/>
        <v>4.1999999999999886</v>
      </c>
      <c r="M2270" s="8">
        <f t="shared" si="2254"/>
        <v>5249.9999999999854</v>
      </c>
    </row>
    <row r="2271" spans="1:13" ht="15" customHeight="1" x14ac:dyDescent="0.25">
      <c r="A2271" s="24">
        <v>43056</v>
      </c>
      <c r="B2271" s="9" t="s">
        <v>39</v>
      </c>
      <c r="C2271" s="9">
        <v>5000</v>
      </c>
      <c r="D2271" s="9" t="s">
        <v>10</v>
      </c>
      <c r="E2271" s="19">
        <v>208</v>
      </c>
      <c r="F2271" s="19">
        <v>208.5</v>
      </c>
      <c r="G2271" s="9">
        <v>0</v>
      </c>
      <c r="H2271" s="15">
        <v>0</v>
      </c>
      <c r="I2271" s="8">
        <f t="shared" ref="I2271:I2302" si="2256">(IF(D2271="SELL",E2271-F2271,IF(D2271="BUY",F2271-E2271)))*C2271</f>
        <v>2500</v>
      </c>
      <c r="J2271" s="8">
        <v>0</v>
      </c>
      <c r="K2271" s="2">
        <f t="shared" si="2255"/>
        <v>0</v>
      </c>
      <c r="L2271" s="8">
        <f t="shared" si="2251"/>
        <v>0.5</v>
      </c>
      <c r="M2271" s="8">
        <f t="shared" si="2254"/>
        <v>2500</v>
      </c>
    </row>
    <row r="2272" spans="1:13" ht="15" customHeight="1" x14ac:dyDescent="0.25">
      <c r="A2272" s="24">
        <v>43056</v>
      </c>
      <c r="B2272" s="9" t="s">
        <v>43</v>
      </c>
      <c r="C2272" s="9">
        <v>100</v>
      </c>
      <c r="D2272" s="9" t="s">
        <v>10</v>
      </c>
      <c r="E2272" s="19">
        <v>3620</v>
      </c>
      <c r="F2272" s="19">
        <v>3638</v>
      </c>
      <c r="G2272" s="9">
        <v>0</v>
      </c>
      <c r="H2272" s="15">
        <v>0</v>
      </c>
      <c r="I2272" s="8">
        <f t="shared" si="2256"/>
        <v>1800</v>
      </c>
      <c r="J2272" s="8">
        <v>0</v>
      </c>
      <c r="K2272" s="2">
        <f t="shared" si="2255"/>
        <v>0</v>
      </c>
      <c r="L2272" s="8">
        <f t="shared" si="2251"/>
        <v>18</v>
      </c>
      <c r="M2272" s="8">
        <f t="shared" si="2254"/>
        <v>1800</v>
      </c>
    </row>
    <row r="2273" spans="1:13" ht="15" customHeight="1" x14ac:dyDescent="0.25">
      <c r="A2273" s="24">
        <v>43055</v>
      </c>
      <c r="B2273" s="9" t="s">
        <v>31</v>
      </c>
      <c r="C2273" s="9">
        <v>250</v>
      </c>
      <c r="D2273" s="9" t="s">
        <v>11</v>
      </c>
      <c r="E2273" s="19">
        <v>758</v>
      </c>
      <c r="F2273" s="19">
        <v>754</v>
      </c>
      <c r="G2273" s="9">
        <v>0</v>
      </c>
      <c r="H2273" s="15">
        <v>0</v>
      </c>
      <c r="I2273" s="8">
        <f t="shared" si="2256"/>
        <v>1000</v>
      </c>
      <c r="J2273" s="8">
        <v>0</v>
      </c>
      <c r="K2273" s="2">
        <f t="shared" si="2255"/>
        <v>0</v>
      </c>
      <c r="L2273" s="8">
        <f t="shared" si="2251"/>
        <v>4</v>
      </c>
      <c r="M2273" s="8">
        <f t="shared" si="2254"/>
        <v>1000</v>
      </c>
    </row>
    <row r="2274" spans="1:13" ht="15" customHeight="1" x14ac:dyDescent="0.25">
      <c r="A2274" s="24">
        <v>43054</v>
      </c>
      <c r="B2274" s="9" t="s">
        <v>17</v>
      </c>
      <c r="C2274" s="9">
        <v>5000</v>
      </c>
      <c r="D2274" s="9" t="s">
        <v>11</v>
      </c>
      <c r="E2274" s="19">
        <v>205</v>
      </c>
      <c r="F2274" s="19">
        <v>206.5</v>
      </c>
      <c r="G2274" s="9">
        <v>0</v>
      </c>
      <c r="H2274" s="15">
        <v>0</v>
      </c>
      <c r="I2274" s="8">
        <f t="shared" si="2256"/>
        <v>-7500</v>
      </c>
      <c r="J2274" s="8">
        <v>0</v>
      </c>
      <c r="K2274" s="2">
        <f t="shared" si="2255"/>
        <v>0</v>
      </c>
      <c r="L2274" s="8">
        <f t="shared" si="2251"/>
        <v>-1.5</v>
      </c>
      <c r="M2274" s="8">
        <f t="shared" si="2254"/>
        <v>-7500</v>
      </c>
    </row>
    <row r="2275" spans="1:13" ht="15" customHeight="1" x14ac:dyDescent="0.25">
      <c r="A2275" s="24">
        <v>43054</v>
      </c>
      <c r="B2275" s="9" t="s">
        <v>35</v>
      </c>
      <c r="C2275" s="9">
        <v>5000</v>
      </c>
      <c r="D2275" s="9" t="s">
        <v>11</v>
      </c>
      <c r="E2275" s="19">
        <v>160.30000000000001</v>
      </c>
      <c r="F2275" s="19">
        <v>159.69999999999999</v>
      </c>
      <c r="G2275" s="9">
        <v>159</v>
      </c>
      <c r="H2275" s="15">
        <v>158</v>
      </c>
      <c r="I2275" s="8">
        <f t="shared" si="2256"/>
        <v>3000.0000000001137</v>
      </c>
      <c r="J2275" s="8">
        <f>(IF(D2275="SELL",IF(G2275="",0,F2275-G2275),IF(D2275="BUY",IF(G2275="",0,G2275-F2275))))*C2275</f>
        <v>3499.9999999999432</v>
      </c>
      <c r="K2275" s="2">
        <f t="shared" si="2255"/>
        <v>5000</v>
      </c>
      <c r="L2275" s="8">
        <f t="shared" si="2251"/>
        <v>2.3000000000000114</v>
      </c>
      <c r="M2275" s="8">
        <f t="shared" si="2254"/>
        <v>11500.000000000056</v>
      </c>
    </row>
    <row r="2276" spans="1:13" ht="15" customHeight="1" x14ac:dyDescent="0.25">
      <c r="A2276" s="24">
        <v>43054</v>
      </c>
      <c r="B2276" s="9" t="s">
        <v>31</v>
      </c>
      <c r="C2276" s="9">
        <v>250</v>
      </c>
      <c r="D2276" s="9" t="s">
        <v>11</v>
      </c>
      <c r="E2276" s="19">
        <v>755</v>
      </c>
      <c r="F2276" s="19">
        <v>751</v>
      </c>
      <c r="G2276" s="9">
        <v>0</v>
      </c>
      <c r="H2276" s="15">
        <v>0</v>
      </c>
      <c r="I2276" s="8">
        <f t="shared" si="2256"/>
        <v>1000</v>
      </c>
      <c r="J2276" s="8">
        <v>0</v>
      </c>
      <c r="K2276" s="2">
        <v>0</v>
      </c>
      <c r="L2276" s="8">
        <f t="shared" si="2251"/>
        <v>4</v>
      </c>
      <c r="M2276" s="8">
        <f t="shared" si="2254"/>
        <v>1000</v>
      </c>
    </row>
    <row r="2277" spans="1:13" ht="15" customHeight="1" x14ac:dyDescent="0.25">
      <c r="A2277" s="24">
        <v>43053</v>
      </c>
      <c r="B2277" s="9" t="s">
        <v>39</v>
      </c>
      <c r="C2277" s="9">
        <v>5000</v>
      </c>
      <c r="D2277" s="9" t="s">
        <v>11</v>
      </c>
      <c r="E2277" s="19">
        <v>212.2</v>
      </c>
      <c r="F2277" s="19">
        <v>211.6</v>
      </c>
      <c r="G2277" s="9">
        <v>210.9</v>
      </c>
      <c r="H2277" s="15">
        <v>209.5</v>
      </c>
      <c r="I2277" s="8">
        <f t="shared" si="2256"/>
        <v>2999.9999999999718</v>
      </c>
      <c r="J2277" s="8">
        <f>(IF(D2277="SELL",IF(G2277="",0,F2277-G2277),IF(D2277="BUY",IF(G2277="",0,G2277-F2277))))*C2277</f>
        <v>3499.9999999999432</v>
      </c>
      <c r="K2277" s="2">
        <f>(IF(D2277="SELL",IF(H2277="",0,G2277-H2277),IF(D2277="BUY",IF(H2277="",0,(H2277-G2277)))))*C2277</f>
        <v>7000.0000000000282</v>
      </c>
      <c r="L2277" s="8">
        <f t="shared" si="2251"/>
        <v>2.6999999999999882</v>
      </c>
      <c r="M2277" s="8">
        <f t="shared" si="2254"/>
        <v>13499.999999999942</v>
      </c>
    </row>
    <row r="2278" spans="1:13" ht="15" customHeight="1" x14ac:dyDescent="0.25">
      <c r="A2278" s="24">
        <v>43053</v>
      </c>
      <c r="B2278" s="9" t="s">
        <v>30</v>
      </c>
      <c r="C2278" s="9">
        <v>100</v>
      </c>
      <c r="D2278" s="9" t="s">
        <v>11</v>
      </c>
      <c r="E2278" s="19">
        <v>25535</v>
      </c>
      <c r="F2278" s="19">
        <v>25490</v>
      </c>
      <c r="G2278" s="9">
        <v>0</v>
      </c>
      <c r="H2278" s="15">
        <v>0</v>
      </c>
      <c r="I2278" s="8">
        <f t="shared" si="2256"/>
        <v>4500</v>
      </c>
      <c r="J2278" s="8">
        <v>0</v>
      </c>
      <c r="K2278" s="2">
        <v>0</v>
      </c>
      <c r="L2278" s="8">
        <f t="shared" si="2251"/>
        <v>45</v>
      </c>
      <c r="M2278" s="8">
        <f t="shared" si="2254"/>
        <v>4500</v>
      </c>
    </row>
    <row r="2279" spans="1:13" ht="15" customHeight="1" x14ac:dyDescent="0.25">
      <c r="A2279" s="24">
        <v>43053</v>
      </c>
      <c r="B2279" s="9" t="s">
        <v>21</v>
      </c>
      <c r="C2279" s="9">
        <v>250</v>
      </c>
      <c r="D2279" s="9" t="s">
        <v>11</v>
      </c>
      <c r="E2279" s="19">
        <v>804</v>
      </c>
      <c r="F2279" s="19">
        <v>800</v>
      </c>
      <c r="G2279" s="9">
        <v>796</v>
      </c>
      <c r="H2279" s="15">
        <v>789</v>
      </c>
      <c r="I2279" s="8">
        <f t="shared" si="2256"/>
        <v>1000</v>
      </c>
      <c r="J2279" s="8">
        <f t="shared" ref="J2279:J2284" si="2257">(IF(D2279="SELL",IF(G2279="",0,F2279-G2279),IF(D2279="BUY",IF(G2279="",0,G2279-F2279))))*C2279</f>
        <v>1000</v>
      </c>
      <c r="K2279" s="2">
        <f>(IF(D2279="SELL",IF(H2279="",0,G2279-H2279),IF(D2279="BUY",IF(H2279="",0,(H2279-G2279)))))*C2279</f>
        <v>1750</v>
      </c>
      <c r="L2279" s="8">
        <f t="shared" si="2251"/>
        <v>15</v>
      </c>
      <c r="M2279" s="8">
        <f t="shared" si="2254"/>
        <v>3750</v>
      </c>
    </row>
    <row r="2280" spans="1:13" ht="15" customHeight="1" x14ac:dyDescent="0.25">
      <c r="A2280" s="24">
        <v>43052</v>
      </c>
      <c r="B2280" s="9" t="s">
        <v>39</v>
      </c>
      <c r="C2280" s="9">
        <v>5000</v>
      </c>
      <c r="D2280" s="9" t="s">
        <v>10</v>
      </c>
      <c r="E2280" s="19">
        <v>212.8</v>
      </c>
      <c r="F2280" s="19">
        <v>213.4</v>
      </c>
      <c r="G2280" s="9">
        <v>214.3</v>
      </c>
      <c r="H2280" s="15">
        <v>0</v>
      </c>
      <c r="I2280" s="8">
        <f t="shared" si="2256"/>
        <v>2999.9999999999718</v>
      </c>
      <c r="J2280" s="8">
        <f t="shared" si="2257"/>
        <v>4500.0000000000282</v>
      </c>
      <c r="K2280" s="2">
        <v>0</v>
      </c>
      <c r="L2280" s="8">
        <f t="shared" si="2251"/>
        <v>1.5</v>
      </c>
      <c r="M2280" s="8">
        <f t="shared" si="2254"/>
        <v>7500</v>
      </c>
    </row>
    <row r="2281" spans="1:13" ht="15" customHeight="1" x14ac:dyDescent="0.25">
      <c r="A2281" s="24">
        <v>43052</v>
      </c>
      <c r="B2281" s="9" t="s">
        <v>29</v>
      </c>
      <c r="C2281" s="9">
        <v>1000</v>
      </c>
      <c r="D2281" s="9" t="s">
        <v>10</v>
      </c>
      <c r="E2281" s="19">
        <v>445.4</v>
      </c>
      <c r="F2281" s="19">
        <v>446.5</v>
      </c>
      <c r="G2281" s="9">
        <v>447.9</v>
      </c>
      <c r="H2281" s="15">
        <v>450</v>
      </c>
      <c r="I2281" s="8">
        <f t="shared" si="2256"/>
        <v>1100.0000000000227</v>
      </c>
      <c r="J2281" s="8">
        <f t="shared" si="2257"/>
        <v>1399.9999999999773</v>
      </c>
      <c r="K2281" s="2">
        <f>(IF(D2281="SELL",IF(H2281="",0,G2281-H2281),IF(D2281="BUY",IF(H2281="",0,(H2281-G2281)))))*C2281</f>
        <v>2100.0000000000227</v>
      </c>
      <c r="L2281" s="8">
        <f t="shared" si="2251"/>
        <v>4.6000000000000227</v>
      </c>
      <c r="M2281" s="8">
        <f t="shared" si="2254"/>
        <v>4600.0000000000227</v>
      </c>
    </row>
    <row r="2282" spans="1:13" ht="15" customHeight="1" x14ac:dyDescent="0.25">
      <c r="A2282" s="24">
        <v>43052</v>
      </c>
      <c r="B2282" s="9" t="s">
        <v>31</v>
      </c>
      <c r="C2282" s="9">
        <v>250</v>
      </c>
      <c r="D2282" s="9" t="s">
        <v>10</v>
      </c>
      <c r="E2282" s="19">
        <v>804.3</v>
      </c>
      <c r="F2282" s="19">
        <v>808</v>
      </c>
      <c r="G2282" s="9">
        <v>813</v>
      </c>
      <c r="H2282" s="15">
        <v>0</v>
      </c>
      <c r="I2282" s="8">
        <f t="shared" si="2256"/>
        <v>925.00000000001137</v>
      </c>
      <c r="J2282" s="8">
        <f t="shared" si="2257"/>
        <v>1250</v>
      </c>
      <c r="K2282" s="2">
        <v>0</v>
      </c>
      <c r="L2282" s="8">
        <f t="shared" si="2251"/>
        <v>8.7000000000000455</v>
      </c>
      <c r="M2282" s="8">
        <f t="shared" si="2254"/>
        <v>2175.0000000000114</v>
      </c>
    </row>
    <row r="2283" spans="1:13" ht="15" customHeight="1" x14ac:dyDescent="0.25">
      <c r="A2283" s="24">
        <v>43049</v>
      </c>
      <c r="B2283" s="9" t="s">
        <v>39</v>
      </c>
      <c r="C2283" s="9">
        <v>5000</v>
      </c>
      <c r="D2283" s="9" t="s">
        <v>10</v>
      </c>
      <c r="E2283" s="19">
        <v>211</v>
      </c>
      <c r="F2283" s="19">
        <v>211.5</v>
      </c>
      <c r="G2283" s="9">
        <v>212.2</v>
      </c>
      <c r="H2283" s="15">
        <v>213.1</v>
      </c>
      <c r="I2283" s="8">
        <f t="shared" si="2256"/>
        <v>2500</v>
      </c>
      <c r="J2283" s="8">
        <f t="shared" si="2257"/>
        <v>3499.9999999999432</v>
      </c>
      <c r="K2283" s="2">
        <f>(IF(D2283="SELL",IF(H2283="",0,G2283-H2283),IF(D2283="BUY",IF(H2283="",0,(H2283-G2283)))))*C2283</f>
        <v>4500.0000000000282</v>
      </c>
      <c r="L2283" s="8">
        <f t="shared" si="2251"/>
        <v>2.0999999999999943</v>
      </c>
      <c r="M2283" s="8">
        <f t="shared" si="2254"/>
        <v>10499.999999999971</v>
      </c>
    </row>
    <row r="2284" spans="1:13" ht="15" customHeight="1" x14ac:dyDescent="0.25">
      <c r="A2284" s="24">
        <v>43049</v>
      </c>
      <c r="B2284" s="9" t="s">
        <v>35</v>
      </c>
      <c r="C2284" s="9">
        <v>5000</v>
      </c>
      <c r="D2284" s="9" t="s">
        <v>10</v>
      </c>
      <c r="E2284" s="19">
        <v>165.2</v>
      </c>
      <c r="F2284" s="19">
        <v>165.8</v>
      </c>
      <c r="G2284" s="9">
        <v>166.5</v>
      </c>
      <c r="H2284" s="15">
        <v>0</v>
      </c>
      <c r="I2284" s="8">
        <f t="shared" si="2256"/>
        <v>3000.0000000001137</v>
      </c>
      <c r="J2284" s="8">
        <f t="shared" si="2257"/>
        <v>3499.9999999999432</v>
      </c>
      <c r="K2284" s="2">
        <v>0</v>
      </c>
      <c r="L2284" s="8">
        <f t="shared" si="2251"/>
        <v>1.3000000000000114</v>
      </c>
      <c r="M2284" s="8">
        <f t="shared" si="2254"/>
        <v>6500.0000000000564</v>
      </c>
    </row>
    <row r="2285" spans="1:13" ht="15" customHeight="1" x14ac:dyDescent="0.25">
      <c r="A2285" s="24">
        <v>43049</v>
      </c>
      <c r="B2285" s="9" t="s">
        <v>29</v>
      </c>
      <c r="C2285" s="9">
        <v>1000</v>
      </c>
      <c r="D2285" s="9" t="s">
        <v>10</v>
      </c>
      <c r="E2285" s="19">
        <v>445.5</v>
      </c>
      <c r="F2285" s="19">
        <v>446.7</v>
      </c>
      <c r="G2285" s="9">
        <v>0</v>
      </c>
      <c r="H2285" s="15">
        <v>0</v>
      </c>
      <c r="I2285" s="8">
        <f t="shared" si="2256"/>
        <v>1199.9999999999886</v>
      </c>
      <c r="J2285" s="8">
        <v>0</v>
      </c>
      <c r="K2285" s="2">
        <f>(IF(D2285="SELL",IF(H2285="",0,G2285-H2285),IF(D2285="BUY",IF(H2285="",0,(H2285-G2285)))))*C2285</f>
        <v>0</v>
      </c>
      <c r="L2285" s="8">
        <f t="shared" si="2251"/>
        <v>1.1999999999999886</v>
      </c>
      <c r="M2285" s="8">
        <f t="shared" si="2254"/>
        <v>1199.9999999999886</v>
      </c>
    </row>
    <row r="2286" spans="1:13" ht="15" customHeight="1" x14ac:dyDescent="0.25">
      <c r="A2286" s="24">
        <v>43049</v>
      </c>
      <c r="B2286" s="9" t="s">
        <v>31</v>
      </c>
      <c r="C2286" s="9">
        <v>250</v>
      </c>
      <c r="D2286" s="9" t="s">
        <v>10</v>
      </c>
      <c r="E2286" s="19">
        <v>804.5</v>
      </c>
      <c r="F2286" s="19">
        <v>808.5</v>
      </c>
      <c r="G2286" s="9">
        <v>0</v>
      </c>
      <c r="H2286" s="15">
        <v>0</v>
      </c>
      <c r="I2286" s="8">
        <f t="shared" si="2256"/>
        <v>1000</v>
      </c>
      <c r="J2286" s="8">
        <v>0</v>
      </c>
      <c r="K2286" s="2">
        <f>(IF(D2286="SELL",IF(H2286="",0,G2286-H2286),IF(D2286="BUY",IF(H2286="",0,(H2286-G2286)))))*C2286</f>
        <v>0</v>
      </c>
      <c r="L2286" s="8">
        <f t="shared" si="2251"/>
        <v>4</v>
      </c>
      <c r="M2286" s="8">
        <f t="shared" si="2254"/>
        <v>1000</v>
      </c>
    </row>
    <row r="2287" spans="1:13" ht="15" customHeight="1" x14ac:dyDescent="0.25">
      <c r="A2287" s="24">
        <v>43049</v>
      </c>
      <c r="B2287" s="9" t="s">
        <v>30</v>
      </c>
      <c r="C2287" s="9">
        <v>100</v>
      </c>
      <c r="D2287" s="9" t="s">
        <v>11</v>
      </c>
      <c r="E2287" s="19">
        <v>25590</v>
      </c>
      <c r="F2287" s="19">
        <v>25550</v>
      </c>
      <c r="G2287" s="9">
        <v>0</v>
      </c>
      <c r="H2287" s="15">
        <v>0</v>
      </c>
      <c r="I2287" s="8">
        <f t="shared" si="2256"/>
        <v>4000</v>
      </c>
      <c r="J2287" s="8">
        <v>0</v>
      </c>
      <c r="K2287" s="2">
        <f>(IF(D2287="SELL",IF(H2287="",0,G2287-H2287),IF(D2287="BUY",IF(H2287="",0,(H2287-G2287)))))*C2287</f>
        <v>0</v>
      </c>
      <c r="L2287" s="8">
        <f t="shared" si="2251"/>
        <v>40</v>
      </c>
      <c r="M2287" s="8">
        <f t="shared" si="2254"/>
        <v>4000</v>
      </c>
    </row>
    <row r="2288" spans="1:13" ht="15" customHeight="1" x14ac:dyDescent="0.25">
      <c r="A2288" s="24">
        <v>43048</v>
      </c>
      <c r="B2288" s="9" t="s">
        <v>35</v>
      </c>
      <c r="C2288" s="9">
        <v>5000</v>
      </c>
      <c r="D2288" s="9" t="s">
        <v>11</v>
      </c>
      <c r="E2288" s="19">
        <v>162.30000000000001</v>
      </c>
      <c r="F2288" s="19">
        <v>163.30000000000001</v>
      </c>
      <c r="G2288" s="9">
        <v>0</v>
      </c>
      <c r="H2288" s="15">
        <v>0</v>
      </c>
      <c r="I2288" s="8">
        <f t="shared" si="2256"/>
        <v>-5000</v>
      </c>
      <c r="J2288" s="8">
        <v>0</v>
      </c>
      <c r="K2288" s="2">
        <f>(IF(D2288="SELL",IF(H2288="",0,G2288-H2288),IF(D2288="BUY",IF(H2288="",0,(H2288-G2288)))))*C2288</f>
        <v>0</v>
      </c>
      <c r="L2288" s="8">
        <f t="shared" si="2251"/>
        <v>-1</v>
      </c>
      <c r="M2288" s="8">
        <f t="shared" si="2254"/>
        <v>-5000</v>
      </c>
    </row>
    <row r="2289" spans="1:13" ht="15" customHeight="1" x14ac:dyDescent="0.25">
      <c r="A2289" s="24">
        <v>43048</v>
      </c>
      <c r="B2289" s="9" t="s">
        <v>30</v>
      </c>
      <c r="C2289" s="9">
        <v>100</v>
      </c>
      <c r="D2289" s="9" t="s">
        <v>10</v>
      </c>
      <c r="E2289" s="19">
        <v>29606</v>
      </c>
      <c r="F2289" s="19">
        <v>29645</v>
      </c>
      <c r="G2289" s="9">
        <v>0</v>
      </c>
      <c r="H2289" s="15">
        <v>0</v>
      </c>
      <c r="I2289" s="8">
        <f t="shared" si="2256"/>
        <v>3900</v>
      </c>
      <c r="J2289" s="8">
        <v>0</v>
      </c>
      <c r="K2289" s="2">
        <f>(IF(D2289="SELL",IF(H2289="",0,G2289-H2289),IF(D2289="BUY",IF(H2289="",0,(H2289-G2289)))))*C2289</f>
        <v>0</v>
      </c>
      <c r="L2289" s="8">
        <f t="shared" si="2251"/>
        <v>39</v>
      </c>
      <c r="M2289" s="8">
        <f t="shared" si="2254"/>
        <v>3900</v>
      </c>
    </row>
    <row r="2290" spans="1:13" ht="15" customHeight="1" x14ac:dyDescent="0.25">
      <c r="A2290" s="24">
        <v>43048</v>
      </c>
      <c r="B2290" s="9" t="s">
        <v>17</v>
      </c>
      <c r="C2290" s="9">
        <v>5000</v>
      </c>
      <c r="D2290" s="9" t="s">
        <v>11</v>
      </c>
      <c r="E2290" s="19">
        <v>208.1</v>
      </c>
      <c r="F2290" s="19">
        <v>207.5</v>
      </c>
      <c r="G2290" s="9">
        <v>206.8</v>
      </c>
      <c r="H2290" s="15">
        <v>0</v>
      </c>
      <c r="I2290" s="8">
        <f t="shared" si="2256"/>
        <v>2999.9999999999718</v>
      </c>
      <c r="J2290" s="8">
        <f>(IF(D2290="SELL",IF(G2290="",0,F2290-G2290),IF(D2290="BUY",IF(G2290="",0,G2290-F2290))))*C2290</f>
        <v>3499.9999999999432</v>
      </c>
      <c r="K2290" s="2">
        <v>0</v>
      </c>
      <c r="L2290" s="8">
        <f t="shared" ref="L2290:L2353" si="2258">(J2290+I2290+K2290)/C2290</f>
        <v>1.2999999999999829</v>
      </c>
      <c r="M2290" s="8">
        <f t="shared" si="2254"/>
        <v>6499.9999999999145</v>
      </c>
    </row>
    <row r="2291" spans="1:13" ht="15" customHeight="1" x14ac:dyDescent="0.25">
      <c r="A2291" s="24">
        <v>43048</v>
      </c>
      <c r="B2291" s="9" t="s">
        <v>31</v>
      </c>
      <c r="C2291" s="9">
        <v>250</v>
      </c>
      <c r="D2291" s="9" t="s">
        <v>11</v>
      </c>
      <c r="E2291" s="19">
        <v>805</v>
      </c>
      <c r="F2291" s="19">
        <v>801</v>
      </c>
      <c r="G2291" s="9">
        <v>795</v>
      </c>
      <c r="H2291" s="15">
        <v>0</v>
      </c>
      <c r="I2291" s="8">
        <f t="shared" si="2256"/>
        <v>1000</v>
      </c>
      <c r="J2291" s="8">
        <f>(IF(D2291="SELL",IF(G2291="",0,F2291-G2291),IF(D2291="BUY",IF(G2291="",0,G2291-F2291))))*C2291</f>
        <v>1500</v>
      </c>
      <c r="K2291" s="2">
        <v>0</v>
      </c>
      <c r="L2291" s="8">
        <f t="shared" si="2258"/>
        <v>10</v>
      </c>
      <c r="M2291" s="8">
        <f t="shared" si="2254"/>
        <v>2500</v>
      </c>
    </row>
    <row r="2292" spans="1:13" ht="15" customHeight="1" x14ac:dyDescent="0.25">
      <c r="A2292" s="24">
        <v>43048</v>
      </c>
      <c r="B2292" s="9" t="s">
        <v>29</v>
      </c>
      <c r="C2292" s="9">
        <v>1000</v>
      </c>
      <c r="D2292" s="9" t="s">
        <v>11</v>
      </c>
      <c r="E2292" s="19">
        <v>443.5</v>
      </c>
      <c r="F2292" s="19">
        <v>442.5</v>
      </c>
      <c r="G2292" s="9">
        <v>441</v>
      </c>
      <c r="H2292" s="15">
        <v>0</v>
      </c>
      <c r="I2292" s="8">
        <f t="shared" si="2256"/>
        <v>1000</v>
      </c>
      <c r="J2292" s="8">
        <f>(IF(D2292="SELL",IF(G2292="",0,F2292-G2292),IF(D2292="BUY",IF(G2292="",0,G2292-F2292))))*C2292</f>
        <v>1500</v>
      </c>
      <c r="K2292" s="2">
        <v>0</v>
      </c>
      <c r="L2292" s="8">
        <f t="shared" si="2258"/>
        <v>2.5</v>
      </c>
      <c r="M2292" s="8">
        <f t="shared" si="2254"/>
        <v>2500</v>
      </c>
    </row>
    <row r="2293" spans="1:13" ht="15" customHeight="1" x14ac:dyDescent="0.25">
      <c r="A2293" s="24">
        <v>43047</v>
      </c>
      <c r="B2293" s="9" t="s">
        <v>30</v>
      </c>
      <c r="C2293" s="9">
        <v>100</v>
      </c>
      <c r="D2293" s="9" t="s">
        <v>10</v>
      </c>
      <c r="E2293" s="19">
        <v>29500</v>
      </c>
      <c r="F2293" s="19">
        <v>29540</v>
      </c>
      <c r="G2293" s="9">
        <v>0</v>
      </c>
      <c r="H2293" s="15">
        <v>0</v>
      </c>
      <c r="I2293" s="8">
        <f t="shared" si="2256"/>
        <v>4000</v>
      </c>
      <c r="J2293" s="8">
        <v>0</v>
      </c>
      <c r="K2293" s="2">
        <f>(IF(D2293="SELL",IF(H2293="",0,G2293-H2293),IF(D2293="BUY",IF(H2293="",0,(H2293-G2293)))))*C2293</f>
        <v>0</v>
      </c>
      <c r="L2293" s="8">
        <f t="shared" si="2258"/>
        <v>40</v>
      </c>
      <c r="M2293" s="8">
        <f t="shared" si="2254"/>
        <v>4000</v>
      </c>
    </row>
    <row r="2294" spans="1:13" ht="15" customHeight="1" x14ac:dyDescent="0.25">
      <c r="A2294" s="24">
        <v>43047</v>
      </c>
      <c r="B2294" s="9" t="s">
        <v>35</v>
      </c>
      <c r="C2294" s="9">
        <v>5000</v>
      </c>
      <c r="D2294" s="9" t="s">
        <v>10</v>
      </c>
      <c r="E2294" s="19">
        <v>163.19999999999999</v>
      </c>
      <c r="F2294" s="19">
        <v>163.69999999999999</v>
      </c>
      <c r="G2294" s="9">
        <v>0</v>
      </c>
      <c r="H2294" s="15">
        <v>0</v>
      </c>
      <c r="I2294" s="8">
        <f t="shared" si="2256"/>
        <v>2500</v>
      </c>
      <c r="J2294" s="8">
        <v>0</v>
      </c>
      <c r="K2294" s="2">
        <f>(IF(D2294="SELL",IF(H2294="",0,G2294-H2294),IF(D2294="BUY",IF(H2294="",0,(H2294-G2294)))))*C2294</f>
        <v>0</v>
      </c>
      <c r="L2294" s="8">
        <f t="shared" si="2258"/>
        <v>0.5</v>
      </c>
      <c r="M2294" s="8">
        <f t="shared" si="2254"/>
        <v>2500</v>
      </c>
    </row>
    <row r="2295" spans="1:13" ht="15" customHeight="1" x14ac:dyDescent="0.25">
      <c r="A2295" s="24">
        <v>43047</v>
      </c>
      <c r="B2295" s="9" t="s">
        <v>29</v>
      </c>
      <c r="C2295" s="9">
        <v>1000</v>
      </c>
      <c r="D2295" s="9" t="s">
        <v>11</v>
      </c>
      <c r="E2295" s="19">
        <v>445.15</v>
      </c>
      <c r="F2295" s="19">
        <v>444.15</v>
      </c>
      <c r="G2295" s="9">
        <v>442.65</v>
      </c>
      <c r="H2295" s="15">
        <v>0</v>
      </c>
      <c r="I2295" s="8">
        <f t="shared" si="2256"/>
        <v>1000</v>
      </c>
      <c r="J2295" s="8">
        <f>(IF(D2295="SELL",IF(G2295="",0,F2295-G2295),IF(D2295="BUY",IF(G2295="",0,G2295-F2295))))*C2295</f>
        <v>1500</v>
      </c>
      <c r="K2295" s="2">
        <v>0</v>
      </c>
      <c r="L2295" s="8">
        <f t="shared" si="2258"/>
        <v>2.5</v>
      </c>
      <c r="M2295" s="8">
        <f t="shared" si="2254"/>
        <v>2500</v>
      </c>
    </row>
    <row r="2296" spans="1:13" ht="15" customHeight="1" x14ac:dyDescent="0.25">
      <c r="A2296" s="24">
        <v>43047</v>
      </c>
      <c r="B2296" s="9" t="s">
        <v>17</v>
      </c>
      <c r="C2296" s="9">
        <v>5000</v>
      </c>
      <c r="D2296" s="9" t="s">
        <v>10</v>
      </c>
      <c r="E2296" s="19">
        <v>208.4</v>
      </c>
      <c r="F2296" s="19">
        <v>209</v>
      </c>
      <c r="G2296" s="9">
        <v>209.7</v>
      </c>
      <c r="H2296" s="15">
        <v>0</v>
      </c>
      <c r="I2296" s="8">
        <f t="shared" si="2256"/>
        <v>2999.9999999999718</v>
      </c>
      <c r="J2296" s="8">
        <f>(IF(D2296="SELL",IF(G2296="",0,F2296-G2296),IF(D2296="BUY",IF(G2296="",0,G2296-F2296))))*C2296</f>
        <v>3499.9999999999432</v>
      </c>
      <c r="K2296" s="2">
        <v>0</v>
      </c>
      <c r="L2296" s="8">
        <f t="shared" si="2258"/>
        <v>1.2999999999999829</v>
      </c>
      <c r="M2296" s="8">
        <f t="shared" si="2254"/>
        <v>6499.9999999999145</v>
      </c>
    </row>
    <row r="2297" spans="1:13" ht="15" customHeight="1" x14ac:dyDescent="0.25">
      <c r="A2297" s="24">
        <v>43046</v>
      </c>
      <c r="B2297" s="9" t="s">
        <v>17</v>
      </c>
      <c r="C2297" s="9">
        <v>5000</v>
      </c>
      <c r="D2297" s="9" t="s">
        <v>11</v>
      </c>
      <c r="E2297" s="19">
        <v>209.7</v>
      </c>
      <c r="F2297" s="19">
        <v>211.05</v>
      </c>
      <c r="G2297" s="9">
        <v>0</v>
      </c>
      <c r="H2297" s="15">
        <v>0</v>
      </c>
      <c r="I2297" s="8">
        <f t="shared" si="2256"/>
        <v>-6750.0000000001137</v>
      </c>
      <c r="J2297" s="8">
        <v>0</v>
      </c>
      <c r="K2297" s="2">
        <f>(IF(D2297="SELL",IF(H2297="",0,G2297-H2297),IF(D2297="BUY",IF(H2297="",0,(H2297-G2297)))))*C2297</f>
        <v>0</v>
      </c>
      <c r="L2297" s="8">
        <f t="shared" si="2258"/>
        <v>-1.3500000000000227</v>
      </c>
      <c r="M2297" s="8">
        <f t="shared" si="2254"/>
        <v>-6750.0000000001137</v>
      </c>
    </row>
    <row r="2298" spans="1:13" ht="15" customHeight="1" x14ac:dyDescent="0.25">
      <c r="A2298" s="24">
        <v>43046</v>
      </c>
      <c r="B2298" s="9" t="s">
        <v>35</v>
      </c>
      <c r="C2298" s="9">
        <v>5000</v>
      </c>
      <c r="D2298" s="9" t="s">
        <v>11</v>
      </c>
      <c r="E2298" s="19">
        <v>161.30000000000001</v>
      </c>
      <c r="F2298" s="19">
        <v>160.80000000000001</v>
      </c>
      <c r="G2298" s="9">
        <v>0</v>
      </c>
      <c r="H2298" s="15">
        <v>0</v>
      </c>
      <c r="I2298" s="8">
        <f t="shared" si="2256"/>
        <v>2500</v>
      </c>
      <c r="J2298" s="8">
        <v>0</v>
      </c>
      <c r="K2298" s="2">
        <f>(IF(D2298="SELL",IF(H2298="",0,G2298-H2298),IF(D2298="BUY",IF(H2298="",0,(H2298-G2298)))))*C2298</f>
        <v>0</v>
      </c>
      <c r="L2298" s="8">
        <f t="shared" si="2258"/>
        <v>0.5</v>
      </c>
      <c r="M2298" s="8">
        <f t="shared" si="2254"/>
        <v>2500</v>
      </c>
    </row>
    <row r="2299" spans="1:13" ht="15" customHeight="1" x14ac:dyDescent="0.25">
      <c r="A2299" s="24">
        <v>43046</v>
      </c>
      <c r="B2299" s="9" t="s">
        <v>30</v>
      </c>
      <c r="C2299" s="9">
        <v>100</v>
      </c>
      <c r="D2299" s="9" t="s">
        <v>10</v>
      </c>
      <c r="E2299" s="19">
        <v>29385</v>
      </c>
      <c r="F2299" s="19">
        <v>29425</v>
      </c>
      <c r="G2299" s="9">
        <v>29465</v>
      </c>
      <c r="H2299" s="15">
        <v>0</v>
      </c>
      <c r="I2299" s="8">
        <f t="shared" si="2256"/>
        <v>4000</v>
      </c>
      <c r="J2299" s="8">
        <f>(IF(D2299="SELL",IF(G2299="",0,F2299-G2299),IF(D2299="BUY",IF(G2299="",0,G2299-F2299))))*C2299</f>
        <v>4000</v>
      </c>
      <c r="K2299" s="2">
        <v>0</v>
      </c>
      <c r="L2299" s="8">
        <f t="shared" si="2258"/>
        <v>80</v>
      </c>
      <c r="M2299" s="8">
        <f t="shared" si="2254"/>
        <v>8000</v>
      </c>
    </row>
    <row r="2300" spans="1:13" ht="15" customHeight="1" x14ac:dyDescent="0.25">
      <c r="A2300" s="24">
        <v>43046</v>
      </c>
      <c r="B2300" s="9" t="s">
        <v>43</v>
      </c>
      <c r="C2300" s="9">
        <v>100</v>
      </c>
      <c r="D2300" s="9" t="s">
        <v>10</v>
      </c>
      <c r="E2300" s="19">
        <v>3731</v>
      </c>
      <c r="F2300" s="19">
        <v>3746</v>
      </c>
      <c r="G2300" s="9">
        <v>0</v>
      </c>
      <c r="H2300" s="15">
        <v>0</v>
      </c>
      <c r="I2300" s="8">
        <f t="shared" si="2256"/>
        <v>1500</v>
      </c>
      <c r="J2300" s="8">
        <v>0</v>
      </c>
      <c r="K2300" s="2">
        <f>(IF(D2300="SELL",IF(H2300="",0,G2300-H2300),IF(D2300="BUY",IF(H2300="",0,(H2300-G2300)))))*C2300</f>
        <v>0</v>
      </c>
      <c r="L2300" s="8">
        <f t="shared" si="2258"/>
        <v>15</v>
      </c>
      <c r="M2300" s="8">
        <f t="shared" si="2254"/>
        <v>1500</v>
      </c>
    </row>
    <row r="2301" spans="1:13" ht="15" customHeight="1" x14ac:dyDescent="0.25">
      <c r="A2301" s="24">
        <v>43046</v>
      </c>
      <c r="B2301" s="9" t="s">
        <v>31</v>
      </c>
      <c r="C2301" s="9">
        <v>250</v>
      </c>
      <c r="D2301" s="9" t="s">
        <v>10</v>
      </c>
      <c r="E2301" s="19">
        <v>830</v>
      </c>
      <c r="F2301" s="19">
        <v>834</v>
      </c>
      <c r="G2301" s="9">
        <v>0</v>
      </c>
      <c r="H2301" s="15">
        <v>0</v>
      </c>
      <c r="I2301" s="8">
        <f t="shared" si="2256"/>
        <v>1000</v>
      </c>
      <c r="J2301" s="8">
        <v>0</v>
      </c>
      <c r="K2301" s="2">
        <f>(IF(D2301="SELL",IF(H2301="",0,G2301-H2301),IF(D2301="BUY",IF(H2301="",0,(H2301-G2301)))))*C2301</f>
        <v>0</v>
      </c>
      <c r="L2301" s="8">
        <f t="shared" si="2258"/>
        <v>4</v>
      </c>
      <c r="M2301" s="8">
        <f t="shared" si="2254"/>
        <v>1000</v>
      </c>
    </row>
    <row r="2302" spans="1:13" ht="15" customHeight="1" x14ac:dyDescent="0.25">
      <c r="A2302" s="24">
        <v>43046</v>
      </c>
      <c r="B2302" s="9" t="s">
        <v>29</v>
      </c>
      <c r="C2302" s="9">
        <v>1000</v>
      </c>
      <c r="D2302" s="9" t="s">
        <v>10</v>
      </c>
      <c r="E2302" s="19">
        <v>451</v>
      </c>
      <c r="F2302" s="19">
        <v>452</v>
      </c>
      <c r="G2302" s="9">
        <v>0</v>
      </c>
      <c r="H2302" s="15">
        <v>0</v>
      </c>
      <c r="I2302" s="8">
        <f t="shared" si="2256"/>
        <v>1000</v>
      </c>
      <c r="J2302" s="8">
        <v>0</v>
      </c>
      <c r="K2302" s="2">
        <f>(IF(D2302="SELL",IF(H2302="",0,G2302-H2302),IF(D2302="BUY",IF(H2302="",0,(H2302-G2302)))))*C2302</f>
        <v>0</v>
      </c>
      <c r="L2302" s="8">
        <f t="shared" si="2258"/>
        <v>1</v>
      </c>
      <c r="M2302" s="8">
        <f t="shared" si="2254"/>
        <v>1000</v>
      </c>
    </row>
    <row r="2303" spans="1:13" ht="15" customHeight="1" x14ac:dyDescent="0.25">
      <c r="A2303" s="24">
        <v>43045</v>
      </c>
      <c r="B2303" s="9" t="s">
        <v>16</v>
      </c>
      <c r="C2303" s="9">
        <v>100</v>
      </c>
      <c r="D2303" s="9" t="s">
        <v>10</v>
      </c>
      <c r="E2303" s="19">
        <v>3609</v>
      </c>
      <c r="F2303" s="19">
        <v>3624</v>
      </c>
      <c r="G2303" s="9">
        <v>3655</v>
      </c>
      <c r="H2303" s="15">
        <v>3705</v>
      </c>
      <c r="I2303" s="8">
        <f t="shared" ref="I2303:I2338" si="2259">(IF(D2303="SELL",E2303-F2303,IF(D2303="BUY",F2303-E2303)))*C2303</f>
        <v>1500</v>
      </c>
      <c r="J2303" s="8">
        <f>(IF(D2303="SELL",IF(G2303="",0,F2303-G2303),IF(D2303="BUY",IF(G2303="",0,G2303-F2303))))*C2303</f>
        <v>3100</v>
      </c>
      <c r="K2303" s="2">
        <f>(IF(D2303="SELL",IF(H2303="",0,G2303-H2303),IF(D2303="BUY",IF(H2303="",0,(H2303-G2303)))))*C2303</f>
        <v>5000</v>
      </c>
      <c r="L2303" s="8">
        <f t="shared" si="2258"/>
        <v>96</v>
      </c>
      <c r="M2303" s="8">
        <f t="shared" si="2254"/>
        <v>9600</v>
      </c>
    </row>
    <row r="2304" spans="1:13" ht="15" customHeight="1" x14ac:dyDescent="0.25">
      <c r="A2304" s="24">
        <v>43045</v>
      </c>
      <c r="B2304" s="9" t="s">
        <v>35</v>
      </c>
      <c r="C2304" s="9">
        <v>5000</v>
      </c>
      <c r="D2304" s="9" t="s">
        <v>10</v>
      </c>
      <c r="E2304" s="19">
        <v>160.5</v>
      </c>
      <c r="F2304" s="19">
        <v>161</v>
      </c>
      <c r="G2304" s="9">
        <v>161.69999999999999</v>
      </c>
      <c r="H2304" s="15">
        <v>0</v>
      </c>
      <c r="I2304" s="8">
        <f t="shared" si="2259"/>
        <v>2500</v>
      </c>
      <c r="J2304" s="8">
        <f>(IF(D2304="SELL",IF(G2304="",0,F2304-G2304),IF(D2304="BUY",IF(G2304="",0,G2304-F2304))))*C2304</f>
        <v>3499.9999999999432</v>
      </c>
      <c r="K2304" s="2">
        <v>0</v>
      </c>
      <c r="L2304" s="8">
        <f t="shared" si="2258"/>
        <v>1.1999999999999886</v>
      </c>
      <c r="M2304" s="8">
        <f t="shared" si="2254"/>
        <v>5999.9999999999436</v>
      </c>
    </row>
    <row r="2305" spans="1:13" ht="15" customHeight="1" x14ac:dyDescent="0.25">
      <c r="A2305" s="24">
        <v>43045</v>
      </c>
      <c r="B2305" s="9" t="s">
        <v>31</v>
      </c>
      <c r="C2305" s="9">
        <v>250</v>
      </c>
      <c r="D2305" s="9" t="s">
        <v>10</v>
      </c>
      <c r="E2305" s="19">
        <v>829.7</v>
      </c>
      <c r="F2305" s="19">
        <v>833.7</v>
      </c>
      <c r="G2305" s="9">
        <v>0</v>
      </c>
      <c r="H2305" s="15">
        <v>0</v>
      </c>
      <c r="I2305" s="8">
        <f t="shared" si="2259"/>
        <v>1000</v>
      </c>
      <c r="J2305" s="8">
        <v>0</v>
      </c>
      <c r="K2305" s="2">
        <f>(IF(D2305="SELL",IF(H2305="",0,G2305-H2305),IF(D2305="BUY",IF(H2305="",0,(H2305-G2305)))))*C2305</f>
        <v>0</v>
      </c>
      <c r="L2305" s="8">
        <f t="shared" si="2258"/>
        <v>4</v>
      </c>
      <c r="M2305" s="8">
        <f t="shared" si="2254"/>
        <v>1000</v>
      </c>
    </row>
    <row r="2306" spans="1:13" ht="15" customHeight="1" x14ac:dyDescent="0.25">
      <c r="A2306" s="24">
        <v>43045</v>
      </c>
      <c r="B2306" s="9" t="s">
        <v>44</v>
      </c>
      <c r="C2306" s="9">
        <v>1000</v>
      </c>
      <c r="D2306" s="9" t="s">
        <v>10</v>
      </c>
      <c r="E2306" s="19">
        <v>449.2</v>
      </c>
      <c r="F2306" s="19">
        <v>450.3</v>
      </c>
      <c r="G2306" s="9">
        <v>451.7</v>
      </c>
      <c r="H2306" s="15">
        <v>0</v>
      </c>
      <c r="I2306" s="8">
        <f t="shared" si="2259"/>
        <v>1100.0000000000227</v>
      </c>
      <c r="J2306" s="8">
        <f>(IF(D2306="SELL",IF(G2306="",0,F2306-G2306),IF(D2306="BUY",IF(G2306="",0,G2306-F2306))))*C2306</f>
        <v>1399.9999999999773</v>
      </c>
      <c r="K2306" s="2">
        <v>0</v>
      </c>
      <c r="L2306" s="8">
        <f t="shared" si="2258"/>
        <v>2.5</v>
      </c>
      <c r="M2306" s="8">
        <f t="shared" si="2254"/>
        <v>2500</v>
      </c>
    </row>
    <row r="2307" spans="1:13" ht="15" customHeight="1" x14ac:dyDescent="0.25">
      <c r="A2307" s="24">
        <v>43045</v>
      </c>
      <c r="B2307" s="9" t="s">
        <v>17</v>
      </c>
      <c r="C2307" s="9">
        <v>5000</v>
      </c>
      <c r="D2307" s="9" t="s">
        <v>10</v>
      </c>
      <c r="E2307" s="19">
        <v>210.3</v>
      </c>
      <c r="F2307" s="19">
        <v>210.8</v>
      </c>
      <c r="G2307" s="9">
        <v>211.5</v>
      </c>
      <c r="H2307" s="15">
        <v>0</v>
      </c>
      <c r="I2307" s="8">
        <f t="shared" si="2259"/>
        <v>2500</v>
      </c>
      <c r="J2307" s="8">
        <f>(IF(D2307="SELL",IF(G2307="",0,F2307-G2307),IF(D2307="BUY",IF(G2307="",0,G2307-F2307))))*C2307</f>
        <v>3499.9999999999432</v>
      </c>
      <c r="K2307" s="2">
        <v>0</v>
      </c>
      <c r="L2307" s="8">
        <f t="shared" si="2258"/>
        <v>1.1999999999999886</v>
      </c>
      <c r="M2307" s="8">
        <f t="shared" si="2254"/>
        <v>5999.9999999999436</v>
      </c>
    </row>
    <row r="2308" spans="1:13" ht="15" customHeight="1" x14ac:dyDescent="0.25">
      <c r="A2308" s="24">
        <v>43042</v>
      </c>
      <c r="B2308" s="9" t="s">
        <v>29</v>
      </c>
      <c r="C2308" s="9">
        <v>1000</v>
      </c>
      <c r="D2308" s="9" t="s">
        <v>10</v>
      </c>
      <c r="E2308" s="19">
        <v>449.5</v>
      </c>
      <c r="F2308" s="19">
        <v>450.5</v>
      </c>
      <c r="G2308" s="9">
        <v>0</v>
      </c>
      <c r="H2308" s="15">
        <v>0</v>
      </c>
      <c r="I2308" s="8">
        <f t="shared" si="2259"/>
        <v>1000</v>
      </c>
      <c r="J2308" s="8">
        <v>0</v>
      </c>
      <c r="K2308" s="2">
        <f>(IF(D2308="SELL",IF(H2308="",0,G2308-H2308),IF(D2308="BUY",IF(H2308="",0,(H2308-G2308)))))*C2308</f>
        <v>0</v>
      </c>
      <c r="L2308" s="8">
        <f t="shared" si="2258"/>
        <v>1</v>
      </c>
      <c r="M2308" s="8">
        <f t="shared" si="2254"/>
        <v>1000</v>
      </c>
    </row>
    <row r="2309" spans="1:13" ht="15" customHeight="1" x14ac:dyDescent="0.25">
      <c r="A2309" s="24">
        <v>43042</v>
      </c>
      <c r="B2309" s="9" t="s">
        <v>17</v>
      </c>
      <c r="C2309" s="9">
        <v>5000</v>
      </c>
      <c r="D2309" s="9" t="s">
        <v>11</v>
      </c>
      <c r="E2309" s="19">
        <v>211</v>
      </c>
      <c r="F2309" s="19">
        <v>210.5</v>
      </c>
      <c r="G2309" s="9">
        <v>209.8</v>
      </c>
      <c r="H2309" s="15">
        <v>0</v>
      </c>
      <c r="I2309" s="8">
        <f t="shared" si="2259"/>
        <v>2500</v>
      </c>
      <c r="J2309" s="8">
        <f>(IF(D2309="SELL",IF(G2309="",0,F2309-G2309),IF(D2309="BUY",IF(G2309="",0,G2309-F2309))))*C2309</f>
        <v>3499.9999999999432</v>
      </c>
      <c r="K2309" s="2">
        <v>0</v>
      </c>
      <c r="L2309" s="8">
        <f t="shared" si="2258"/>
        <v>1.1999999999999886</v>
      </c>
      <c r="M2309" s="8">
        <f t="shared" ref="M2309:M2353" si="2260">L2309*C2309</f>
        <v>5999.9999999999436</v>
      </c>
    </row>
    <row r="2310" spans="1:13" ht="15" customHeight="1" x14ac:dyDescent="0.25">
      <c r="A2310" s="24">
        <v>43041</v>
      </c>
      <c r="B2310" s="9" t="s">
        <v>30</v>
      </c>
      <c r="C2310" s="9">
        <v>100</v>
      </c>
      <c r="D2310" s="9" t="s">
        <v>10</v>
      </c>
      <c r="E2310" s="19">
        <v>29300</v>
      </c>
      <c r="F2310" s="19">
        <v>29340</v>
      </c>
      <c r="G2310" s="9">
        <v>0</v>
      </c>
      <c r="H2310" s="15">
        <v>0</v>
      </c>
      <c r="I2310" s="8">
        <f t="shared" si="2259"/>
        <v>4000</v>
      </c>
      <c r="J2310" s="8">
        <v>0</v>
      </c>
      <c r="K2310" s="2">
        <f>(IF(D2310="SELL",IF(H2310="",0,G2310-H2310),IF(D2310="BUY",IF(H2310="",0,(H2310-G2310)))))*C2310</f>
        <v>0</v>
      </c>
      <c r="L2310" s="8">
        <f t="shared" si="2258"/>
        <v>40</v>
      </c>
      <c r="M2310" s="8">
        <f t="shared" si="2260"/>
        <v>4000</v>
      </c>
    </row>
    <row r="2311" spans="1:13" ht="15" customHeight="1" x14ac:dyDescent="0.25">
      <c r="A2311" s="24">
        <v>43041</v>
      </c>
      <c r="B2311" s="9" t="s">
        <v>29</v>
      </c>
      <c r="C2311" s="9">
        <v>1000</v>
      </c>
      <c r="D2311" s="9" t="s">
        <v>11</v>
      </c>
      <c r="E2311" s="19">
        <v>446.7</v>
      </c>
      <c r="F2311" s="19">
        <v>445.5</v>
      </c>
      <c r="G2311" s="9">
        <v>0</v>
      </c>
      <c r="H2311" s="15">
        <v>0</v>
      </c>
      <c r="I2311" s="8">
        <f t="shared" si="2259"/>
        <v>1199.9999999999886</v>
      </c>
      <c r="J2311" s="8">
        <v>0</v>
      </c>
      <c r="K2311" s="2">
        <f>(IF(D2311="SELL",IF(H2311="",0,G2311-H2311),IF(D2311="BUY",IF(H2311="",0,(H2311-G2311)))))*C2311</f>
        <v>0</v>
      </c>
      <c r="L2311" s="8">
        <f t="shared" si="2258"/>
        <v>1.1999999999999886</v>
      </c>
      <c r="M2311" s="8">
        <f t="shared" si="2260"/>
        <v>1199.9999999999886</v>
      </c>
    </row>
    <row r="2312" spans="1:13" ht="15" customHeight="1" x14ac:dyDescent="0.25">
      <c r="A2312" s="24">
        <v>43041</v>
      </c>
      <c r="B2312" s="9" t="s">
        <v>17</v>
      </c>
      <c r="C2312" s="9">
        <v>5000</v>
      </c>
      <c r="D2312" s="9" t="s">
        <v>11</v>
      </c>
      <c r="E2312" s="19">
        <v>211.7</v>
      </c>
      <c r="F2312" s="19">
        <v>211.1</v>
      </c>
      <c r="G2312" s="9">
        <v>210.5</v>
      </c>
      <c r="H2312" s="15">
        <v>209.5</v>
      </c>
      <c r="I2312" s="8">
        <f t="shared" si="2259"/>
        <v>2999.9999999999718</v>
      </c>
      <c r="J2312" s="8">
        <f>(IF(D2312="SELL",IF(G2312="",0,F2312-G2312),IF(D2312="BUY",IF(G2312="",0,G2312-F2312))))*C2312</f>
        <v>2999.9999999999718</v>
      </c>
      <c r="K2312" s="2">
        <f>(IF(D2312="SELL",IF(H2312="",0,G2312-H2312),IF(D2312="BUY",IF(H2312="",0,(H2312-G2312)))))*C2312</f>
        <v>5000</v>
      </c>
      <c r="L2312" s="8">
        <f t="shared" si="2258"/>
        <v>2.1999999999999886</v>
      </c>
      <c r="M2312" s="8">
        <f t="shared" si="2260"/>
        <v>10999.999999999944</v>
      </c>
    </row>
    <row r="2313" spans="1:13" ht="15" customHeight="1" x14ac:dyDescent="0.25">
      <c r="A2313" s="24">
        <v>43041</v>
      </c>
      <c r="B2313" s="9" t="s">
        <v>31</v>
      </c>
      <c r="C2313" s="9">
        <v>250</v>
      </c>
      <c r="D2313" s="9" t="s">
        <v>10</v>
      </c>
      <c r="E2313" s="19">
        <v>822.5</v>
      </c>
      <c r="F2313" s="19">
        <v>826.6</v>
      </c>
      <c r="G2313" s="9">
        <v>831</v>
      </c>
      <c r="H2313" s="15">
        <v>0</v>
      </c>
      <c r="I2313" s="8">
        <f t="shared" si="2259"/>
        <v>1025.0000000000057</v>
      </c>
      <c r="J2313" s="8">
        <f>(IF(D2313="SELL",IF(G2313="",0,F2313-G2313),IF(D2313="BUY",IF(G2313="",0,G2313-F2313))))*C2313</f>
        <v>1099.9999999999943</v>
      </c>
      <c r="K2313" s="2">
        <v>0</v>
      </c>
      <c r="L2313" s="8">
        <f t="shared" si="2258"/>
        <v>8.5</v>
      </c>
      <c r="M2313" s="8">
        <f t="shared" si="2260"/>
        <v>2125</v>
      </c>
    </row>
    <row r="2314" spans="1:13" ht="15" customHeight="1" x14ac:dyDescent="0.25">
      <c r="A2314" s="24">
        <v>43040</v>
      </c>
      <c r="B2314" s="9" t="s">
        <v>17</v>
      </c>
      <c r="C2314" s="9">
        <v>5000</v>
      </c>
      <c r="D2314" s="9" t="s">
        <v>11</v>
      </c>
      <c r="E2314" s="19">
        <v>213</v>
      </c>
      <c r="F2314" s="19">
        <v>214</v>
      </c>
      <c r="G2314" s="9">
        <v>0</v>
      </c>
      <c r="H2314" s="15">
        <v>0</v>
      </c>
      <c r="I2314" s="8">
        <f t="shared" si="2259"/>
        <v>-5000</v>
      </c>
      <c r="J2314" s="8">
        <v>0</v>
      </c>
      <c r="K2314" s="2">
        <f>(IF(D2314="SELL",IF(H2314="",0,G2314-H2314),IF(D2314="BUY",IF(H2314="",0,(H2314-G2314)))))*C2314</f>
        <v>0</v>
      </c>
      <c r="L2314" s="8">
        <f t="shared" si="2258"/>
        <v>-1</v>
      </c>
      <c r="M2314" s="8">
        <f t="shared" si="2260"/>
        <v>-5000</v>
      </c>
    </row>
    <row r="2315" spans="1:13" ht="15" customHeight="1" x14ac:dyDescent="0.25">
      <c r="A2315" s="24">
        <v>43040</v>
      </c>
      <c r="B2315" s="9" t="s">
        <v>16</v>
      </c>
      <c r="C2315" s="9">
        <v>100</v>
      </c>
      <c r="D2315" s="9" t="s">
        <v>10</v>
      </c>
      <c r="E2315" s="19">
        <v>3540</v>
      </c>
      <c r="F2315" s="19">
        <v>3556</v>
      </c>
      <c r="G2315" s="9">
        <v>0</v>
      </c>
      <c r="H2315" s="15">
        <v>0</v>
      </c>
      <c r="I2315" s="8">
        <f t="shared" si="2259"/>
        <v>1600</v>
      </c>
      <c r="J2315" s="8">
        <v>0</v>
      </c>
      <c r="K2315" s="2">
        <f>(IF(D2315="SELL",IF(H2315="",0,G2315-H2315),IF(D2315="BUY",IF(H2315="",0,(H2315-G2315)))))*C2315</f>
        <v>0</v>
      </c>
      <c r="L2315" s="8">
        <f t="shared" si="2258"/>
        <v>16</v>
      </c>
      <c r="M2315" s="8">
        <f t="shared" si="2260"/>
        <v>1600</v>
      </c>
    </row>
    <row r="2316" spans="1:13" ht="15" customHeight="1" x14ac:dyDescent="0.25">
      <c r="A2316" s="24">
        <v>43040</v>
      </c>
      <c r="B2316" s="9" t="s">
        <v>40</v>
      </c>
      <c r="C2316" s="9">
        <v>30</v>
      </c>
      <c r="D2316" s="9" t="s">
        <v>10</v>
      </c>
      <c r="E2316" s="19">
        <v>39000</v>
      </c>
      <c r="F2316" s="19">
        <v>39100</v>
      </c>
      <c r="G2316" s="9">
        <v>39220</v>
      </c>
      <c r="H2316" s="15">
        <v>39400</v>
      </c>
      <c r="I2316" s="8">
        <f t="shared" si="2259"/>
        <v>3000</v>
      </c>
      <c r="J2316" s="8">
        <f>(IF(D2316="SELL",IF(G2316="",0,F2316-G2316),IF(D2316="BUY",IF(G2316="",0,G2316-F2316))))*C2316</f>
        <v>3600</v>
      </c>
      <c r="K2316" s="2">
        <f>(IF(D2316="SELL",IF(H2316="",0,G2316-H2316),IF(D2316="BUY",IF(H2316="",0,(H2316-G2316)))))*C2316</f>
        <v>5400</v>
      </c>
      <c r="L2316" s="8">
        <f t="shared" si="2258"/>
        <v>400</v>
      </c>
      <c r="M2316" s="8">
        <f t="shared" si="2260"/>
        <v>12000</v>
      </c>
    </row>
    <row r="2317" spans="1:13" ht="15" customHeight="1" x14ac:dyDescent="0.25">
      <c r="A2317" s="24">
        <v>43040</v>
      </c>
      <c r="B2317" s="9" t="s">
        <v>30</v>
      </c>
      <c r="C2317" s="9">
        <v>100</v>
      </c>
      <c r="D2317" s="9" t="s">
        <v>10</v>
      </c>
      <c r="E2317" s="19">
        <v>29150</v>
      </c>
      <c r="F2317" s="19">
        <v>29190</v>
      </c>
      <c r="G2317" s="9">
        <v>29260</v>
      </c>
      <c r="H2317" s="15">
        <v>0</v>
      </c>
      <c r="I2317" s="8">
        <f t="shared" si="2259"/>
        <v>4000</v>
      </c>
      <c r="J2317" s="8">
        <f>(IF(D2317="SELL",IF(G2317="",0,F2317-G2317),IF(D2317="BUY",IF(G2317="",0,G2317-F2317))))*C2317</f>
        <v>7000</v>
      </c>
      <c r="K2317" s="2">
        <v>0</v>
      </c>
      <c r="L2317" s="8">
        <f t="shared" si="2258"/>
        <v>110</v>
      </c>
      <c r="M2317" s="8">
        <f t="shared" si="2260"/>
        <v>11000</v>
      </c>
    </row>
    <row r="2318" spans="1:13" ht="15" customHeight="1" x14ac:dyDescent="0.25">
      <c r="A2318" s="24">
        <v>43040</v>
      </c>
      <c r="B2318" s="9" t="s">
        <v>29</v>
      </c>
      <c r="C2318" s="9">
        <v>1000</v>
      </c>
      <c r="D2318" s="9" t="s">
        <v>10</v>
      </c>
      <c r="E2318" s="19">
        <v>449.5</v>
      </c>
      <c r="F2318" s="19">
        <v>450.5</v>
      </c>
      <c r="G2318" s="9">
        <v>451.8</v>
      </c>
      <c r="H2318" s="15">
        <v>454</v>
      </c>
      <c r="I2318" s="8">
        <f t="shared" si="2259"/>
        <v>1000</v>
      </c>
      <c r="J2318" s="8">
        <f>(IF(D2318="SELL",IF(G2318="",0,F2318-G2318),IF(D2318="BUY",IF(G2318="",0,G2318-F2318))))*C2318</f>
        <v>1300.0000000000114</v>
      </c>
      <c r="K2318" s="2">
        <f>(IF(D2318="SELL",IF(H2318="",0,G2318-H2318),IF(D2318="BUY",IF(H2318="",0,(H2318-G2318)))))*C2318</f>
        <v>2199.9999999999886</v>
      </c>
      <c r="L2318" s="8">
        <f t="shared" si="2258"/>
        <v>4.5</v>
      </c>
      <c r="M2318" s="8">
        <f t="shared" si="2260"/>
        <v>4500</v>
      </c>
    </row>
    <row r="2319" spans="1:13" ht="15" customHeight="1" x14ac:dyDescent="0.25">
      <c r="A2319" s="24">
        <v>43040</v>
      </c>
      <c r="B2319" s="9" t="s">
        <v>31</v>
      </c>
      <c r="C2319" s="9">
        <v>250</v>
      </c>
      <c r="D2319" s="9" t="s">
        <v>10</v>
      </c>
      <c r="E2319" s="19">
        <v>819</v>
      </c>
      <c r="F2319" s="19">
        <v>823</v>
      </c>
      <c r="G2319" s="9">
        <v>828</v>
      </c>
      <c r="H2319" s="15">
        <v>835</v>
      </c>
      <c r="I2319" s="8">
        <f t="shared" si="2259"/>
        <v>1000</v>
      </c>
      <c r="J2319" s="8">
        <f>(IF(D2319="SELL",IF(G2319="",0,F2319-G2319),IF(D2319="BUY",IF(G2319="",0,G2319-F2319))))*C2319</f>
        <v>1250</v>
      </c>
      <c r="K2319" s="2">
        <f>(IF(D2319="SELL",IF(H2319="",0,G2319-H2319),IF(D2319="BUY",IF(H2319="",0,(H2319-G2319)))))*C2319</f>
        <v>1750</v>
      </c>
      <c r="L2319" s="8">
        <f t="shared" si="2258"/>
        <v>16</v>
      </c>
      <c r="M2319" s="8">
        <f t="shared" si="2260"/>
        <v>4000</v>
      </c>
    </row>
    <row r="2320" spans="1:13" ht="15" customHeight="1" x14ac:dyDescent="0.25">
      <c r="A2320" s="24">
        <v>43039</v>
      </c>
      <c r="B2320" s="9" t="s">
        <v>17</v>
      </c>
      <c r="C2320" s="9">
        <v>5000</v>
      </c>
      <c r="D2320" s="9" t="s">
        <v>10</v>
      </c>
      <c r="E2320" s="19">
        <v>213.3</v>
      </c>
      <c r="F2320" s="19">
        <v>213.8</v>
      </c>
      <c r="G2320" s="9">
        <v>214.45</v>
      </c>
      <c r="H2320" s="15">
        <v>216</v>
      </c>
      <c r="I2320" s="8">
        <f t="shared" si="2259"/>
        <v>2500</v>
      </c>
      <c r="J2320" s="8">
        <f>(IF(D2320="SELL",IF(G2320="",0,F2320-G2320),IF(D2320="BUY",IF(G2320="",0,G2320-F2320))))*C2320</f>
        <v>3249.9999999998863</v>
      </c>
      <c r="K2320" s="2">
        <f>(IF(D2320="SELL",IF(H2320="",0,G2320-H2320),IF(D2320="BUY",IF(H2320="",0,(H2320-G2320)))))*C2320</f>
        <v>7750.0000000000564</v>
      </c>
      <c r="L2320" s="8">
        <f t="shared" si="2258"/>
        <v>2.6999999999999882</v>
      </c>
      <c r="M2320" s="8">
        <f t="shared" si="2260"/>
        <v>13499.999999999942</v>
      </c>
    </row>
    <row r="2321" spans="1:13" ht="15" customHeight="1" x14ac:dyDescent="0.25">
      <c r="A2321" s="24">
        <v>43039</v>
      </c>
      <c r="B2321" s="9" t="s">
        <v>29</v>
      </c>
      <c r="C2321" s="9">
        <v>1000</v>
      </c>
      <c r="D2321" s="9" t="s">
        <v>10</v>
      </c>
      <c r="E2321" s="19">
        <v>447.4</v>
      </c>
      <c r="F2321" s="19">
        <v>448.4</v>
      </c>
      <c r="G2321" s="9">
        <v>0</v>
      </c>
      <c r="H2321" s="15">
        <v>0</v>
      </c>
      <c r="I2321" s="8">
        <f t="shared" si="2259"/>
        <v>1000</v>
      </c>
      <c r="J2321" s="8">
        <v>0</v>
      </c>
      <c r="K2321" s="2">
        <v>0</v>
      </c>
      <c r="L2321" s="8">
        <f t="shared" si="2258"/>
        <v>1</v>
      </c>
      <c r="M2321" s="8">
        <f t="shared" si="2260"/>
        <v>1000</v>
      </c>
    </row>
    <row r="2322" spans="1:13" ht="15" customHeight="1" x14ac:dyDescent="0.25">
      <c r="A2322" s="24">
        <v>43039</v>
      </c>
      <c r="B2322" s="9" t="s">
        <v>31</v>
      </c>
      <c r="C2322" s="9">
        <v>250</v>
      </c>
      <c r="D2322" s="9" t="s">
        <v>10</v>
      </c>
      <c r="E2322" s="19">
        <v>765</v>
      </c>
      <c r="F2322" s="19">
        <v>769</v>
      </c>
      <c r="G2322" s="9">
        <v>0</v>
      </c>
      <c r="H2322" s="15">
        <v>0</v>
      </c>
      <c r="I2322" s="8">
        <f t="shared" si="2259"/>
        <v>1000</v>
      </c>
      <c r="J2322" s="8">
        <v>0</v>
      </c>
      <c r="K2322" s="2">
        <v>0</v>
      </c>
      <c r="L2322" s="8">
        <f t="shared" si="2258"/>
        <v>4</v>
      </c>
      <c r="M2322" s="8">
        <f t="shared" si="2260"/>
        <v>1000</v>
      </c>
    </row>
    <row r="2323" spans="1:13" ht="15" customHeight="1" x14ac:dyDescent="0.25">
      <c r="A2323" s="24">
        <v>43038</v>
      </c>
      <c r="B2323" s="9" t="s">
        <v>29</v>
      </c>
      <c r="C2323" s="9">
        <v>1000</v>
      </c>
      <c r="D2323" s="9" t="s">
        <v>11</v>
      </c>
      <c r="E2323" s="19">
        <v>444.2</v>
      </c>
      <c r="F2323" s="19">
        <v>447</v>
      </c>
      <c r="G2323" s="9">
        <v>0</v>
      </c>
      <c r="H2323" s="15">
        <v>0</v>
      </c>
      <c r="I2323" s="8">
        <f t="shared" si="2259"/>
        <v>-2800.0000000000114</v>
      </c>
      <c r="J2323" s="8">
        <v>0</v>
      </c>
      <c r="K2323" s="2">
        <v>0</v>
      </c>
      <c r="L2323" s="8">
        <f t="shared" si="2258"/>
        <v>-2.8000000000000114</v>
      </c>
      <c r="M2323" s="8">
        <f t="shared" si="2260"/>
        <v>-2800.0000000000114</v>
      </c>
    </row>
    <row r="2324" spans="1:13" ht="15" customHeight="1" x14ac:dyDescent="0.25">
      <c r="A2324" s="24">
        <v>43038</v>
      </c>
      <c r="B2324" s="9" t="s">
        <v>30</v>
      </c>
      <c r="C2324" s="9">
        <v>100</v>
      </c>
      <c r="D2324" s="9" t="s">
        <v>10</v>
      </c>
      <c r="E2324" s="19">
        <v>29300</v>
      </c>
      <c r="F2324" s="19">
        <v>29355</v>
      </c>
      <c r="G2324" s="9">
        <v>29410</v>
      </c>
      <c r="H2324" s="15">
        <v>0</v>
      </c>
      <c r="I2324" s="8">
        <f t="shared" si="2259"/>
        <v>5500</v>
      </c>
      <c r="J2324" s="8">
        <f>(IF(D2324="SELL",IF(G2324="",0,F2324-G2324),IF(D2324="BUY",IF(G2324="",0,G2324-F2324))))*C2324</f>
        <v>5500</v>
      </c>
      <c r="K2324" s="2">
        <v>0</v>
      </c>
      <c r="L2324" s="8">
        <f t="shared" si="2258"/>
        <v>110</v>
      </c>
      <c r="M2324" s="8">
        <f t="shared" si="2260"/>
        <v>11000</v>
      </c>
    </row>
    <row r="2325" spans="1:13" ht="15" customHeight="1" x14ac:dyDescent="0.25">
      <c r="A2325" s="24">
        <v>43038</v>
      </c>
      <c r="B2325" s="9" t="s">
        <v>16</v>
      </c>
      <c r="C2325" s="9">
        <v>100</v>
      </c>
      <c r="D2325" s="9" t="s">
        <v>10</v>
      </c>
      <c r="E2325" s="19">
        <v>3514</v>
      </c>
      <c r="F2325" s="19">
        <v>3532</v>
      </c>
      <c r="G2325" s="9">
        <v>0</v>
      </c>
      <c r="H2325" s="15">
        <v>0</v>
      </c>
      <c r="I2325" s="8">
        <f t="shared" si="2259"/>
        <v>1800</v>
      </c>
      <c r="J2325" s="8">
        <v>0</v>
      </c>
      <c r="K2325" s="2">
        <v>0</v>
      </c>
      <c r="L2325" s="8">
        <f t="shared" si="2258"/>
        <v>18</v>
      </c>
      <c r="M2325" s="8">
        <f t="shared" si="2260"/>
        <v>1800</v>
      </c>
    </row>
    <row r="2326" spans="1:13" ht="15" customHeight="1" x14ac:dyDescent="0.25">
      <c r="A2326" s="24">
        <v>43038</v>
      </c>
      <c r="B2326" s="9" t="s">
        <v>17</v>
      </c>
      <c r="C2326" s="9">
        <v>5000</v>
      </c>
      <c r="D2326" s="9" t="s">
        <v>10</v>
      </c>
      <c r="E2326" s="19">
        <v>211.85</v>
      </c>
      <c r="F2326" s="19">
        <v>212.35</v>
      </c>
      <c r="G2326" s="9">
        <v>0</v>
      </c>
      <c r="H2326" s="15">
        <v>0</v>
      </c>
      <c r="I2326" s="8">
        <f t="shared" si="2259"/>
        <v>2500</v>
      </c>
      <c r="J2326" s="8">
        <v>0</v>
      </c>
      <c r="K2326" s="2">
        <v>0</v>
      </c>
      <c r="L2326" s="8">
        <f t="shared" si="2258"/>
        <v>0.5</v>
      </c>
      <c r="M2326" s="8">
        <f t="shared" si="2260"/>
        <v>2500</v>
      </c>
    </row>
    <row r="2327" spans="1:13" ht="15" customHeight="1" x14ac:dyDescent="0.25">
      <c r="A2327" s="24">
        <v>43038</v>
      </c>
      <c r="B2327" s="9" t="s">
        <v>31</v>
      </c>
      <c r="C2327" s="9">
        <v>250</v>
      </c>
      <c r="D2327" s="9" t="s">
        <v>11</v>
      </c>
      <c r="E2327" s="19">
        <v>747.1</v>
      </c>
      <c r="F2327" s="19">
        <v>743</v>
      </c>
      <c r="G2327" s="9">
        <v>0</v>
      </c>
      <c r="H2327" s="15">
        <v>0</v>
      </c>
      <c r="I2327" s="8">
        <f t="shared" si="2259"/>
        <v>1025.0000000000057</v>
      </c>
      <c r="J2327" s="8">
        <v>0</v>
      </c>
      <c r="K2327" s="2">
        <v>0</v>
      </c>
      <c r="L2327" s="8">
        <f t="shared" si="2258"/>
        <v>4.1000000000000227</v>
      </c>
      <c r="M2327" s="8">
        <f t="shared" si="2260"/>
        <v>1025.0000000000057</v>
      </c>
    </row>
    <row r="2328" spans="1:13" ht="15" customHeight="1" x14ac:dyDescent="0.25">
      <c r="A2328" s="24">
        <v>43035</v>
      </c>
      <c r="B2328" s="9" t="s">
        <v>14</v>
      </c>
      <c r="C2328" s="9">
        <v>30</v>
      </c>
      <c r="D2328" s="9" t="s">
        <v>11</v>
      </c>
      <c r="E2328" s="19">
        <v>39100</v>
      </c>
      <c r="F2328" s="19">
        <v>39000</v>
      </c>
      <c r="G2328" s="9">
        <v>0</v>
      </c>
      <c r="H2328" s="15">
        <v>0</v>
      </c>
      <c r="I2328" s="8">
        <f t="shared" si="2259"/>
        <v>3000</v>
      </c>
      <c r="J2328" s="8">
        <v>0</v>
      </c>
      <c r="K2328" s="2">
        <v>0</v>
      </c>
      <c r="L2328" s="8">
        <f t="shared" si="2258"/>
        <v>100</v>
      </c>
      <c r="M2328" s="8">
        <f t="shared" si="2260"/>
        <v>3000</v>
      </c>
    </row>
    <row r="2329" spans="1:13" ht="15" customHeight="1" x14ac:dyDescent="0.25">
      <c r="A2329" s="24">
        <v>43035</v>
      </c>
      <c r="B2329" s="9" t="s">
        <v>29</v>
      </c>
      <c r="C2329" s="9">
        <v>1000</v>
      </c>
      <c r="D2329" s="9" t="s">
        <v>11</v>
      </c>
      <c r="E2329" s="19">
        <v>450.1</v>
      </c>
      <c r="F2329" s="19">
        <v>449</v>
      </c>
      <c r="G2329" s="9">
        <v>448</v>
      </c>
      <c r="H2329" s="15">
        <v>446</v>
      </c>
      <c r="I2329" s="8">
        <f t="shared" si="2259"/>
        <v>1100.0000000000227</v>
      </c>
      <c r="J2329" s="8">
        <f>(IF(D2329="SELL",IF(G2329="",0,F2329-G2329),IF(D2329="BUY",IF(G2329="",0,G2329-F2329))))*C2329</f>
        <v>1000</v>
      </c>
      <c r="K2329" s="2">
        <f>(IF(D2329="SELL",IF(H2329="",0,G2329-H2329),IF(D2329="BUY",IF(H2329="",0,(H2329-G2329)))))*C2329</f>
        <v>2000</v>
      </c>
      <c r="L2329" s="8">
        <f t="shared" si="2258"/>
        <v>4.1000000000000227</v>
      </c>
      <c r="M2329" s="8">
        <f t="shared" si="2260"/>
        <v>4100.0000000000227</v>
      </c>
    </row>
    <row r="2330" spans="1:13" ht="15" customHeight="1" x14ac:dyDescent="0.25">
      <c r="A2330" s="24">
        <v>43035</v>
      </c>
      <c r="B2330" s="9" t="s">
        <v>31</v>
      </c>
      <c r="C2330" s="9">
        <v>250</v>
      </c>
      <c r="D2330" s="9" t="s">
        <v>11</v>
      </c>
      <c r="E2330" s="19">
        <v>749.5</v>
      </c>
      <c r="F2330" s="19">
        <v>745</v>
      </c>
      <c r="G2330" s="9">
        <v>740</v>
      </c>
      <c r="H2330" s="15">
        <v>0</v>
      </c>
      <c r="I2330" s="8">
        <f t="shared" si="2259"/>
        <v>1125</v>
      </c>
      <c r="J2330" s="8">
        <f>(IF(D2330="SELL",IF(G2330="",0,F2330-G2330),IF(D2330="BUY",IF(G2330="",0,G2330-F2330))))*C2330</f>
        <v>1250</v>
      </c>
      <c r="K2330" s="2">
        <v>0</v>
      </c>
      <c r="L2330" s="8">
        <f t="shared" si="2258"/>
        <v>9.5</v>
      </c>
      <c r="M2330" s="8">
        <f t="shared" si="2260"/>
        <v>2375</v>
      </c>
    </row>
    <row r="2331" spans="1:13" ht="15" customHeight="1" x14ac:dyDescent="0.25">
      <c r="A2331" s="24">
        <v>43035</v>
      </c>
      <c r="B2331" s="9" t="s">
        <v>17</v>
      </c>
      <c r="C2331" s="9">
        <v>5000</v>
      </c>
      <c r="D2331" s="9" t="s">
        <v>11</v>
      </c>
      <c r="E2331" s="19">
        <v>210.55</v>
      </c>
      <c r="F2331" s="19">
        <v>210</v>
      </c>
      <c r="G2331" s="9">
        <v>209.2</v>
      </c>
      <c r="H2331" s="15">
        <v>207.5</v>
      </c>
      <c r="I2331" s="8">
        <f t="shared" si="2259"/>
        <v>2750.0000000000568</v>
      </c>
      <c r="J2331" s="8">
        <f>(IF(D2331="SELL",IF(G2331="",0,F2331-G2331),IF(D2331="BUY",IF(G2331="",0,G2331-F2331))))*C2331</f>
        <v>4000.0000000000568</v>
      </c>
      <c r="K2331" s="2">
        <f>(IF(D2331="SELL",IF(H2331="",0,G2331-H2331),IF(D2331="BUY",IF(H2331="",0,(H2331-G2331)))))*C2331</f>
        <v>8499.9999999999436</v>
      </c>
      <c r="L2331" s="8">
        <f t="shared" si="2258"/>
        <v>3.0500000000000118</v>
      </c>
      <c r="M2331" s="8">
        <f t="shared" si="2260"/>
        <v>15250.000000000058</v>
      </c>
    </row>
    <row r="2332" spans="1:13" ht="15" customHeight="1" x14ac:dyDescent="0.25">
      <c r="A2332" s="24">
        <v>43033</v>
      </c>
      <c r="B2332" s="9" t="s">
        <v>31</v>
      </c>
      <c r="C2332" s="9">
        <v>250</v>
      </c>
      <c r="D2332" s="9" t="s">
        <v>11</v>
      </c>
      <c r="E2332" s="19">
        <v>770</v>
      </c>
      <c r="F2332" s="19">
        <v>766</v>
      </c>
      <c r="G2332" s="9">
        <v>0</v>
      </c>
      <c r="H2332" s="15">
        <v>0</v>
      </c>
      <c r="I2332" s="8">
        <f t="shared" si="2259"/>
        <v>1000</v>
      </c>
      <c r="J2332" s="8">
        <v>0</v>
      </c>
      <c r="K2332" s="2">
        <v>0</v>
      </c>
      <c r="L2332" s="8">
        <f t="shared" si="2258"/>
        <v>4</v>
      </c>
      <c r="M2332" s="8">
        <f t="shared" si="2260"/>
        <v>1000</v>
      </c>
    </row>
    <row r="2333" spans="1:13" ht="15" customHeight="1" x14ac:dyDescent="0.25">
      <c r="A2333" s="24">
        <v>43033</v>
      </c>
      <c r="B2333" s="9" t="s">
        <v>30</v>
      </c>
      <c r="C2333" s="9">
        <v>100</v>
      </c>
      <c r="D2333" s="9" t="s">
        <v>11</v>
      </c>
      <c r="E2333" s="19">
        <v>29435</v>
      </c>
      <c r="F2333" s="19">
        <v>29395</v>
      </c>
      <c r="G2333" s="9">
        <v>0</v>
      </c>
      <c r="H2333" s="15">
        <v>0</v>
      </c>
      <c r="I2333" s="8">
        <f t="shared" si="2259"/>
        <v>4000</v>
      </c>
      <c r="J2333" s="8">
        <v>0</v>
      </c>
      <c r="K2333" s="2">
        <v>0</v>
      </c>
      <c r="L2333" s="8">
        <f t="shared" si="2258"/>
        <v>40</v>
      </c>
      <c r="M2333" s="8">
        <f t="shared" si="2260"/>
        <v>4000</v>
      </c>
    </row>
    <row r="2334" spans="1:13" ht="15" customHeight="1" x14ac:dyDescent="0.25">
      <c r="A2334" s="24">
        <v>43032</v>
      </c>
      <c r="B2334" s="9" t="s">
        <v>29</v>
      </c>
      <c r="C2334" s="9">
        <v>1000</v>
      </c>
      <c r="D2334" s="9" t="s">
        <v>10</v>
      </c>
      <c r="E2334" s="19">
        <v>463.4</v>
      </c>
      <c r="F2334" s="19">
        <v>464.4</v>
      </c>
      <c r="G2334" s="9">
        <v>0</v>
      </c>
      <c r="H2334" s="15">
        <v>0</v>
      </c>
      <c r="I2334" s="8">
        <f t="shared" si="2259"/>
        <v>1000</v>
      </c>
      <c r="J2334" s="8">
        <v>0</v>
      </c>
      <c r="K2334" s="2">
        <v>0</v>
      </c>
      <c r="L2334" s="8">
        <f t="shared" si="2258"/>
        <v>1</v>
      </c>
      <c r="M2334" s="8">
        <f t="shared" si="2260"/>
        <v>1000</v>
      </c>
    </row>
    <row r="2335" spans="1:13" ht="15" customHeight="1" x14ac:dyDescent="0.25">
      <c r="A2335" s="24">
        <v>43032</v>
      </c>
      <c r="B2335" s="9" t="s">
        <v>17</v>
      </c>
      <c r="C2335" s="9">
        <v>5000</v>
      </c>
      <c r="D2335" s="9" t="s">
        <v>10</v>
      </c>
      <c r="E2335" s="19">
        <v>209.05</v>
      </c>
      <c r="F2335" s="19">
        <v>209.55</v>
      </c>
      <c r="G2335" s="9">
        <v>210.3</v>
      </c>
      <c r="H2335" s="15">
        <v>0</v>
      </c>
      <c r="I2335" s="8">
        <f t="shared" si="2259"/>
        <v>2500</v>
      </c>
      <c r="J2335" s="8">
        <f>(IF(D2335="SELL",IF(G2335="",0,F2335-G2335),IF(D2335="BUY",IF(G2335="",0,G2335-F2335))))*C2335</f>
        <v>3750</v>
      </c>
      <c r="K2335" s="2">
        <v>0</v>
      </c>
      <c r="L2335" s="8">
        <f t="shared" si="2258"/>
        <v>1.25</v>
      </c>
      <c r="M2335" s="8">
        <f t="shared" si="2260"/>
        <v>6250</v>
      </c>
    </row>
    <row r="2336" spans="1:13" ht="15" customHeight="1" x14ac:dyDescent="0.25">
      <c r="A2336" s="24">
        <v>43031</v>
      </c>
      <c r="B2336" s="9" t="s">
        <v>31</v>
      </c>
      <c r="C2336" s="9">
        <v>250</v>
      </c>
      <c r="D2336" s="9" t="s">
        <v>10</v>
      </c>
      <c r="E2336" s="19">
        <v>778</v>
      </c>
      <c r="F2336" s="19">
        <v>782</v>
      </c>
      <c r="G2336" s="9">
        <v>0</v>
      </c>
      <c r="H2336" s="15">
        <v>0</v>
      </c>
      <c r="I2336" s="8">
        <f t="shared" si="2259"/>
        <v>1000</v>
      </c>
      <c r="J2336" s="8">
        <v>0</v>
      </c>
      <c r="K2336" s="2">
        <v>0</v>
      </c>
      <c r="L2336" s="8">
        <f t="shared" si="2258"/>
        <v>4</v>
      </c>
      <c r="M2336" s="8">
        <f t="shared" si="2260"/>
        <v>1000</v>
      </c>
    </row>
    <row r="2337" spans="1:13" ht="15" customHeight="1" x14ac:dyDescent="0.25">
      <c r="A2337" s="24">
        <v>43031</v>
      </c>
      <c r="B2337" s="9" t="s">
        <v>20</v>
      </c>
      <c r="C2337" s="9">
        <v>1250</v>
      </c>
      <c r="D2337" s="9" t="s">
        <v>10</v>
      </c>
      <c r="E2337" s="19">
        <v>193.9</v>
      </c>
      <c r="F2337" s="19">
        <v>194.9</v>
      </c>
      <c r="G2337" s="9">
        <v>0</v>
      </c>
      <c r="H2337" s="15">
        <v>0</v>
      </c>
      <c r="I2337" s="8">
        <f t="shared" si="2259"/>
        <v>1250</v>
      </c>
      <c r="J2337" s="8">
        <v>0</v>
      </c>
      <c r="K2337" s="2">
        <v>0</v>
      </c>
      <c r="L2337" s="8">
        <f t="shared" si="2258"/>
        <v>1</v>
      </c>
      <c r="M2337" s="8">
        <f t="shared" si="2260"/>
        <v>1250</v>
      </c>
    </row>
    <row r="2338" spans="1:13" ht="15" customHeight="1" x14ac:dyDescent="0.25">
      <c r="A2338" s="24">
        <v>43031</v>
      </c>
      <c r="B2338" s="9" t="s">
        <v>17</v>
      </c>
      <c r="C2338" s="9">
        <v>5000</v>
      </c>
      <c r="D2338" s="9" t="s">
        <v>10</v>
      </c>
      <c r="E2338" s="19">
        <v>206</v>
      </c>
      <c r="F2338" s="19">
        <v>206.5</v>
      </c>
      <c r="G2338" s="9">
        <v>0</v>
      </c>
      <c r="H2338" s="15">
        <v>0</v>
      </c>
      <c r="I2338" s="8">
        <f t="shared" si="2259"/>
        <v>2500</v>
      </c>
      <c r="J2338" s="8">
        <v>0</v>
      </c>
      <c r="K2338" s="2">
        <v>0</v>
      </c>
      <c r="L2338" s="8">
        <f t="shared" si="2258"/>
        <v>0.5</v>
      </c>
      <c r="M2338" s="8">
        <f t="shared" si="2260"/>
        <v>2500</v>
      </c>
    </row>
    <row r="2339" spans="1:13" ht="15" customHeight="1" x14ac:dyDescent="0.25">
      <c r="A2339" s="24">
        <v>43026</v>
      </c>
      <c r="B2339" s="9" t="s">
        <v>31</v>
      </c>
      <c r="C2339" s="9">
        <v>250</v>
      </c>
      <c r="D2339" s="9" t="s">
        <v>11</v>
      </c>
      <c r="E2339" s="19">
        <v>760.3</v>
      </c>
      <c r="F2339" s="19">
        <v>0</v>
      </c>
      <c r="G2339" s="9">
        <v>0</v>
      </c>
      <c r="H2339" s="15">
        <v>0</v>
      </c>
      <c r="I2339" s="8">
        <v>0</v>
      </c>
      <c r="J2339" s="8">
        <v>0</v>
      </c>
      <c r="K2339" s="2">
        <v>0</v>
      </c>
      <c r="L2339" s="8">
        <f t="shared" si="2258"/>
        <v>0</v>
      </c>
      <c r="M2339" s="8">
        <f t="shared" si="2260"/>
        <v>0</v>
      </c>
    </row>
    <row r="2340" spans="1:13" ht="15" customHeight="1" x14ac:dyDescent="0.25">
      <c r="A2340" s="24">
        <v>43026</v>
      </c>
      <c r="B2340" s="9" t="s">
        <v>29</v>
      </c>
      <c r="C2340" s="9">
        <v>1000</v>
      </c>
      <c r="D2340" s="9" t="s">
        <v>10</v>
      </c>
      <c r="E2340" s="19">
        <v>460.3</v>
      </c>
      <c r="F2340" s="19">
        <v>457.5</v>
      </c>
      <c r="G2340" s="9">
        <v>0</v>
      </c>
      <c r="H2340" s="15">
        <v>0</v>
      </c>
      <c r="I2340" s="8">
        <f t="shared" ref="I2340:I2353" si="2261">(IF(D2340="SELL",E2340-F2340,IF(D2340="BUY",F2340-E2340)))*C2340</f>
        <v>-2800.0000000000114</v>
      </c>
      <c r="J2340" s="8">
        <v>0</v>
      </c>
      <c r="K2340" s="2">
        <v>0</v>
      </c>
      <c r="L2340" s="8">
        <f t="shared" si="2258"/>
        <v>-2.8000000000000114</v>
      </c>
      <c r="M2340" s="8">
        <f t="shared" si="2260"/>
        <v>-2800.0000000000114</v>
      </c>
    </row>
    <row r="2341" spans="1:13" ht="15" customHeight="1" x14ac:dyDescent="0.25">
      <c r="A2341" s="24">
        <v>43025</v>
      </c>
      <c r="B2341" s="9" t="s">
        <v>35</v>
      </c>
      <c r="C2341" s="9">
        <v>5000</v>
      </c>
      <c r="D2341" s="9" t="s">
        <v>11</v>
      </c>
      <c r="E2341" s="19">
        <v>163.30000000000001</v>
      </c>
      <c r="F2341" s="19">
        <v>162.69999999999999</v>
      </c>
      <c r="G2341" s="9">
        <v>161.94999999999999</v>
      </c>
      <c r="H2341" s="15">
        <v>0</v>
      </c>
      <c r="I2341" s="8">
        <f t="shared" si="2261"/>
        <v>3000.0000000001137</v>
      </c>
      <c r="J2341" s="8">
        <f>(IF(D2341="SELL",IF(G2341="",0,F2341-G2341),IF(D2341="BUY",IF(G2341="",0,G2341-F2341))))*C2341</f>
        <v>3750</v>
      </c>
      <c r="K2341" s="2">
        <v>0</v>
      </c>
      <c r="L2341" s="8">
        <f t="shared" si="2258"/>
        <v>1.3500000000000227</v>
      </c>
      <c r="M2341" s="8">
        <f t="shared" si="2260"/>
        <v>6750.0000000001137</v>
      </c>
    </row>
    <row r="2342" spans="1:13" ht="15" customHeight="1" x14ac:dyDescent="0.25">
      <c r="A2342" s="24">
        <v>43025</v>
      </c>
      <c r="B2342" s="9" t="s">
        <v>17</v>
      </c>
      <c r="C2342" s="9">
        <v>5000</v>
      </c>
      <c r="D2342" s="9" t="s">
        <v>11</v>
      </c>
      <c r="E2342" s="19">
        <v>207.35</v>
      </c>
      <c r="F2342" s="19">
        <v>206.7</v>
      </c>
      <c r="G2342" s="9">
        <v>205.9</v>
      </c>
      <c r="H2342" s="15">
        <v>204.95</v>
      </c>
      <c r="I2342" s="8">
        <f t="shared" si="2261"/>
        <v>3250.0000000000282</v>
      </c>
      <c r="J2342" s="8">
        <f>(IF(D2342="SELL",IF(G2342="",0,F2342-G2342),IF(D2342="BUY",IF(G2342="",0,G2342-F2342))))*C2342</f>
        <v>3999.9999999999145</v>
      </c>
      <c r="K2342" s="2">
        <f>(IF(D2342="SELL",IF(H2342="",0,G2342-H2342),IF(D2342="BUY",IF(H2342="",0,(H2342-G2342)))))*C2342</f>
        <v>4750.0000000000855</v>
      </c>
      <c r="L2342" s="8">
        <f t="shared" si="2258"/>
        <v>2.4000000000000057</v>
      </c>
      <c r="M2342" s="8">
        <f t="shared" si="2260"/>
        <v>12000.000000000029</v>
      </c>
    </row>
    <row r="2343" spans="1:13" ht="15" customHeight="1" x14ac:dyDescent="0.25">
      <c r="A2343" s="24">
        <v>43025</v>
      </c>
      <c r="B2343" s="9" t="s">
        <v>30</v>
      </c>
      <c r="C2343" s="9">
        <v>100</v>
      </c>
      <c r="D2343" s="9" t="s">
        <v>11</v>
      </c>
      <c r="E2343" s="19">
        <v>29759</v>
      </c>
      <c r="F2343" s="19">
        <v>29711</v>
      </c>
      <c r="G2343" s="9">
        <v>29645</v>
      </c>
      <c r="H2343" s="15">
        <v>0</v>
      </c>
      <c r="I2343" s="8">
        <f t="shared" si="2261"/>
        <v>4800</v>
      </c>
      <c r="J2343" s="8">
        <f>(IF(D2343="SELL",IF(G2343="",0,F2343-G2343),IF(D2343="BUY",IF(G2343="",0,G2343-F2343))))*C2343</f>
        <v>6600</v>
      </c>
      <c r="K2343" s="2">
        <v>0</v>
      </c>
      <c r="L2343" s="8">
        <f t="shared" si="2258"/>
        <v>114</v>
      </c>
      <c r="M2343" s="8">
        <f t="shared" si="2260"/>
        <v>11400</v>
      </c>
    </row>
    <row r="2344" spans="1:13" ht="15" customHeight="1" x14ac:dyDescent="0.25">
      <c r="A2344" s="24">
        <v>43025</v>
      </c>
      <c r="B2344" s="9" t="s">
        <v>31</v>
      </c>
      <c r="C2344" s="9">
        <v>250</v>
      </c>
      <c r="D2344" s="9" t="s">
        <v>11</v>
      </c>
      <c r="E2344" s="19">
        <v>762</v>
      </c>
      <c r="F2344" s="19">
        <v>758</v>
      </c>
      <c r="G2344" s="9">
        <v>753</v>
      </c>
      <c r="H2344" s="15">
        <v>0</v>
      </c>
      <c r="I2344" s="8">
        <f t="shared" si="2261"/>
        <v>1000</v>
      </c>
      <c r="J2344" s="8">
        <f>(IF(D2344="SELL",IF(G2344="",0,F2344-G2344),IF(D2344="BUY",IF(G2344="",0,G2344-F2344))))*C2344</f>
        <v>1250</v>
      </c>
      <c r="K2344" s="2">
        <v>0</v>
      </c>
      <c r="L2344" s="8">
        <f t="shared" si="2258"/>
        <v>9</v>
      </c>
      <c r="M2344" s="8">
        <f t="shared" si="2260"/>
        <v>2250</v>
      </c>
    </row>
    <row r="2345" spans="1:13" ht="15" customHeight="1" x14ac:dyDescent="0.25">
      <c r="A2345" s="24">
        <v>43024</v>
      </c>
      <c r="B2345" s="9" t="s">
        <v>31</v>
      </c>
      <c r="C2345" s="9">
        <v>250</v>
      </c>
      <c r="D2345" s="9" t="s">
        <v>10</v>
      </c>
      <c r="E2345" s="19">
        <v>764</v>
      </c>
      <c r="F2345" s="19">
        <v>768</v>
      </c>
      <c r="G2345" s="9">
        <v>0</v>
      </c>
      <c r="H2345" s="15">
        <v>0</v>
      </c>
      <c r="I2345" s="8">
        <f t="shared" si="2261"/>
        <v>1000</v>
      </c>
      <c r="J2345" s="8">
        <v>0</v>
      </c>
      <c r="K2345" s="2">
        <v>0</v>
      </c>
      <c r="L2345" s="8">
        <f t="shared" si="2258"/>
        <v>4</v>
      </c>
      <c r="M2345" s="8">
        <f t="shared" si="2260"/>
        <v>1000</v>
      </c>
    </row>
    <row r="2346" spans="1:13" ht="15" customHeight="1" x14ac:dyDescent="0.25">
      <c r="A2346" s="24">
        <v>43024</v>
      </c>
      <c r="B2346" s="9" t="s">
        <v>17</v>
      </c>
      <c r="C2346" s="9">
        <v>5000</v>
      </c>
      <c r="D2346" s="9" t="s">
        <v>10</v>
      </c>
      <c r="E2346" s="19">
        <v>213.2</v>
      </c>
      <c r="F2346" s="19">
        <v>213.7</v>
      </c>
      <c r="G2346" s="9">
        <v>0</v>
      </c>
      <c r="H2346" s="15">
        <v>0</v>
      </c>
      <c r="I2346" s="8">
        <f t="shared" si="2261"/>
        <v>2500</v>
      </c>
      <c r="J2346" s="8">
        <v>0</v>
      </c>
      <c r="K2346" s="2">
        <v>0</v>
      </c>
      <c r="L2346" s="8">
        <f t="shared" si="2258"/>
        <v>0.5</v>
      </c>
      <c r="M2346" s="8">
        <f t="shared" si="2260"/>
        <v>2500</v>
      </c>
    </row>
    <row r="2347" spans="1:13" ht="15" customHeight="1" x14ac:dyDescent="0.25">
      <c r="A2347" s="24">
        <v>43024</v>
      </c>
      <c r="B2347" s="9" t="s">
        <v>43</v>
      </c>
      <c r="C2347" s="9">
        <v>100</v>
      </c>
      <c r="D2347" s="9" t="s">
        <v>10</v>
      </c>
      <c r="E2347" s="19">
        <v>3358</v>
      </c>
      <c r="F2347" s="19">
        <v>3378</v>
      </c>
      <c r="G2347" s="9">
        <v>0</v>
      </c>
      <c r="H2347" s="15">
        <v>0</v>
      </c>
      <c r="I2347" s="8">
        <f t="shared" si="2261"/>
        <v>2000</v>
      </c>
      <c r="J2347" s="8">
        <v>0</v>
      </c>
      <c r="K2347" s="2">
        <v>0</v>
      </c>
      <c r="L2347" s="8">
        <f t="shared" si="2258"/>
        <v>20</v>
      </c>
      <c r="M2347" s="8">
        <f t="shared" si="2260"/>
        <v>2000</v>
      </c>
    </row>
    <row r="2348" spans="1:13" ht="15" customHeight="1" x14ac:dyDescent="0.25">
      <c r="A2348" s="24">
        <v>43024</v>
      </c>
      <c r="B2348" s="9" t="s">
        <v>30</v>
      </c>
      <c r="C2348" s="9">
        <v>100</v>
      </c>
      <c r="D2348" s="9" t="s">
        <v>10</v>
      </c>
      <c r="E2348" s="19">
        <v>29907</v>
      </c>
      <c r="F2348" s="19">
        <v>29948</v>
      </c>
      <c r="G2348" s="9">
        <v>0</v>
      </c>
      <c r="H2348" s="15">
        <v>0</v>
      </c>
      <c r="I2348" s="8">
        <f t="shared" si="2261"/>
        <v>4100</v>
      </c>
      <c r="J2348" s="8">
        <v>0</v>
      </c>
      <c r="K2348" s="2">
        <v>0</v>
      </c>
      <c r="L2348" s="8">
        <f t="shared" si="2258"/>
        <v>41</v>
      </c>
      <c r="M2348" s="8">
        <f t="shared" si="2260"/>
        <v>4100</v>
      </c>
    </row>
    <row r="2349" spans="1:13" ht="15" customHeight="1" x14ac:dyDescent="0.25">
      <c r="A2349" s="24">
        <v>43024</v>
      </c>
      <c r="B2349" s="9" t="s">
        <v>29</v>
      </c>
      <c r="C2349" s="9">
        <v>1000</v>
      </c>
      <c r="D2349" s="9" t="s">
        <v>10</v>
      </c>
      <c r="E2349" s="19">
        <v>451.3</v>
      </c>
      <c r="F2349" s="19">
        <v>452.3</v>
      </c>
      <c r="G2349" s="9">
        <v>453.6</v>
      </c>
      <c r="H2349" s="15">
        <v>456</v>
      </c>
      <c r="I2349" s="8">
        <f t="shared" si="2261"/>
        <v>1000</v>
      </c>
      <c r="J2349" s="8">
        <f>(IF(D2349="SELL",IF(G2349="",0,F2349-G2349),IF(D2349="BUY",IF(G2349="",0,G2349-F2349))))*C2349</f>
        <v>1300.0000000000114</v>
      </c>
      <c r="K2349" s="2">
        <f>(IF(D2349="SELL",IF(H2349="",0,G2349-H2349),IF(D2349="BUY",IF(H2349="",0,(H2349-G2349)))))*C2349</f>
        <v>2399.9999999999773</v>
      </c>
      <c r="L2349" s="8">
        <f t="shared" si="2258"/>
        <v>4.6999999999999895</v>
      </c>
      <c r="M2349" s="8">
        <f t="shared" si="2260"/>
        <v>4699.9999999999891</v>
      </c>
    </row>
    <row r="2350" spans="1:13" ht="15" customHeight="1" x14ac:dyDescent="0.25">
      <c r="A2350" s="24">
        <v>43021</v>
      </c>
      <c r="B2350" s="9" t="s">
        <v>17</v>
      </c>
      <c r="C2350" s="9">
        <v>5000</v>
      </c>
      <c r="D2350" s="9" t="s">
        <v>10</v>
      </c>
      <c r="E2350" s="19">
        <v>215.3</v>
      </c>
      <c r="F2350" s="19">
        <v>214.3</v>
      </c>
      <c r="G2350" s="9">
        <v>0</v>
      </c>
      <c r="H2350" s="15">
        <v>0</v>
      </c>
      <c r="I2350" s="8">
        <f t="shared" si="2261"/>
        <v>-5000</v>
      </c>
      <c r="J2350" s="8">
        <v>0</v>
      </c>
      <c r="K2350" s="2">
        <v>0</v>
      </c>
      <c r="L2350" s="8">
        <f t="shared" si="2258"/>
        <v>-1</v>
      </c>
      <c r="M2350" s="8">
        <f t="shared" si="2260"/>
        <v>-5000</v>
      </c>
    </row>
    <row r="2351" spans="1:13" ht="15" customHeight="1" x14ac:dyDescent="0.25">
      <c r="A2351" s="24">
        <v>43021</v>
      </c>
      <c r="B2351" s="9" t="s">
        <v>42</v>
      </c>
      <c r="C2351" s="9">
        <v>100</v>
      </c>
      <c r="D2351" s="9" t="s">
        <v>10</v>
      </c>
      <c r="E2351" s="19">
        <v>3330</v>
      </c>
      <c r="F2351" s="19">
        <v>3347</v>
      </c>
      <c r="G2351" s="9">
        <v>0</v>
      </c>
      <c r="H2351" s="15">
        <v>0</v>
      </c>
      <c r="I2351" s="8">
        <f t="shared" si="2261"/>
        <v>1700</v>
      </c>
      <c r="J2351" s="8">
        <v>0</v>
      </c>
      <c r="K2351" s="2">
        <v>0</v>
      </c>
      <c r="L2351" s="8">
        <f t="shared" si="2258"/>
        <v>17</v>
      </c>
      <c r="M2351" s="8">
        <f t="shared" si="2260"/>
        <v>1700</v>
      </c>
    </row>
    <row r="2352" spans="1:13" ht="15" customHeight="1" x14ac:dyDescent="0.25">
      <c r="A2352" s="24">
        <v>43021</v>
      </c>
      <c r="B2352" s="9" t="s">
        <v>29</v>
      </c>
      <c r="C2352" s="9">
        <v>1000</v>
      </c>
      <c r="D2352" s="9" t="s">
        <v>10</v>
      </c>
      <c r="E2352" s="19">
        <v>448</v>
      </c>
      <c r="F2352" s="19">
        <v>449</v>
      </c>
      <c r="G2352" s="9">
        <v>450.5</v>
      </c>
      <c r="H2352" s="15">
        <v>0</v>
      </c>
      <c r="I2352" s="8">
        <f t="shared" si="2261"/>
        <v>1000</v>
      </c>
      <c r="J2352" s="8">
        <f>(IF(D2352="SELL",IF(G2352="",0,F2352-G2352),IF(D2352="BUY",IF(G2352="",0,G2352-F2352))))*C2352</f>
        <v>1500</v>
      </c>
      <c r="K2352" s="2">
        <v>0</v>
      </c>
      <c r="L2352" s="8">
        <f t="shared" si="2258"/>
        <v>2.5</v>
      </c>
      <c r="M2352" s="8">
        <f t="shared" si="2260"/>
        <v>2500</v>
      </c>
    </row>
    <row r="2353" spans="1:13" ht="15" customHeight="1" x14ac:dyDescent="0.25">
      <c r="A2353" s="24">
        <v>43021</v>
      </c>
      <c r="B2353" s="9" t="s">
        <v>31</v>
      </c>
      <c r="C2353" s="9">
        <v>250</v>
      </c>
      <c r="D2353" s="9" t="s">
        <v>10</v>
      </c>
      <c r="E2353" s="19">
        <v>739</v>
      </c>
      <c r="F2353" s="19">
        <v>743</v>
      </c>
      <c r="G2353" s="9">
        <v>0</v>
      </c>
      <c r="H2353" s="15">
        <v>0</v>
      </c>
      <c r="I2353" s="8">
        <f t="shared" si="2261"/>
        <v>1000</v>
      </c>
      <c r="J2353" s="8">
        <v>0</v>
      </c>
      <c r="K2353" s="2">
        <v>0</v>
      </c>
      <c r="L2353" s="8">
        <f t="shared" si="2258"/>
        <v>4</v>
      </c>
      <c r="M2353" s="8">
        <f t="shared" si="2260"/>
        <v>1000</v>
      </c>
    </row>
    <row r="2354" spans="1:13" ht="15" customHeight="1" x14ac:dyDescent="0.25">
      <c r="A2354" s="24">
        <v>43020</v>
      </c>
      <c r="B2354" s="9" t="s">
        <v>31</v>
      </c>
      <c r="C2354" s="9">
        <v>250</v>
      </c>
      <c r="D2354" s="9" t="s">
        <v>10</v>
      </c>
      <c r="E2354" s="19">
        <v>732.8</v>
      </c>
      <c r="F2354" s="19">
        <v>737</v>
      </c>
      <c r="G2354" s="9">
        <v>748</v>
      </c>
      <c r="H2354" s="15">
        <v>756</v>
      </c>
      <c r="I2354" s="8">
        <f t="shared" ref="I2354:I2362" si="2262">(IF(D2354="SELL",E2354-F2354,IF(D2354="BUY",F2354-E2354)))*C2354</f>
        <v>1050.0000000000114</v>
      </c>
      <c r="J2354" s="8">
        <f>(IF(D2354="SELL",IF(G2354="",0,F2354-G2354),IF(D2354="BUY",IF(G2354="",0,G2354-F2354))))*C2354</f>
        <v>2750</v>
      </c>
      <c r="K2354" s="2">
        <f>(IF(D2354="SELL",IF(H2354="",0,G2354-H2354),IF(D2354="BUY",IF(H2354="",0,(H2354-G2354)))))*C2354</f>
        <v>2000</v>
      </c>
      <c r="L2354" s="8">
        <f t="shared" ref="L2354:L2362" si="2263">(J2354+I2354+K2354)/C2354</f>
        <v>23.200000000000042</v>
      </c>
      <c r="M2354" s="8">
        <f t="shared" ref="M2354:M2362" si="2264">L2354*C2354</f>
        <v>5800.0000000000109</v>
      </c>
    </row>
    <row r="2355" spans="1:13" ht="15" customHeight="1" x14ac:dyDescent="0.25">
      <c r="A2355" s="24">
        <v>43020</v>
      </c>
      <c r="B2355" s="9" t="s">
        <v>16</v>
      </c>
      <c r="C2355" s="9">
        <v>100</v>
      </c>
      <c r="D2355" s="9" t="s">
        <v>11</v>
      </c>
      <c r="E2355" s="19">
        <v>3300</v>
      </c>
      <c r="F2355" s="19">
        <v>3282</v>
      </c>
      <c r="G2355" s="9">
        <v>0</v>
      </c>
      <c r="H2355" s="15">
        <v>0</v>
      </c>
      <c r="I2355" s="8">
        <f t="shared" si="2262"/>
        <v>1800</v>
      </c>
      <c r="J2355" s="8">
        <v>0</v>
      </c>
      <c r="K2355" s="2">
        <v>0</v>
      </c>
      <c r="L2355" s="8">
        <f t="shared" si="2263"/>
        <v>18</v>
      </c>
      <c r="M2355" s="8">
        <f t="shared" si="2264"/>
        <v>1800</v>
      </c>
    </row>
    <row r="2356" spans="1:13" ht="15" customHeight="1" x14ac:dyDescent="0.25">
      <c r="A2356" s="24">
        <v>43020</v>
      </c>
      <c r="B2356" s="9" t="s">
        <v>17</v>
      </c>
      <c r="C2356" s="9">
        <v>5000</v>
      </c>
      <c r="D2356" s="9" t="s">
        <v>11</v>
      </c>
      <c r="E2356" s="19">
        <v>211.65</v>
      </c>
      <c r="F2356" s="19">
        <v>213.1</v>
      </c>
      <c r="G2356" s="9">
        <v>0</v>
      </c>
      <c r="H2356" s="15">
        <v>0</v>
      </c>
      <c r="I2356" s="8">
        <f t="shared" si="2262"/>
        <v>-7249.9999999999436</v>
      </c>
      <c r="J2356" s="8">
        <v>0</v>
      </c>
      <c r="K2356" s="2">
        <v>0</v>
      </c>
      <c r="L2356" s="8">
        <f t="shared" si="2263"/>
        <v>-1.4499999999999886</v>
      </c>
      <c r="M2356" s="8">
        <f t="shared" si="2264"/>
        <v>-7249.9999999999436</v>
      </c>
    </row>
    <row r="2357" spans="1:13" ht="15" customHeight="1" x14ac:dyDescent="0.25">
      <c r="A2357" s="24">
        <v>43019</v>
      </c>
      <c r="B2357" s="9" t="s">
        <v>35</v>
      </c>
      <c r="C2357" s="9">
        <v>5000</v>
      </c>
      <c r="D2357" s="9" t="s">
        <v>11</v>
      </c>
      <c r="E2357" s="19">
        <v>164.2</v>
      </c>
      <c r="F2357" s="19">
        <v>163.6</v>
      </c>
      <c r="G2357" s="9">
        <v>0</v>
      </c>
      <c r="H2357" s="15">
        <v>0</v>
      </c>
      <c r="I2357" s="8">
        <f t="shared" si="2262"/>
        <v>2999.9999999999718</v>
      </c>
      <c r="J2357" s="8">
        <v>0</v>
      </c>
      <c r="K2357" s="2">
        <v>0</v>
      </c>
      <c r="L2357" s="8">
        <f t="shared" si="2263"/>
        <v>0.59999999999999432</v>
      </c>
      <c r="M2357" s="8">
        <f t="shared" si="2264"/>
        <v>2999.9999999999718</v>
      </c>
    </row>
    <row r="2358" spans="1:13" ht="15" customHeight="1" x14ac:dyDescent="0.25">
      <c r="A2358" s="24">
        <v>43019</v>
      </c>
      <c r="B2358" s="9" t="s">
        <v>17</v>
      </c>
      <c r="C2358" s="9">
        <v>5000</v>
      </c>
      <c r="D2358" s="9" t="s">
        <v>11</v>
      </c>
      <c r="E2358" s="19">
        <v>215</v>
      </c>
      <c r="F2358" s="19">
        <v>214.5</v>
      </c>
      <c r="G2358" s="9">
        <v>213.9</v>
      </c>
      <c r="H2358" s="15">
        <v>0</v>
      </c>
      <c r="I2358" s="8">
        <f t="shared" si="2262"/>
        <v>2500</v>
      </c>
      <c r="J2358" s="8">
        <f>(IF(D2358="SELL",IF(G2358="",0,F2358-G2358),IF(D2358="BUY",IF(G2358="",0,G2358-F2358))))*C2358</f>
        <v>2999.9999999999718</v>
      </c>
      <c r="K2358" s="2">
        <v>0</v>
      </c>
      <c r="L2358" s="8">
        <f t="shared" si="2263"/>
        <v>1.0999999999999943</v>
      </c>
      <c r="M2358" s="8">
        <f t="shared" si="2264"/>
        <v>5499.9999999999718</v>
      </c>
    </row>
    <row r="2359" spans="1:13" ht="15" customHeight="1" x14ac:dyDescent="0.25">
      <c r="A2359" s="24">
        <v>43018</v>
      </c>
      <c r="B2359" s="9" t="s">
        <v>36</v>
      </c>
      <c r="C2359" s="9">
        <v>100</v>
      </c>
      <c r="D2359" s="9" t="s">
        <v>10</v>
      </c>
      <c r="E2359" s="19">
        <v>3272</v>
      </c>
      <c r="F2359" s="19">
        <v>3289</v>
      </c>
      <c r="G2359" s="9">
        <v>3319</v>
      </c>
      <c r="H2359" s="15">
        <v>0</v>
      </c>
      <c r="I2359" s="8">
        <f t="shared" si="2262"/>
        <v>1700</v>
      </c>
      <c r="J2359" s="8">
        <f>(IF(D2359="SELL",IF(G2359="",0,F2359-G2359),IF(D2359="BUY",IF(G2359="",0,G2359-F2359))))*C2359</f>
        <v>3000</v>
      </c>
      <c r="K2359" s="2">
        <v>0</v>
      </c>
      <c r="L2359" s="8">
        <f t="shared" si="2263"/>
        <v>47</v>
      </c>
      <c r="M2359" s="8">
        <f t="shared" si="2264"/>
        <v>4700</v>
      </c>
    </row>
    <row r="2360" spans="1:13" ht="15" customHeight="1" x14ac:dyDescent="0.25">
      <c r="A2360" s="24">
        <v>43018</v>
      </c>
      <c r="B2360" s="9" t="s">
        <v>29</v>
      </c>
      <c r="C2360" s="9">
        <v>1000</v>
      </c>
      <c r="D2360" s="9" t="s">
        <v>10</v>
      </c>
      <c r="E2360" s="19">
        <v>440.6</v>
      </c>
      <c r="F2360" s="19">
        <v>441.6</v>
      </c>
      <c r="G2360" s="9">
        <v>443</v>
      </c>
      <c r="H2360" s="15">
        <v>0</v>
      </c>
      <c r="I2360" s="8">
        <f t="shared" si="2262"/>
        <v>1000</v>
      </c>
      <c r="J2360" s="8">
        <f>(IF(D2360="SELL",IF(G2360="",0,F2360-G2360),IF(D2360="BUY",IF(G2360="",0,G2360-F2360))))*C2360</f>
        <v>1399.9999999999773</v>
      </c>
      <c r="K2360" s="2">
        <v>0</v>
      </c>
      <c r="L2360" s="8">
        <f t="shared" si="2263"/>
        <v>2.3999999999999773</v>
      </c>
      <c r="M2360" s="8">
        <f t="shared" si="2264"/>
        <v>2399.9999999999773</v>
      </c>
    </row>
    <row r="2361" spans="1:13" ht="15" customHeight="1" x14ac:dyDescent="0.25">
      <c r="A2361" s="24">
        <v>43018</v>
      </c>
      <c r="B2361" s="9" t="s">
        <v>41</v>
      </c>
      <c r="C2361" s="9">
        <v>100</v>
      </c>
      <c r="D2361" s="9" t="s">
        <v>10</v>
      </c>
      <c r="E2361" s="19">
        <v>29780</v>
      </c>
      <c r="F2361" s="19">
        <v>29830</v>
      </c>
      <c r="G2361" s="9">
        <v>0</v>
      </c>
      <c r="H2361" s="15">
        <v>0</v>
      </c>
      <c r="I2361" s="8">
        <f t="shared" si="2262"/>
        <v>5000</v>
      </c>
      <c r="J2361" s="8">
        <v>0</v>
      </c>
      <c r="K2361" s="2">
        <v>0</v>
      </c>
      <c r="L2361" s="8">
        <f t="shared" si="2263"/>
        <v>50</v>
      </c>
      <c r="M2361" s="8">
        <f t="shared" si="2264"/>
        <v>5000</v>
      </c>
    </row>
    <row r="2362" spans="1:13" ht="15" customHeight="1" x14ac:dyDescent="0.25">
      <c r="A2362" s="24">
        <v>43018</v>
      </c>
      <c r="B2362" s="9" t="s">
        <v>40</v>
      </c>
      <c r="C2362" s="9">
        <v>30</v>
      </c>
      <c r="D2362" s="9" t="s">
        <v>10</v>
      </c>
      <c r="E2362" s="19">
        <v>40090</v>
      </c>
      <c r="F2362" s="19">
        <v>40200</v>
      </c>
      <c r="G2362" s="9">
        <v>40390</v>
      </c>
      <c r="H2362" s="15">
        <v>0</v>
      </c>
      <c r="I2362" s="8">
        <f t="shared" si="2262"/>
        <v>3300</v>
      </c>
      <c r="J2362" s="8">
        <f>(IF(D2362="SELL",IF(G2362="",0,F2362-G2362),IF(D2362="BUY",IF(G2362="",0,G2362-F2362))))*C2362</f>
        <v>5700</v>
      </c>
      <c r="K2362" s="2">
        <v>0</v>
      </c>
      <c r="L2362" s="8">
        <f t="shared" si="2263"/>
        <v>300</v>
      </c>
      <c r="M2362" s="8">
        <f t="shared" si="2264"/>
        <v>9000</v>
      </c>
    </row>
    <row r="2363" spans="1:13" ht="15" customHeight="1" x14ac:dyDescent="0.25">
      <c r="A2363" s="24">
        <v>43018</v>
      </c>
      <c r="B2363" s="9" t="s">
        <v>39</v>
      </c>
      <c r="C2363" s="9">
        <v>5000</v>
      </c>
      <c r="D2363" s="9" t="s">
        <v>11</v>
      </c>
      <c r="E2363" s="19">
        <v>213.5</v>
      </c>
      <c r="F2363" s="19">
        <v>213</v>
      </c>
      <c r="G2363" s="9">
        <v>212.3</v>
      </c>
      <c r="H2363" s="15">
        <v>0</v>
      </c>
      <c r="I2363" s="8">
        <f t="shared" ref="I2363:I2378" si="2265">(IF(D2363="SELL",E2363-F2363,IF(D2363="BUY",F2363-E2363)))*C2363</f>
        <v>2500</v>
      </c>
      <c r="J2363" s="8">
        <f>(IF(D2363="SELL",IF(G2363="",0,F2363-G2363),IF(D2363="BUY",IF(G2363="",0,G2363-F2363))))*C2363</f>
        <v>3499.9999999999432</v>
      </c>
      <c r="K2363" s="2">
        <v>0</v>
      </c>
      <c r="L2363" s="8">
        <f t="shared" ref="L2363:L2394" si="2266">(J2363+I2363+K2363)/C2363</f>
        <v>1.1999999999999886</v>
      </c>
      <c r="M2363" s="8">
        <f t="shared" ref="M2363:M2394" si="2267">L2363*C2363</f>
        <v>5999.9999999999436</v>
      </c>
    </row>
    <row r="2364" spans="1:13" ht="15" customHeight="1" x14ac:dyDescent="0.25">
      <c r="A2364" s="24">
        <v>43017</v>
      </c>
      <c r="B2364" s="9" t="s">
        <v>35</v>
      </c>
      <c r="C2364" s="9">
        <v>5000</v>
      </c>
      <c r="D2364" s="9" t="s">
        <v>10</v>
      </c>
      <c r="E2364" s="19">
        <v>164.8</v>
      </c>
      <c r="F2364" s="19">
        <v>163.19999999999999</v>
      </c>
      <c r="G2364" s="9">
        <v>0</v>
      </c>
      <c r="H2364" s="15">
        <v>0</v>
      </c>
      <c r="I2364" s="8">
        <f t="shared" si="2265"/>
        <v>-8000.0000000001137</v>
      </c>
      <c r="J2364" s="8">
        <v>0</v>
      </c>
      <c r="K2364" s="2">
        <v>0</v>
      </c>
      <c r="L2364" s="8">
        <f t="shared" si="2266"/>
        <v>-1.6000000000000227</v>
      </c>
      <c r="M2364" s="8">
        <f t="shared" si="2267"/>
        <v>-8000.0000000001137</v>
      </c>
    </row>
    <row r="2365" spans="1:13" ht="15" customHeight="1" x14ac:dyDescent="0.25">
      <c r="A2365" s="24">
        <v>43017</v>
      </c>
      <c r="B2365" s="9" t="s">
        <v>17</v>
      </c>
      <c r="C2365" s="9">
        <v>5000</v>
      </c>
      <c r="D2365" s="9" t="s">
        <v>10</v>
      </c>
      <c r="E2365" s="19">
        <v>215</v>
      </c>
      <c r="F2365" s="19">
        <v>215.5</v>
      </c>
      <c r="G2365" s="9">
        <v>0</v>
      </c>
      <c r="H2365" s="15">
        <v>0</v>
      </c>
      <c r="I2365" s="8">
        <f t="shared" si="2265"/>
        <v>2500</v>
      </c>
      <c r="J2365" s="8">
        <v>0</v>
      </c>
      <c r="K2365" s="2">
        <v>0</v>
      </c>
      <c r="L2365" s="8">
        <f t="shared" si="2266"/>
        <v>0.5</v>
      </c>
      <c r="M2365" s="8">
        <f t="shared" si="2267"/>
        <v>2500</v>
      </c>
    </row>
    <row r="2366" spans="1:13" ht="15" customHeight="1" x14ac:dyDescent="0.25">
      <c r="A2366" s="24">
        <v>43017</v>
      </c>
      <c r="B2366" s="9" t="s">
        <v>30</v>
      </c>
      <c r="C2366" s="9">
        <v>100</v>
      </c>
      <c r="D2366" s="9" t="s">
        <v>10</v>
      </c>
      <c r="E2366" s="19">
        <v>29698</v>
      </c>
      <c r="F2366" s="19">
        <v>29740</v>
      </c>
      <c r="G2366" s="9">
        <v>0</v>
      </c>
      <c r="H2366" s="15">
        <v>0</v>
      </c>
      <c r="I2366" s="8">
        <f t="shared" si="2265"/>
        <v>4200</v>
      </c>
      <c r="J2366" s="8">
        <v>0</v>
      </c>
      <c r="K2366" s="2">
        <v>0</v>
      </c>
      <c r="L2366" s="8">
        <f t="shared" si="2266"/>
        <v>42</v>
      </c>
      <c r="M2366" s="8">
        <f t="shared" si="2267"/>
        <v>4200</v>
      </c>
    </row>
    <row r="2367" spans="1:13" ht="15" customHeight="1" x14ac:dyDescent="0.25">
      <c r="A2367" s="24">
        <v>43017</v>
      </c>
      <c r="B2367" s="9" t="s">
        <v>31</v>
      </c>
      <c r="C2367" s="9">
        <v>250</v>
      </c>
      <c r="D2367" s="9" t="s">
        <v>10</v>
      </c>
      <c r="E2367" s="19">
        <v>698.1</v>
      </c>
      <c r="F2367" s="19">
        <v>703</v>
      </c>
      <c r="G2367" s="9">
        <v>708</v>
      </c>
      <c r="H2367" s="15">
        <v>0</v>
      </c>
      <c r="I2367" s="8">
        <f t="shared" si="2265"/>
        <v>1224.9999999999943</v>
      </c>
      <c r="J2367" s="8">
        <f>(IF(D2367="SELL",IF(G2367="",0,F2367-G2367),IF(D2367="BUY",IF(G2367="",0,G2367-F2367))))*C2367</f>
        <v>1250</v>
      </c>
      <c r="K2367" s="2">
        <v>0</v>
      </c>
      <c r="L2367" s="8">
        <f t="shared" si="2266"/>
        <v>9.899999999999979</v>
      </c>
      <c r="M2367" s="8">
        <f t="shared" si="2267"/>
        <v>2474.9999999999945</v>
      </c>
    </row>
    <row r="2368" spans="1:13" ht="15" customHeight="1" x14ac:dyDescent="0.25">
      <c r="A2368" s="24">
        <v>43014</v>
      </c>
      <c r="B2368" s="9" t="s">
        <v>17</v>
      </c>
      <c r="C2368" s="9">
        <v>5000</v>
      </c>
      <c r="D2368" s="9" t="s">
        <v>11</v>
      </c>
      <c r="E2368" s="19">
        <v>216.25</v>
      </c>
      <c r="F2368" s="19">
        <v>215.75</v>
      </c>
      <c r="G2368" s="9">
        <v>0</v>
      </c>
      <c r="H2368" s="15">
        <v>0</v>
      </c>
      <c r="I2368" s="8">
        <f t="shared" si="2265"/>
        <v>2500</v>
      </c>
      <c r="J2368" s="8">
        <v>0</v>
      </c>
      <c r="K2368" s="2">
        <v>0</v>
      </c>
      <c r="L2368" s="8">
        <f t="shared" si="2266"/>
        <v>0.5</v>
      </c>
      <c r="M2368" s="8">
        <f t="shared" si="2267"/>
        <v>2500</v>
      </c>
    </row>
    <row r="2369" spans="1:13" ht="15" customHeight="1" x14ac:dyDescent="0.25">
      <c r="A2369" s="24">
        <v>43014</v>
      </c>
      <c r="B2369" s="9" t="s">
        <v>38</v>
      </c>
      <c r="C2369" s="9">
        <v>100</v>
      </c>
      <c r="D2369" s="9" t="s">
        <v>11</v>
      </c>
      <c r="E2369" s="19">
        <v>3315</v>
      </c>
      <c r="F2369" s="19">
        <v>3295</v>
      </c>
      <c r="G2369" s="9">
        <v>3280</v>
      </c>
      <c r="H2369" s="15">
        <v>3260</v>
      </c>
      <c r="I2369" s="8">
        <f t="shared" si="2265"/>
        <v>2000</v>
      </c>
      <c r="J2369" s="8">
        <f>(IF(D2369="SELL",IF(G2369="",0,F2369-G2369),IF(D2369="BUY",IF(G2369="",0,G2369-F2369))))*C2369</f>
        <v>1500</v>
      </c>
      <c r="K2369" s="2">
        <f>(IF(D2369="SELL",IF(H2369="",0,G2369-H2369),IF(D2369="BUY",IF(H2369="",0,(H2369-G2369)))))*C2369</f>
        <v>2000</v>
      </c>
      <c r="L2369" s="8">
        <f t="shared" si="2266"/>
        <v>55</v>
      </c>
      <c r="M2369" s="8">
        <f t="shared" si="2267"/>
        <v>5500</v>
      </c>
    </row>
    <row r="2370" spans="1:13" ht="15" customHeight="1" x14ac:dyDescent="0.25">
      <c r="A2370" s="24">
        <v>43014</v>
      </c>
      <c r="B2370" s="9" t="s">
        <v>37</v>
      </c>
      <c r="C2370" s="9">
        <v>5000</v>
      </c>
      <c r="D2370" s="9" t="s">
        <v>11</v>
      </c>
      <c r="E2370" s="19">
        <v>140.5</v>
      </c>
      <c r="F2370" s="19">
        <v>140</v>
      </c>
      <c r="G2370" s="9">
        <v>0</v>
      </c>
      <c r="H2370" s="15">
        <v>0</v>
      </c>
      <c r="I2370" s="8">
        <f t="shared" si="2265"/>
        <v>2500</v>
      </c>
      <c r="J2370" s="8">
        <v>0</v>
      </c>
      <c r="K2370" s="2">
        <v>0</v>
      </c>
      <c r="L2370" s="8">
        <f t="shared" si="2266"/>
        <v>0.5</v>
      </c>
      <c r="M2370" s="8">
        <f t="shared" si="2267"/>
        <v>2500</v>
      </c>
    </row>
    <row r="2371" spans="1:13" ht="15" customHeight="1" x14ac:dyDescent="0.25">
      <c r="A2371" s="24">
        <v>43013</v>
      </c>
      <c r="B2371" s="9" t="s">
        <v>30</v>
      </c>
      <c r="C2371" s="9">
        <v>100</v>
      </c>
      <c r="D2371" s="9" t="s">
        <v>10</v>
      </c>
      <c r="E2371" s="19">
        <v>29465</v>
      </c>
      <c r="F2371" s="19">
        <v>29405</v>
      </c>
      <c r="G2371" s="9">
        <v>0</v>
      </c>
      <c r="H2371" s="15">
        <v>0</v>
      </c>
      <c r="I2371" s="8">
        <f t="shared" si="2265"/>
        <v>-6000</v>
      </c>
      <c r="J2371" s="8">
        <v>0</v>
      </c>
      <c r="K2371" s="2">
        <v>0</v>
      </c>
      <c r="L2371" s="8">
        <f t="shared" si="2266"/>
        <v>-60</v>
      </c>
      <c r="M2371" s="8">
        <f t="shared" si="2267"/>
        <v>-6000</v>
      </c>
    </row>
    <row r="2372" spans="1:13" ht="15" customHeight="1" x14ac:dyDescent="0.25">
      <c r="A2372" s="24">
        <v>43013</v>
      </c>
      <c r="B2372" s="9" t="s">
        <v>31</v>
      </c>
      <c r="C2372" s="9">
        <v>250</v>
      </c>
      <c r="D2372" s="9" t="s">
        <v>10</v>
      </c>
      <c r="E2372" s="19">
        <v>692</v>
      </c>
      <c r="F2372" s="19">
        <v>696</v>
      </c>
      <c r="G2372" s="9">
        <v>0</v>
      </c>
      <c r="H2372" s="15">
        <v>0</v>
      </c>
      <c r="I2372" s="8">
        <f t="shared" si="2265"/>
        <v>1000</v>
      </c>
      <c r="J2372" s="8">
        <v>0</v>
      </c>
      <c r="K2372" s="2">
        <v>0</v>
      </c>
      <c r="L2372" s="8">
        <f t="shared" si="2266"/>
        <v>4</v>
      </c>
      <c r="M2372" s="8">
        <f t="shared" si="2267"/>
        <v>1000</v>
      </c>
    </row>
    <row r="2373" spans="1:13" ht="15" customHeight="1" x14ac:dyDescent="0.25">
      <c r="A2373" s="24">
        <v>43013</v>
      </c>
      <c r="B2373" s="9" t="s">
        <v>35</v>
      </c>
      <c r="C2373" s="9">
        <v>5000</v>
      </c>
      <c r="D2373" s="9" t="s">
        <v>10</v>
      </c>
      <c r="E2373" s="19">
        <v>166.2</v>
      </c>
      <c r="F2373" s="19">
        <v>166.7</v>
      </c>
      <c r="G2373" s="9">
        <v>0</v>
      </c>
      <c r="H2373" s="15">
        <v>0</v>
      </c>
      <c r="I2373" s="8">
        <f t="shared" si="2265"/>
        <v>2500</v>
      </c>
      <c r="J2373" s="8">
        <v>0</v>
      </c>
      <c r="K2373" s="2">
        <v>0</v>
      </c>
      <c r="L2373" s="8">
        <f t="shared" si="2266"/>
        <v>0.5</v>
      </c>
      <c r="M2373" s="8">
        <f t="shared" si="2267"/>
        <v>2500</v>
      </c>
    </row>
    <row r="2374" spans="1:13" ht="15" customHeight="1" x14ac:dyDescent="0.25">
      <c r="A2374" s="24">
        <v>43013</v>
      </c>
      <c r="B2374" s="9" t="s">
        <v>29</v>
      </c>
      <c r="C2374" s="9">
        <v>1000</v>
      </c>
      <c r="D2374" s="9" t="s">
        <v>10</v>
      </c>
      <c r="E2374" s="19">
        <v>428.5</v>
      </c>
      <c r="F2374" s="19">
        <v>429.9</v>
      </c>
      <c r="G2374" s="9">
        <v>0</v>
      </c>
      <c r="H2374" s="15">
        <v>0</v>
      </c>
      <c r="I2374" s="8">
        <f t="shared" si="2265"/>
        <v>1399.9999999999773</v>
      </c>
      <c r="J2374" s="8">
        <v>0</v>
      </c>
      <c r="K2374" s="2">
        <v>0</v>
      </c>
      <c r="L2374" s="8">
        <f t="shared" si="2266"/>
        <v>1.3999999999999773</v>
      </c>
      <c r="M2374" s="8">
        <f t="shared" si="2267"/>
        <v>1399.9999999999773</v>
      </c>
    </row>
    <row r="2375" spans="1:13" ht="15" customHeight="1" x14ac:dyDescent="0.25">
      <c r="A2375" s="24">
        <v>43012</v>
      </c>
      <c r="B2375" s="9" t="s">
        <v>17</v>
      </c>
      <c r="C2375" s="9">
        <v>5000</v>
      </c>
      <c r="D2375" s="9" t="s">
        <v>10</v>
      </c>
      <c r="E2375" s="19">
        <v>216.4</v>
      </c>
      <c r="F2375" s="19">
        <v>215.5</v>
      </c>
      <c r="G2375" s="9">
        <v>0</v>
      </c>
      <c r="H2375" s="15">
        <v>0</v>
      </c>
      <c r="I2375" s="8">
        <f t="shared" si="2265"/>
        <v>-4500.0000000000282</v>
      </c>
      <c r="J2375" s="8">
        <v>0</v>
      </c>
      <c r="K2375" s="2">
        <v>0</v>
      </c>
      <c r="L2375" s="8">
        <f t="shared" si="2266"/>
        <v>-0.90000000000000568</v>
      </c>
      <c r="M2375" s="8">
        <f t="shared" si="2267"/>
        <v>-4500.0000000000282</v>
      </c>
    </row>
    <row r="2376" spans="1:13" ht="15" customHeight="1" x14ac:dyDescent="0.25">
      <c r="A2376" s="24">
        <v>43012</v>
      </c>
      <c r="B2376" s="9" t="s">
        <v>35</v>
      </c>
      <c r="C2376" s="9">
        <v>5000</v>
      </c>
      <c r="D2376" s="9" t="s">
        <v>10</v>
      </c>
      <c r="E2376" s="19">
        <v>170.8</v>
      </c>
      <c r="F2376" s="19">
        <v>170.1</v>
      </c>
      <c r="G2376" s="9">
        <v>0</v>
      </c>
      <c r="H2376" s="15">
        <v>0</v>
      </c>
      <c r="I2376" s="8">
        <f t="shared" si="2265"/>
        <v>-3500.0000000000855</v>
      </c>
      <c r="J2376" s="8">
        <v>0</v>
      </c>
      <c r="K2376" s="2">
        <v>0</v>
      </c>
      <c r="L2376" s="8">
        <f t="shared" si="2266"/>
        <v>-0.70000000000001705</v>
      </c>
      <c r="M2376" s="8">
        <f t="shared" si="2267"/>
        <v>-3500.0000000000855</v>
      </c>
    </row>
    <row r="2377" spans="1:13" ht="15" customHeight="1" x14ac:dyDescent="0.25">
      <c r="A2377" s="24">
        <v>43011</v>
      </c>
      <c r="B2377" s="9" t="s">
        <v>31</v>
      </c>
      <c r="C2377" s="9">
        <v>250</v>
      </c>
      <c r="D2377" s="9" t="s">
        <v>10</v>
      </c>
      <c r="E2377" s="19">
        <v>690</v>
      </c>
      <c r="F2377" s="19">
        <v>694.5</v>
      </c>
      <c r="G2377" s="9">
        <v>699</v>
      </c>
      <c r="H2377" s="15">
        <v>705</v>
      </c>
      <c r="I2377" s="8">
        <f t="shared" si="2265"/>
        <v>1125</v>
      </c>
      <c r="J2377" s="8">
        <f>(IF(D2377="SELL",IF(G2377="",0,F2377-G2377),IF(D2377="BUY",IF(G2377="",0,G2377-F2377))))*C2377</f>
        <v>1125</v>
      </c>
      <c r="K2377" s="2">
        <f>(IF(D2377="SELL",IF(H2377="",0,G2377-H2377),IF(D2377="BUY",IF(H2377="",0,(H2377-G2377)))))*C2377</f>
        <v>1500</v>
      </c>
      <c r="L2377" s="8">
        <f t="shared" si="2266"/>
        <v>15</v>
      </c>
      <c r="M2377" s="8">
        <f t="shared" si="2267"/>
        <v>3750</v>
      </c>
    </row>
    <row r="2378" spans="1:13" ht="15" customHeight="1" x14ac:dyDescent="0.25">
      <c r="A2378" s="24">
        <v>43011</v>
      </c>
      <c r="B2378" s="9" t="s">
        <v>29</v>
      </c>
      <c r="C2378" s="9">
        <v>1000</v>
      </c>
      <c r="D2378" s="9" t="s">
        <v>10</v>
      </c>
      <c r="E2378" s="19">
        <v>427</v>
      </c>
      <c r="F2378" s="19">
        <v>428.4</v>
      </c>
      <c r="G2378" s="9">
        <v>430</v>
      </c>
      <c r="H2378" s="15">
        <v>0</v>
      </c>
      <c r="I2378" s="8">
        <f t="shared" si="2265"/>
        <v>1399.9999999999773</v>
      </c>
      <c r="J2378" s="8">
        <f>(IF(D2378="SELL",IF(G2378="",0,F2378-G2378),IF(D2378="BUY",IF(G2378="",0,G2378-F2378))))*C2378</f>
        <v>1600.0000000000227</v>
      </c>
      <c r="K2378" s="2">
        <v>0</v>
      </c>
      <c r="L2378" s="8">
        <f t="shared" si="2266"/>
        <v>3</v>
      </c>
      <c r="M2378" s="8">
        <f t="shared" si="2267"/>
        <v>3000</v>
      </c>
    </row>
    <row r="2379" spans="1:13" ht="15" customHeight="1" x14ac:dyDescent="0.25">
      <c r="A2379" s="24">
        <v>43006</v>
      </c>
      <c r="B2379" s="9" t="s">
        <v>36</v>
      </c>
      <c r="C2379" s="9">
        <v>5000</v>
      </c>
      <c r="D2379" s="9" t="s">
        <v>10</v>
      </c>
      <c r="E2379" s="19">
        <v>3474</v>
      </c>
      <c r="F2379" s="19">
        <v>0</v>
      </c>
      <c r="G2379" s="9">
        <v>0</v>
      </c>
      <c r="H2379" s="15">
        <v>0</v>
      </c>
      <c r="I2379" s="8">
        <v>0</v>
      </c>
      <c r="J2379" s="8">
        <v>0</v>
      </c>
      <c r="K2379" s="2">
        <v>0</v>
      </c>
      <c r="L2379" s="8">
        <f t="shared" si="2266"/>
        <v>0</v>
      </c>
      <c r="M2379" s="8">
        <f t="shared" si="2267"/>
        <v>0</v>
      </c>
    </row>
    <row r="2380" spans="1:13" ht="15" customHeight="1" x14ac:dyDescent="0.25">
      <c r="A2380" s="24">
        <v>43003</v>
      </c>
      <c r="B2380" s="9" t="s">
        <v>17</v>
      </c>
      <c r="C2380" s="9">
        <v>5000</v>
      </c>
      <c r="D2380" s="9" t="s">
        <v>10</v>
      </c>
      <c r="E2380" s="19">
        <v>202.2</v>
      </c>
      <c r="F2380" s="19">
        <v>202.7</v>
      </c>
      <c r="G2380" s="9">
        <v>0</v>
      </c>
      <c r="H2380" s="15">
        <v>0</v>
      </c>
      <c r="I2380" s="8">
        <f t="shared" ref="I2380:I2423" si="2268">(IF(D2380="SELL",E2380-F2380,IF(D2380="BUY",F2380-E2380)))*C2380</f>
        <v>2500</v>
      </c>
      <c r="J2380" s="8">
        <v>0</v>
      </c>
      <c r="K2380" s="2">
        <v>0</v>
      </c>
      <c r="L2380" s="8">
        <f t="shared" si="2266"/>
        <v>0.5</v>
      </c>
      <c r="M2380" s="8">
        <f t="shared" si="2267"/>
        <v>2500</v>
      </c>
    </row>
    <row r="2381" spans="1:13" ht="15" customHeight="1" x14ac:dyDescent="0.25">
      <c r="A2381" s="24">
        <v>43000</v>
      </c>
      <c r="B2381" s="9" t="s">
        <v>29</v>
      </c>
      <c r="C2381" s="9">
        <v>1000</v>
      </c>
      <c r="D2381" s="9" t="s">
        <v>11</v>
      </c>
      <c r="E2381" s="19">
        <v>419.5</v>
      </c>
      <c r="F2381" s="19">
        <v>418.5</v>
      </c>
      <c r="G2381" s="9">
        <v>417.4</v>
      </c>
      <c r="H2381" s="15">
        <v>0</v>
      </c>
      <c r="I2381" s="8">
        <f t="shared" si="2268"/>
        <v>1000</v>
      </c>
      <c r="J2381" s="8">
        <f>(IF(D2381="SELL",IF(G2381="",0,F2381-G2381),IF(D2381="BUY",IF(G2381="",0,G2381-F2381))))*C2381</f>
        <v>1100.0000000000227</v>
      </c>
      <c r="K2381" s="2">
        <v>0</v>
      </c>
      <c r="L2381" s="8">
        <f t="shared" si="2266"/>
        <v>2.1000000000000227</v>
      </c>
      <c r="M2381" s="8">
        <f t="shared" si="2267"/>
        <v>2100.0000000000227</v>
      </c>
    </row>
    <row r="2382" spans="1:13" ht="15" customHeight="1" x14ac:dyDescent="0.25">
      <c r="A2382" s="24">
        <v>43000</v>
      </c>
      <c r="B2382" s="9" t="s">
        <v>31</v>
      </c>
      <c r="C2382" s="9">
        <v>250</v>
      </c>
      <c r="D2382" s="9" t="s">
        <v>11</v>
      </c>
      <c r="E2382" s="19">
        <v>688</v>
      </c>
      <c r="F2382" s="19">
        <v>684</v>
      </c>
      <c r="G2382" s="9">
        <v>679</v>
      </c>
      <c r="H2382" s="15">
        <v>0</v>
      </c>
      <c r="I2382" s="8">
        <f t="shared" si="2268"/>
        <v>1000</v>
      </c>
      <c r="J2382" s="8">
        <f>(IF(D2382="SELL",IF(G2382="",0,F2382-G2382),IF(D2382="BUY",IF(G2382="",0,G2382-F2382))))*C2382</f>
        <v>1250</v>
      </c>
      <c r="K2382" s="2">
        <v>0</v>
      </c>
      <c r="L2382" s="8">
        <f t="shared" si="2266"/>
        <v>9</v>
      </c>
      <c r="M2382" s="8">
        <f t="shared" si="2267"/>
        <v>2250</v>
      </c>
    </row>
    <row r="2383" spans="1:13" ht="15" customHeight="1" x14ac:dyDescent="0.25">
      <c r="A2383" s="24">
        <v>43000</v>
      </c>
      <c r="B2383" s="9" t="s">
        <v>30</v>
      </c>
      <c r="C2383" s="9">
        <v>100</v>
      </c>
      <c r="D2383" s="9" t="s">
        <v>10</v>
      </c>
      <c r="E2383" s="19">
        <v>29700</v>
      </c>
      <c r="F2383" s="19">
        <v>29740</v>
      </c>
      <c r="G2383" s="9">
        <v>0</v>
      </c>
      <c r="H2383" s="15">
        <v>0</v>
      </c>
      <c r="I2383" s="8">
        <f t="shared" si="2268"/>
        <v>4000</v>
      </c>
      <c r="J2383" s="8">
        <v>0</v>
      </c>
      <c r="K2383" s="2">
        <v>0</v>
      </c>
      <c r="L2383" s="8">
        <f t="shared" si="2266"/>
        <v>40</v>
      </c>
      <c r="M2383" s="8">
        <f t="shared" si="2267"/>
        <v>4000</v>
      </c>
    </row>
    <row r="2384" spans="1:13" ht="15" customHeight="1" x14ac:dyDescent="0.25">
      <c r="A2384" s="24">
        <v>42999</v>
      </c>
      <c r="B2384" s="9" t="s">
        <v>35</v>
      </c>
      <c r="C2384" s="9">
        <v>5000</v>
      </c>
      <c r="D2384" s="9" t="s">
        <v>10</v>
      </c>
      <c r="E2384" s="19">
        <v>158.1</v>
      </c>
      <c r="F2384" s="19">
        <v>158.6</v>
      </c>
      <c r="G2384" s="9">
        <v>159.19999999999999</v>
      </c>
      <c r="H2384" s="15">
        <v>160.1</v>
      </c>
      <c r="I2384" s="8">
        <f t="shared" si="2268"/>
        <v>2500</v>
      </c>
      <c r="J2384" s="8">
        <f>(IF(D2384="SELL",IF(G2384="",0,F2384-G2384),IF(D2384="BUY",IF(G2384="",0,G2384-F2384))))*C2384</f>
        <v>2999.9999999999718</v>
      </c>
      <c r="K2384" s="2">
        <f>(IF(D2384="SELL",IF(H2384="",0,G2384-H2384),IF(D2384="BUY",IF(H2384="",0,(H2384-G2384)))))*C2384</f>
        <v>4500.0000000000282</v>
      </c>
      <c r="L2384" s="8">
        <f t="shared" si="2266"/>
        <v>2</v>
      </c>
      <c r="M2384" s="8">
        <f t="shared" si="2267"/>
        <v>10000</v>
      </c>
    </row>
    <row r="2385" spans="1:13" ht="15" customHeight="1" x14ac:dyDescent="0.25">
      <c r="A2385" s="24">
        <v>42999</v>
      </c>
      <c r="B2385" s="9" t="s">
        <v>29</v>
      </c>
      <c r="C2385" s="9">
        <v>1000</v>
      </c>
      <c r="D2385" s="9" t="s">
        <v>11</v>
      </c>
      <c r="E2385" s="19">
        <v>420</v>
      </c>
      <c r="F2385" s="19">
        <v>419</v>
      </c>
      <c r="G2385" s="9">
        <v>0</v>
      </c>
      <c r="H2385" s="15">
        <v>0</v>
      </c>
      <c r="I2385" s="8">
        <f t="shared" si="2268"/>
        <v>1000</v>
      </c>
      <c r="J2385" s="8">
        <v>0</v>
      </c>
      <c r="K2385" s="2">
        <v>0</v>
      </c>
      <c r="L2385" s="8">
        <f t="shared" si="2266"/>
        <v>1</v>
      </c>
      <c r="M2385" s="8">
        <f t="shared" si="2267"/>
        <v>1000</v>
      </c>
    </row>
    <row r="2386" spans="1:13" ht="15" customHeight="1" x14ac:dyDescent="0.25">
      <c r="A2386" s="24">
        <v>42999</v>
      </c>
      <c r="B2386" s="9" t="s">
        <v>17</v>
      </c>
      <c r="C2386" s="9">
        <v>5000</v>
      </c>
      <c r="D2386" s="9" t="s">
        <v>11</v>
      </c>
      <c r="E2386" s="19">
        <v>199.8</v>
      </c>
      <c r="F2386" s="19">
        <v>199.2</v>
      </c>
      <c r="G2386" s="9">
        <v>198.55</v>
      </c>
      <c r="H2386" s="15">
        <v>0</v>
      </c>
      <c r="I2386" s="8">
        <f t="shared" si="2268"/>
        <v>3000.0000000001137</v>
      </c>
      <c r="J2386" s="8">
        <f>(IF(D2386="SELL",IF(G2386="",0,F2386-G2386),IF(D2386="BUY",IF(G2386="",0,G2386-F2386))))*C2386</f>
        <v>3249.9999999998863</v>
      </c>
      <c r="K2386" s="2">
        <v>0</v>
      </c>
      <c r="L2386" s="8">
        <f t="shared" si="2266"/>
        <v>1.25</v>
      </c>
      <c r="M2386" s="8">
        <f t="shared" si="2267"/>
        <v>6250</v>
      </c>
    </row>
    <row r="2387" spans="1:13" ht="15" customHeight="1" x14ac:dyDescent="0.25">
      <c r="A2387" s="24">
        <v>42999</v>
      </c>
      <c r="B2387" s="9" t="s">
        <v>31</v>
      </c>
      <c r="C2387" s="9">
        <v>250</v>
      </c>
      <c r="D2387" s="9" t="s">
        <v>11</v>
      </c>
      <c r="E2387" s="19">
        <v>717.6</v>
      </c>
      <c r="F2387" s="19">
        <v>713</v>
      </c>
      <c r="G2387" s="9">
        <v>708</v>
      </c>
      <c r="H2387" s="15">
        <v>0</v>
      </c>
      <c r="I2387" s="8">
        <f t="shared" si="2268"/>
        <v>1150.0000000000057</v>
      </c>
      <c r="J2387" s="8">
        <f>(IF(D2387="SELL",IF(G2387="",0,F2387-G2387),IF(D2387="BUY",IF(G2387="",0,G2387-F2387))))*C2387</f>
        <v>1250</v>
      </c>
      <c r="K2387" s="2">
        <v>0</v>
      </c>
      <c r="L2387" s="8">
        <f t="shared" si="2266"/>
        <v>9.600000000000021</v>
      </c>
      <c r="M2387" s="8">
        <f t="shared" si="2267"/>
        <v>2400.0000000000055</v>
      </c>
    </row>
    <row r="2388" spans="1:13" ht="15" customHeight="1" x14ac:dyDescent="0.25">
      <c r="A2388" s="24">
        <v>42999</v>
      </c>
      <c r="B2388" s="9" t="s">
        <v>30</v>
      </c>
      <c r="C2388" s="9">
        <v>100</v>
      </c>
      <c r="D2388" s="9" t="s">
        <v>11</v>
      </c>
      <c r="E2388" s="19">
        <v>29510</v>
      </c>
      <c r="F2388" s="19">
        <v>29470</v>
      </c>
      <c r="G2388" s="9">
        <v>0</v>
      </c>
      <c r="H2388" s="15">
        <v>0</v>
      </c>
      <c r="I2388" s="8">
        <f t="shared" si="2268"/>
        <v>4000</v>
      </c>
      <c r="J2388" s="8">
        <v>0</v>
      </c>
      <c r="K2388" s="2">
        <v>0</v>
      </c>
      <c r="L2388" s="8">
        <f t="shared" si="2266"/>
        <v>40</v>
      </c>
      <c r="M2388" s="8">
        <f t="shared" si="2267"/>
        <v>4000</v>
      </c>
    </row>
    <row r="2389" spans="1:13" ht="15" customHeight="1" x14ac:dyDescent="0.25">
      <c r="A2389" s="24">
        <v>42998</v>
      </c>
      <c r="B2389" s="9" t="s">
        <v>34</v>
      </c>
      <c r="C2389" s="9">
        <v>100</v>
      </c>
      <c r="D2389" s="9" t="s">
        <v>10</v>
      </c>
      <c r="E2389" s="19">
        <v>3248</v>
      </c>
      <c r="F2389" s="19">
        <v>3264</v>
      </c>
      <c r="G2389" s="9">
        <v>0</v>
      </c>
      <c r="H2389" s="15">
        <v>0</v>
      </c>
      <c r="I2389" s="8">
        <f t="shared" si="2268"/>
        <v>1600</v>
      </c>
      <c r="J2389" s="8">
        <v>0</v>
      </c>
      <c r="K2389" s="2">
        <v>0</v>
      </c>
      <c r="L2389" s="8">
        <f t="shared" si="2266"/>
        <v>16</v>
      </c>
      <c r="M2389" s="8">
        <f t="shared" si="2267"/>
        <v>1600</v>
      </c>
    </row>
    <row r="2390" spans="1:13" ht="15" customHeight="1" x14ac:dyDescent="0.25">
      <c r="A2390" s="24">
        <v>42998</v>
      </c>
      <c r="B2390" s="9" t="s">
        <v>29</v>
      </c>
      <c r="C2390" s="9">
        <v>1000</v>
      </c>
      <c r="D2390" s="9" t="s">
        <v>10</v>
      </c>
      <c r="E2390" s="19">
        <v>425.7</v>
      </c>
      <c r="F2390" s="19">
        <v>426.7</v>
      </c>
      <c r="G2390" s="9">
        <v>0</v>
      </c>
      <c r="H2390" s="15">
        <v>0</v>
      </c>
      <c r="I2390" s="8">
        <f t="shared" si="2268"/>
        <v>1000</v>
      </c>
      <c r="J2390" s="8">
        <v>0</v>
      </c>
      <c r="K2390" s="2">
        <v>0</v>
      </c>
      <c r="L2390" s="8">
        <f t="shared" si="2266"/>
        <v>1</v>
      </c>
      <c r="M2390" s="8">
        <f t="shared" si="2267"/>
        <v>1000</v>
      </c>
    </row>
    <row r="2391" spans="1:13" ht="15" customHeight="1" x14ac:dyDescent="0.25">
      <c r="A2391" s="24">
        <v>42998</v>
      </c>
      <c r="B2391" s="9" t="s">
        <v>31</v>
      </c>
      <c r="C2391" s="9">
        <v>250</v>
      </c>
      <c r="D2391" s="9" t="s">
        <v>10</v>
      </c>
      <c r="E2391" s="19">
        <v>718</v>
      </c>
      <c r="F2391" s="19">
        <v>722</v>
      </c>
      <c r="G2391" s="9">
        <v>727</v>
      </c>
      <c r="H2391" s="15">
        <v>0</v>
      </c>
      <c r="I2391" s="8">
        <f t="shared" si="2268"/>
        <v>1000</v>
      </c>
      <c r="J2391" s="8">
        <f>(IF(D2391="SELL",IF(G2391="",0,F2391-G2391),IF(D2391="BUY",IF(G2391="",0,G2391-F2391))))*C2391</f>
        <v>1250</v>
      </c>
      <c r="K2391" s="2">
        <v>0</v>
      </c>
      <c r="L2391" s="8">
        <f t="shared" si="2266"/>
        <v>9</v>
      </c>
      <c r="M2391" s="8">
        <f t="shared" si="2267"/>
        <v>2250</v>
      </c>
    </row>
    <row r="2392" spans="1:13" ht="15" customHeight="1" x14ac:dyDescent="0.25">
      <c r="A2392" s="24">
        <v>42998</v>
      </c>
      <c r="B2392" s="9" t="s">
        <v>17</v>
      </c>
      <c r="C2392" s="9">
        <v>5000</v>
      </c>
      <c r="D2392" s="9" t="s">
        <v>10</v>
      </c>
      <c r="E2392" s="19">
        <v>200.8</v>
      </c>
      <c r="F2392" s="19">
        <v>201.3</v>
      </c>
      <c r="G2392" s="9">
        <v>202</v>
      </c>
      <c r="H2392" s="15">
        <v>0</v>
      </c>
      <c r="I2392" s="8">
        <f t="shared" si="2268"/>
        <v>2500</v>
      </c>
      <c r="J2392" s="8">
        <f>(IF(D2392="SELL",IF(G2392="",0,F2392-G2392),IF(D2392="BUY",IF(G2392="",0,G2392-F2392))))*C2392</f>
        <v>3499.9999999999432</v>
      </c>
      <c r="K2392" s="2">
        <v>0</v>
      </c>
      <c r="L2392" s="8">
        <f t="shared" si="2266"/>
        <v>1.1999999999999886</v>
      </c>
      <c r="M2392" s="8">
        <f t="shared" si="2267"/>
        <v>5999.9999999999436</v>
      </c>
    </row>
    <row r="2393" spans="1:13" ht="15" customHeight="1" x14ac:dyDescent="0.25">
      <c r="A2393" s="24">
        <v>42998</v>
      </c>
      <c r="B2393" s="9" t="s">
        <v>30</v>
      </c>
      <c r="C2393" s="9">
        <v>100</v>
      </c>
      <c r="D2393" s="9" t="s">
        <v>10</v>
      </c>
      <c r="E2393" s="19">
        <v>29690</v>
      </c>
      <c r="F2393" s="19">
        <v>29730</v>
      </c>
      <c r="G2393" s="9">
        <v>0</v>
      </c>
      <c r="H2393" s="15">
        <v>0</v>
      </c>
      <c r="I2393" s="8">
        <f t="shared" si="2268"/>
        <v>4000</v>
      </c>
      <c r="J2393" s="8">
        <v>0</v>
      </c>
      <c r="K2393" s="2">
        <v>0</v>
      </c>
      <c r="L2393" s="8">
        <f t="shared" si="2266"/>
        <v>40</v>
      </c>
      <c r="M2393" s="8">
        <f t="shared" si="2267"/>
        <v>4000</v>
      </c>
    </row>
    <row r="2394" spans="1:13" ht="15" customHeight="1" x14ac:dyDescent="0.25">
      <c r="A2394" s="24">
        <v>42997</v>
      </c>
      <c r="B2394" s="9" t="s">
        <v>17</v>
      </c>
      <c r="C2394" s="9">
        <v>5000</v>
      </c>
      <c r="D2394" s="9" t="s">
        <v>11</v>
      </c>
      <c r="E2394" s="19">
        <v>199.8</v>
      </c>
      <c r="F2394" s="19">
        <v>199.3</v>
      </c>
      <c r="G2394" s="9">
        <v>198.7</v>
      </c>
      <c r="H2394" s="15">
        <v>0</v>
      </c>
      <c r="I2394" s="8">
        <f t="shared" si="2268"/>
        <v>2500</v>
      </c>
      <c r="J2394" s="8">
        <f>(IF(D2394="SELL",IF(G2394="",0,F2394-G2394),IF(D2394="BUY",IF(G2394="",0,G2394-F2394))))*C2394</f>
        <v>3000.0000000001137</v>
      </c>
      <c r="K2394" s="2">
        <v>0</v>
      </c>
      <c r="L2394" s="8">
        <f t="shared" si="2266"/>
        <v>1.1000000000000227</v>
      </c>
      <c r="M2394" s="8">
        <f t="shared" si="2267"/>
        <v>5500.0000000001137</v>
      </c>
    </row>
    <row r="2395" spans="1:13" ht="15" customHeight="1" x14ac:dyDescent="0.25">
      <c r="A2395" s="24">
        <v>42997</v>
      </c>
      <c r="B2395" s="9" t="s">
        <v>31</v>
      </c>
      <c r="C2395" s="9">
        <v>250</v>
      </c>
      <c r="D2395" s="9" t="s">
        <v>11</v>
      </c>
      <c r="E2395" s="19">
        <v>707.6</v>
      </c>
      <c r="F2395" s="19">
        <v>704</v>
      </c>
      <c r="G2395" s="9">
        <v>699</v>
      </c>
      <c r="H2395" s="15">
        <v>0</v>
      </c>
      <c r="I2395" s="8">
        <f t="shared" si="2268"/>
        <v>900.00000000000568</v>
      </c>
      <c r="J2395" s="8">
        <f>(IF(D2395="SELL",IF(G2395="",0,F2395-G2395),IF(D2395="BUY",IF(G2395="",0,G2395-F2395))))*C2395</f>
        <v>1250</v>
      </c>
      <c r="K2395" s="2">
        <v>0</v>
      </c>
      <c r="L2395" s="8">
        <f t="shared" ref="L2395:L2423" si="2269">(J2395+I2395+K2395)/C2395</f>
        <v>8.600000000000021</v>
      </c>
      <c r="M2395" s="8">
        <f t="shared" ref="M2395:M2423" si="2270">L2395*C2395</f>
        <v>2150.0000000000055</v>
      </c>
    </row>
    <row r="2396" spans="1:13" ht="15" customHeight="1" x14ac:dyDescent="0.25">
      <c r="A2396" s="24">
        <v>42996</v>
      </c>
      <c r="B2396" s="9" t="s">
        <v>31</v>
      </c>
      <c r="C2396" s="9">
        <v>250</v>
      </c>
      <c r="D2396" s="9" t="s">
        <v>10</v>
      </c>
      <c r="E2396" s="19">
        <v>715.5</v>
      </c>
      <c r="F2396" s="19">
        <v>719</v>
      </c>
      <c r="G2396" s="9">
        <v>0</v>
      </c>
      <c r="H2396" s="15">
        <v>0</v>
      </c>
      <c r="I2396" s="8">
        <f t="shared" si="2268"/>
        <v>875</v>
      </c>
      <c r="J2396" s="8">
        <v>0</v>
      </c>
      <c r="K2396" s="2">
        <v>0</v>
      </c>
      <c r="L2396" s="8">
        <f t="shared" si="2269"/>
        <v>3.5</v>
      </c>
      <c r="M2396" s="8">
        <f t="shared" si="2270"/>
        <v>875</v>
      </c>
    </row>
    <row r="2397" spans="1:13" ht="15" customHeight="1" x14ac:dyDescent="0.25">
      <c r="A2397" s="24">
        <v>42996</v>
      </c>
      <c r="B2397" s="9" t="s">
        <v>20</v>
      </c>
      <c r="C2397" s="9">
        <v>1250</v>
      </c>
      <c r="D2397" s="9" t="s">
        <v>10</v>
      </c>
      <c r="E2397" s="19">
        <v>196.4</v>
      </c>
      <c r="F2397" s="19">
        <v>197.4</v>
      </c>
      <c r="G2397" s="9">
        <v>198.5</v>
      </c>
      <c r="H2397" s="15">
        <v>200.3</v>
      </c>
      <c r="I2397" s="8">
        <f t="shared" si="2268"/>
        <v>1250</v>
      </c>
      <c r="J2397" s="8">
        <f>(IF(D2397="SELL",IF(G2397="",0,F2397-G2397),IF(D2397="BUY",IF(G2397="",0,G2397-F2397))))*C2397</f>
        <v>1374.999999999993</v>
      </c>
      <c r="K2397" s="2">
        <f>(IF(D2397="SELL",IF(H2397="",0,G2397-H2397),IF(D2397="BUY",IF(H2397="",0,(H2397-G2397)))))*C2397</f>
        <v>2250.0000000000141</v>
      </c>
      <c r="L2397" s="8">
        <f t="shared" si="2269"/>
        <v>3.9000000000000057</v>
      </c>
      <c r="M2397" s="8">
        <f t="shared" si="2270"/>
        <v>4875.0000000000073</v>
      </c>
    </row>
    <row r="2398" spans="1:13" ht="15" customHeight="1" x14ac:dyDescent="0.25">
      <c r="A2398" s="24">
        <v>42996</v>
      </c>
      <c r="B2398" s="9" t="s">
        <v>29</v>
      </c>
      <c r="C2398" s="9">
        <v>1000</v>
      </c>
      <c r="D2398" s="9" t="s">
        <v>10</v>
      </c>
      <c r="E2398" s="19">
        <v>424.3</v>
      </c>
      <c r="F2398" s="19">
        <v>425.4</v>
      </c>
      <c r="G2398" s="9">
        <v>0</v>
      </c>
      <c r="H2398" s="15">
        <v>0</v>
      </c>
      <c r="I2398" s="8">
        <f t="shared" si="2268"/>
        <v>1099.9999999999659</v>
      </c>
      <c r="J2398" s="8">
        <v>0</v>
      </c>
      <c r="K2398" s="2">
        <v>0</v>
      </c>
      <c r="L2398" s="8">
        <f t="shared" si="2269"/>
        <v>1.0999999999999659</v>
      </c>
      <c r="M2398" s="8">
        <f t="shared" si="2270"/>
        <v>1099.9999999999659</v>
      </c>
    </row>
    <row r="2399" spans="1:13" ht="15" customHeight="1" x14ac:dyDescent="0.25">
      <c r="A2399" s="24">
        <v>42996</v>
      </c>
      <c r="B2399" s="9" t="s">
        <v>17</v>
      </c>
      <c r="C2399" s="9">
        <v>5000</v>
      </c>
      <c r="D2399" s="9" t="s">
        <v>10</v>
      </c>
      <c r="E2399" s="19">
        <v>196.7</v>
      </c>
      <c r="F2399" s="19">
        <v>197.2</v>
      </c>
      <c r="G2399" s="9">
        <v>0</v>
      </c>
      <c r="H2399" s="15">
        <v>0</v>
      </c>
      <c r="I2399" s="8">
        <f t="shared" si="2268"/>
        <v>2500</v>
      </c>
      <c r="J2399" s="8">
        <v>0</v>
      </c>
      <c r="K2399" s="2">
        <v>0</v>
      </c>
      <c r="L2399" s="8">
        <f t="shared" si="2269"/>
        <v>0.5</v>
      </c>
      <c r="M2399" s="8">
        <f t="shared" si="2270"/>
        <v>2500</v>
      </c>
    </row>
    <row r="2400" spans="1:13" ht="15" customHeight="1" x14ac:dyDescent="0.25">
      <c r="A2400" s="24">
        <v>42996</v>
      </c>
      <c r="B2400" s="9" t="s">
        <v>19</v>
      </c>
      <c r="C2400" s="9">
        <v>100</v>
      </c>
      <c r="D2400" s="9" t="s">
        <v>11</v>
      </c>
      <c r="E2400" s="19">
        <v>29730</v>
      </c>
      <c r="F2400" s="19">
        <v>29690</v>
      </c>
      <c r="G2400" s="9">
        <v>29610</v>
      </c>
      <c r="H2400" s="15">
        <v>0</v>
      </c>
      <c r="I2400" s="8">
        <f t="shared" si="2268"/>
        <v>4000</v>
      </c>
      <c r="J2400" s="8">
        <f>(IF(D2400="SELL",IF(G2400="",0,F2400-G2400),IF(D2400="BUY",IF(G2400="",0,G2400-F2400))))*C2400</f>
        <v>8000</v>
      </c>
      <c r="K2400" s="2">
        <v>0</v>
      </c>
      <c r="L2400" s="8">
        <f t="shared" si="2269"/>
        <v>120</v>
      </c>
      <c r="M2400" s="8">
        <f t="shared" si="2270"/>
        <v>12000</v>
      </c>
    </row>
    <row r="2401" spans="1:13" ht="15" customHeight="1" x14ac:dyDescent="0.25">
      <c r="A2401" s="24">
        <v>42993</v>
      </c>
      <c r="B2401" s="9" t="s">
        <v>17</v>
      </c>
      <c r="C2401" s="9">
        <v>5000</v>
      </c>
      <c r="D2401" s="9" t="s">
        <v>11</v>
      </c>
      <c r="E2401" s="19">
        <v>192.9</v>
      </c>
      <c r="F2401" s="19">
        <v>194.3</v>
      </c>
      <c r="G2401" s="9">
        <v>0</v>
      </c>
      <c r="H2401" s="15">
        <v>0</v>
      </c>
      <c r="I2401" s="8">
        <f t="shared" si="2268"/>
        <v>-7000.0000000000282</v>
      </c>
      <c r="J2401" s="8">
        <v>0</v>
      </c>
      <c r="K2401" s="2">
        <v>0</v>
      </c>
      <c r="L2401" s="8">
        <f t="shared" si="2269"/>
        <v>-1.4000000000000057</v>
      </c>
      <c r="M2401" s="8">
        <f t="shared" si="2270"/>
        <v>-7000.0000000000282</v>
      </c>
    </row>
    <row r="2402" spans="1:13" ht="15" customHeight="1" x14ac:dyDescent="0.25">
      <c r="A2402" s="24">
        <v>42993</v>
      </c>
      <c r="B2402" s="9" t="s">
        <v>30</v>
      </c>
      <c r="C2402" s="9">
        <v>100</v>
      </c>
      <c r="D2402" s="9" t="s">
        <v>11</v>
      </c>
      <c r="E2402" s="19">
        <v>29940</v>
      </c>
      <c r="F2402" s="19">
        <v>29900</v>
      </c>
      <c r="G2402" s="9">
        <v>0</v>
      </c>
      <c r="H2402" s="15">
        <v>0</v>
      </c>
      <c r="I2402" s="8">
        <f t="shared" si="2268"/>
        <v>4000</v>
      </c>
      <c r="J2402" s="8">
        <v>0</v>
      </c>
      <c r="K2402" s="2">
        <v>0</v>
      </c>
      <c r="L2402" s="8">
        <f t="shared" si="2269"/>
        <v>40</v>
      </c>
      <c r="M2402" s="8">
        <f t="shared" si="2270"/>
        <v>4000</v>
      </c>
    </row>
    <row r="2403" spans="1:13" ht="15" customHeight="1" x14ac:dyDescent="0.25">
      <c r="A2403" s="24">
        <v>42993</v>
      </c>
      <c r="B2403" s="9" t="s">
        <v>33</v>
      </c>
      <c r="C2403" s="9">
        <v>100</v>
      </c>
      <c r="D2403" s="9" t="s">
        <v>11</v>
      </c>
      <c r="E2403" s="19">
        <v>3191</v>
      </c>
      <c r="F2403" s="19">
        <v>3175</v>
      </c>
      <c r="G2403" s="9">
        <v>0</v>
      </c>
      <c r="H2403" s="15">
        <v>0</v>
      </c>
      <c r="I2403" s="8">
        <f t="shared" si="2268"/>
        <v>1600</v>
      </c>
      <c r="J2403" s="8">
        <v>0</v>
      </c>
      <c r="K2403" s="2">
        <v>0</v>
      </c>
      <c r="L2403" s="8">
        <f t="shared" si="2269"/>
        <v>16</v>
      </c>
      <c r="M2403" s="8">
        <f t="shared" si="2270"/>
        <v>1600</v>
      </c>
    </row>
    <row r="2404" spans="1:13" ht="15" customHeight="1" x14ac:dyDescent="0.25">
      <c r="A2404" s="24">
        <v>42992</v>
      </c>
      <c r="B2404" s="9" t="s">
        <v>32</v>
      </c>
      <c r="C2404" s="9">
        <v>100</v>
      </c>
      <c r="D2404" s="9" t="s">
        <v>11</v>
      </c>
      <c r="E2404" s="19">
        <v>3154</v>
      </c>
      <c r="F2404" s="19">
        <v>3136</v>
      </c>
      <c r="G2404" s="9">
        <v>0</v>
      </c>
      <c r="H2404" s="15">
        <v>0</v>
      </c>
      <c r="I2404" s="8">
        <f t="shared" si="2268"/>
        <v>1800</v>
      </c>
      <c r="J2404" s="8">
        <v>0</v>
      </c>
      <c r="K2404" s="2">
        <v>0</v>
      </c>
      <c r="L2404" s="8">
        <f t="shared" si="2269"/>
        <v>18</v>
      </c>
      <c r="M2404" s="8">
        <f t="shared" si="2270"/>
        <v>1800</v>
      </c>
    </row>
    <row r="2405" spans="1:13" ht="15" customHeight="1" x14ac:dyDescent="0.25">
      <c r="A2405" s="24">
        <v>42992</v>
      </c>
      <c r="B2405" s="9" t="s">
        <v>15</v>
      </c>
      <c r="C2405" s="9">
        <v>5000</v>
      </c>
      <c r="D2405" s="9" t="s">
        <v>11</v>
      </c>
      <c r="E2405" s="19">
        <v>145.4</v>
      </c>
      <c r="F2405" s="19">
        <v>144.9</v>
      </c>
      <c r="G2405" s="9">
        <v>144.30000000000001</v>
      </c>
      <c r="H2405" s="15">
        <v>0</v>
      </c>
      <c r="I2405" s="8">
        <f t="shared" si="2268"/>
        <v>2500</v>
      </c>
      <c r="J2405" s="8">
        <f>(IF(D2405="SELL",IF(G2405="",0,F2405-G2405),IF(D2405="BUY",IF(G2405="",0,G2405-F2405))))*C2405</f>
        <v>2999.9999999999718</v>
      </c>
      <c r="K2405" s="2">
        <v>0</v>
      </c>
      <c r="L2405" s="8">
        <f t="shared" si="2269"/>
        <v>1.0999999999999943</v>
      </c>
      <c r="M2405" s="8">
        <f t="shared" si="2270"/>
        <v>5499.9999999999718</v>
      </c>
    </row>
    <row r="2406" spans="1:13" ht="15" customHeight="1" x14ac:dyDescent="0.25">
      <c r="A2406" s="24">
        <v>42992</v>
      </c>
      <c r="B2406" s="9" t="s">
        <v>17</v>
      </c>
      <c r="C2406" s="9">
        <v>5000</v>
      </c>
      <c r="D2406" s="9" t="s">
        <v>10</v>
      </c>
      <c r="E2406" s="19">
        <v>194.5</v>
      </c>
      <c r="F2406" s="19">
        <v>195</v>
      </c>
      <c r="G2406" s="9">
        <v>0</v>
      </c>
      <c r="H2406" s="15">
        <v>0</v>
      </c>
      <c r="I2406" s="8">
        <f t="shared" si="2268"/>
        <v>2500</v>
      </c>
      <c r="J2406" s="8">
        <v>0</v>
      </c>
      <c r="K2406" s="2">
        <v>0</v>
      </c>
      <c r="L2406" s="8">
        <f t="shared" si="2269"/>
        <v>0.5</v>
      </c>
      <c r="M2406" s="8">
        <f t="shared" si="2270"/>
        <v>2500</v>
      </c>
    </row>
    <row r="2407" spans="1:13" ht="15" customHeight="1" x14ac:dyDescent="0.25">
      <c r="A2407" s="24">
        <v>42992</v>
      </c>
      <c r="B2407" s="9" t="s">
        <v>31</v>
      </c>
      <c r="C2407" s="9">
        <v>250</v>
      </c>
      <c r="D2407" s="9" t="s">
        <v>11</v>
      </c>
      <c r="E2407" s="19">
        <v>726</v>
      </c>
      <c r="F2407" s="19">
        <v>722</v>
      </c>
      <c r="G2407" s="9">
        <v>0</v>
      </c>
      <c r="H2407" s="15">
        <v>0</v>
      </c>
      <c r="I2407" s="8">
        <f t="shared" si="2268"/>
        <v>1000</v>
      </c>
      <c r="J2407" s="8">
        <v>0</v>
      </c>
      <c r="K2407" s="2">
        <v>0</v>
      </c>
      <c r="L2407" s="8">
        <f t="shared" si="2269"/>
        <v>4</v>
      </c>
      <c r="M2407" s="8">
        <f t="shared" si="2270"/>
        <v>1000</v>
      </c>
    </row>
    <row r="2408" spans="1:13" ht="15" customHeight="1" x14ac:dyDescent="0.25">
      <c r="A2408" s="24">
        <v>42992</v>
      </c>
      <c r="B2408" s="9" t="s">
        <v>29</v>
      </c>
      <c r="C2408" s="9">
        <v>1000</v>
      </c>
      <c r="D2408" s="9" t="s">
        <v>11</v>
      </c>
      <c r="E2408" s="19">
        <v>423.55</v>
      </c>
      <c r="F2408" s="19">
        <v>422.45</v>
      </c>
      <c r="G2408" s="9">
        <v>421.3</v>
      </c>
      <c r="H2408" s="15">
        <v>419</v>
      </c>
      <c r="I2408" s="8">
        <f t="shared" si="2268"/>
        <v>1100.0000000000227</v>
      </c>
      <c r="J2408" s="8">
        <f>(IF(D2408="SELL",IF(G2408="",0,F2408-G2408),IF(D2408="BUY",IF(G2408="",0,G2408-F2408))))*C2408</f>
        <v>1149.9999999999773</v>
      </c>
      <c r="K2408" s="2">
        <f>(IF(D2408="SELL",IF(H2408="",0,G2408-H2408),IF(D2408="BUY",IF(H2408="",0,(H2408-G2408)))))*C2408</f>
        <v>2300.0000000000114</v>
      </c>
      <c r="L2408" s="8">
        <f t="shared" si="2269"/>
        <v>4.5500000000000105</v>
      </c>
      <c r="M2408" s="8">
        <f t="shared" si="2270"/>
        <v>4550.0000000000109</v>
      </c>
    </row>
    <row r="2409" spans="1:13" ht="15" customHeight="1" x14ac:dyDescent="0.25">
      <c r="A2409" s="24">
        <v>42991</v>
      </c>
      <c r="B2409" s="9" t="s">
        <v>31</v>
      </c>
      <c r="C2409" s="9">
        <v>250</v>
      </c>
      <c r="D2409" s="9" t="s">
        <v>11</v>
      </c>
      <c r="E2409" s="19">
        <v>749.2</v>
      </c>
      <c r="F2409" s="19">
        <v>745</v>
      </c>
      <c r="G2409" s="9">
        <v>740</v>
      </c>
      <c r="H2409" s="15">
        <v>0</v>
      </c>
      <c r="I2409" s="8">
        <f t="shared" si="2268"/>
        <v>1050.0000000000114</v>
      </c>
      <c r="J2409" s="8">
        <f>(IF(D2409="SELL",IF(G2409="",0,F2409-G2409),IF(D2409="BUY",IF(G2409="",0,G2409-F2409))))*C2409</f>
        <v>1250</v>
      </c>
      <c r="K2409" s="2">
        <v>0</v>
      </c>
      <c r="L2409" s="8">
        <f t="shared" si="2269"/>
        <v>9.2000000000000455</v>
      </c>
      <c r="M2409" s="8">
        <f t="shared" si="2270"/>
        <v>2300.0000000000114</v>
      </c>
    </row>
    <row r="2410" spans="1:13" ht="15" customHeight="1" x14ac:dyDescent="0.25">
      <c r="A2410" s="24">
        <v>42991</v>
      </c>
      <c r="B2410" s="9" t="s">
        <v>30</v>
      </c>
      <c r="C2410" s="9">
        <v>100</v>
      </c>
      <c r="D2410" s="9" t="s">
        <v>10</v>
      </c>
      <c r="E2410" s="19">
        <v>30005</v>
      </c>
      <c r="F2410" s="19">
        <v>30045</v>
      </c>
      <c r="G2410" s="9">
        <v>0</v>
      </c>
      <c r="H2410" s="15">
        <v>0</v>
      </c>
      <c r="I2410" s="8">
        <f t="shared" si="2268"/>
        <v>4000</v>
      </c>
      <c r="J2410" s="8">
        <v>0</v>
      </c>
      <c r="K2410" s="2">
        <v>0</v>
      </c>
      <c r="L2410" s="8">
        <f t="shared" si="2269"/>
        <v>40</v>
      </c>
      <c r="M2410" s="8">
        <f t="shared" si="2270"/>
        <v>4000</v>
      </c>
    </row>
    <row r="2411" spans="1:13" ht="15" customHeight="1" x14ac:dyDescent="0.25">
      <c r="A2411" s="24">
        <v>42991</v>
      </c>
      <c r="B2411" s="9" t="s">
        <v>17</v>
      </c>
      <c r="C2411" s="9">
        <v>5000</v>
      </c>
      <c r="D2411" s="9" t="s">
        <v>11</v>
      </c>
      <c r="E2411" s="19">
        <v>195.2</v>
      </c>
      <c r="F2411" s="19">
        <v>194.7</v>
      </c>
      <c r="G2411" s="9">
        <v>0</v>
      </c>
      <c r="H2411" s="15">
        <v>0</v>
      </c>
      <c r="I2411" s="8">
        <f t="shared" si="2268"/>
        <v>2500</v>
      </c>
      <c r="J2411" s="8">
        <v>0</v>
      </c>
      <c r="K2411" s="2">
        <v>0</v>
      </c>
      <c r="L2411" s="8">
        <f t="shared" si="2269"/>
        <v>0.5</v>
      </c>
      <c r="M2411" s="8">
        <f t="shared" si="2270"/>
        <v>2500</v>
      </c>
    </row>
    <row r="2412" spans="1:13" ht="15" customHeight="1" x14ac:dyDescent="0.25">
      <c r="A2412" s="24">
        <v>42991</v>
      </c>
      <c r="B2412" s="9" t="s">
        <v>29</v>
      </c>
      <c r="C2412" s="9">
        <v>1000</v>
      </c>
      <c r="D2412" s="9" t="s">
        <v>11</v>
      </c>
      <c r="E2412" s="19">
        <v>430</v>
      </c>
      <c r="F2412" s="19">
        <v>429</v>
      </c>
      <c r="G2412" s="9">
        <v>428</v>
      </c>
      <c r="H2412" s="15">
        <v>0</v>
      </c>
      <c r="I2412" s="8">
        <f t="shared" si="2268"/>
        <v>1000</v>
      </c>
      <c r="J2412" s="8">
        <f>(IF(D2412="SELL",IF(G2412="",0,F2412-G2412),IF(D2412="BUY",IF(G2412="",0,G2412-F2412))))*C2412</f>
        <v>1000</v>
      </c>
      <c r="K2412" s="2">
        <v>0</v>
      </c>
      <c r="L2412" s="8">
        <f t="shared" si="2269"/>
        <v>2</v>
      </c>
      <c r="M2412" s="8">
        <f t="shared" si="2270"/>
        <v>2000</v>
      </c>
    </row>
    <row r="2413" spans="1:13" ht="15" customHeight="1" x14ac:dyDescent="0.25">
      <c r="A2413" s="24">
        <v>42990</v>
      </c>
      <c r="B2413" s="9" t="s">
        <v>17</v>
      </c>
      <c r="C2413" s="9">
        <v>5000</v>
      </c>
      <c r="D2413" s="9" t="s">
        <v>10</v>
      </c>
      <c r="E2413" s="19">
        <v>197.6</v>
      </c>
      <c r="F2413" s="19">
        <v>195.8</v>
      </c>
      <c r="G2413" s="9">
        <v>0</v>
      </c>
      <c r="H2413" s="15">
        <v>0</v>
      </c>
      <c r="I2413" s="8">
        <f t="shared" si="2268"/>
        <v>-8999.9999999999145</v>
      </c>
      <c r="J2413" s="8">
        <v>0</v>
      </c>
      <c r="K2413" s="2">
        <v>0</v>
      </c>
      <c r="L2413" s="8">
        <f t="shared" si="2269"/>
        <v>-1.7999999999999829</v>
      </c>
      <c r="M2413" s="8">
        <f t="shared" si="2270"/>
        <v>-8999.9999999999145</v>
      </c>
    </row>
    <row r="2414" spans="1:13" ht="15" customHeight="1" x14ac:dyDescent="0.25">
      <c r="A2414" s="24">
        <v>42990</v>
      </c>
      <c r="B2414" s="9" t="s">
        <v>16</v>
      </c>
      <c r="C2414" s="9">
        <v>100</v>
      </c>
      <c r="D2414" s="9" t="s">
        <v>10</v>
      </c>
      <c r="E2414" s="19">
        <v>3077</v>
      </c>
      <c r="F2414" s="19">
        <v>3094</v>
      </c>
      <c r="G2414" s="9">
        <v>0</v>
      </c>
      <c r="H2414" s="15">
        <v>0</v>
      </c>
      <c r="I2414" s="8">
        <f t="shared" si="2268"/>
        <v>1700</v>
      </c>
      <c r="J2414" s="8">
        <v>0</v>
      </c>
      <c r="K2414" s="2">
        <v>0</v>
      </c>
      <c r="L2414" s="8">
        <f t="shared" si="2269"/>
        <v>17</v>
      </c>
      <c r="M2414" s="8">
        <f t="shared" si="2270"/>
        <v>1700</v>
      </c>
    </row>
    <row r="2415" spans="1:13" ht="15" customHeight="1" x14ac:dyDescent="0.25">
      <c r="A2415" s="24">
        <v>42990</v>
      </c>
      <c r="B2415" s="9" t="s">
        <v>15</v>
      </c>
      <c r="C2415" s="9">
        <v>5000</v>
      </c>
      <c r="D2415" s="9" t="s">
        <v>11</v>
      </c>
      <c r="E2415" s="19">
        <v>144</v>
      </c>
      <c r="F2415" s="19">
        <v>143.5</v>
      </c>
      <c r="G2415" s="9">
        <v>0</v>
      </c>
      <c r="H2415" s="15">
        <v>0</v>
      </c>
      <c r="I2415" s="8">
        <f t="shared" si="2268"/>
        <v>2500</v>
      </c>
      <c r="J2415" s="8">
        <v>0</v>
      </c>
      <c r="K2415" s="2">
        <v>0</v>
      </c>
      <c r="L2415" s="8">
        <f t="shared" si="2269"/>
        <v>0.5</v>
      </c>
      <c r="M2415" s="8">
        <f t="shared" si="2270"/>
        <v>2500</v>
      </c>
    </row>
    <row r="2416" spans="1:13" ht="15" customHeight="1" x14ac:dyDescent="0.25">
      <c r="A2416" s="24">
        <v>42990</v>
      </c>
      <c r="B2416" s="9" t="s">
        <v>18</v>
      </c>
      <c r="C2416" s="9">
        <v>1000</v>
      </c>
      <c r="D2416" s="9" t="s">
        <v>11</v>
      </c>
      <c r="E2416" s="19">
        <v>433.2</v>
      </c>
      <c r="F2416" s="19">
        <v>432.2</v>
      </c>
      <c r="G2416" s="9">
        <v>431.1</v>
      </c>
      <c r="H2416" s="15">
        <v>429</v>
      </c>
      <c r="I2416" s="8">
        <f t="shared" si="2268"/>
        <v>1000</v>
      </c>
      <c r="J2416" s="8">
        <f>(IF(D2416="SELL",IF(G2416="",0,F2416-G2416),IF(D2416="BUY",IF(G2416="",0,G2416-F2416))))*C2416</f>
        <v>1099.9999999999659</v>
      </c>
      <c r="K2416" s="2">
        <f>(IF(D2416="SELL",IF(H2416="",0,G2416-H2416),IF(D2416="BUY",IF(H2416="",0,(H2416-G2416)))))*C2416</f>
        <v>2100.0000000000227</v>
      </c>
      <c r="L2416" s="8">
        <f t="shared" si="2269"/>
        <v>4.1999999999999895</v>
      </c>
      <c r="M2416" s="8">
        <f t="shared" si="2270"/>
        <v>4199.9999999999891</v>
      </c>
    </row>
    <row r="2417" spans="1:13" ht="15" customHeight="1" x14ac:dyDescent="0.25">
      <c r="A2417" s="24">
        <v>42989</v>
      </c>
      <c r="B2417" s="9" t="s">
        <v>16</v>
      </c>
      <c r="C2417" s="9">
        <v>100</v>
      </c>
      <c r="D2417" s="9" t="s">
        <v>10</v>
      </c>
      <c r="E2417" s="19">
        <v>3058</v>
      </c>
      <c r="F2417" s="19">
        <v>3074</v>
      </c>
      <c r="G2417" s="9">
        <v>0</v>
      </c>
      <c r="H2417" s="15">
        <v>0</v>
      </c>
      <c r="I2417" s="8">
        <f t="shared" si="2268"/>
        <v>1600</v>
      </c>
      <c r="J2417" s="8">
        <v>0</v>
      </c>
      <c r="K2417" s="2">
        <v>0</v>
      </c>
      <c r="L2417" s="8">
        <f t="shared" si="2269"/>
        <v>16</v>
      </c>
      <c r="M2417" s="8">
        <f t="shared" si="2270"/>
        <v>1600</v>
      </c>
    </row>
    <row r="2418" spans="1:13" ht="15" customHeight="1" x14ac:dyDescent="0.25">
      <c r="A2418" s="24">
        <v>42989</v>
      </c>
      <c r="B2418" s="9" t="s">
        <v>18</v>
      </c>
      <c r="C2418" s="9">
        <v>1000</v>
      </c>
      <c r="D2418" s="9" t="s">
        <v>10</v>
      </c>
      <c r="E2418" s="19">
        <v>433.7</v>
      </c>
      <c r="F2418" s="19">
        <v>434.8</v>
      </c>
      <c r="G2418" s="9">
        <v>435.9</v>
      </c>
      <c r="H2418" s="15">
        <v>0</v>
      </c>
      <c r="I2418" s="8">
        <f t="shared" si="2268"/>
        <v>1100.0000000000227</v>
      </c>
      <c r="J2418" s="8">
        <f>(IF(D2418="SELL",IF(G2418="",0,F2418-G2418),IF(D2418="BUY",IF(G2418="",0,G2418-F2418))))*C2418</f>
        <v>1099.9999999999659</v>
      </c>
      <c r="K2418" s="2">
        <v>0</v>
      </c>
      <c r="L2418" s="8">
        <f t="shared" si="2269"/>
        <v>2.1999999999999886</v>
      </c>
      <c r="M2418" s="8">
        <f t="shared" si="2270"/>
        <v>2199.9999999999886</v>
      </c>
    </row>
    <row r="2419" spans="1:13" ht="15" customHeight="1" x14ac:dyDescent="0.25">
      <c r="A2419" s="24">
        <v>42989</v>
      </c>
      <c r="B2419" s="9" t="s">
        <v>21</v>
      </c>
      <c r="C2419" s="9">
        <v>250</v>
      </c>
      <c r="D2419" s="9" t="s">
        <v>10</v>
      </c>
      <c r="E2419" s="19">
        <v>744</v>
      </c>
      <c r="F2419" s="19">
        <v>748</v>
      </c>
      <c r="G2419" s="9">
        <v>753</v>
      </c>
      <c r="H2419" s="15">
        <v>0</v>
      </c>
      <c r="I2419" s="8">
        <f t="shared" si="2268"/>
        <v>1000</v>
      </c>
      <c r="J2419" s="8">
        <v>0</v>
      </c>
      <c r="K2419" s="2">
        <v>0</v>
      </c>
      <c r="L2419" s="8">
        <f t="shared" si="2269"/>
        <v>4</v>
      </c>
      <c r="M2419" s="8">
        <f t="shared" si="2270"/>
        <v>1000</v>
      </c>
    </row>
    <row r="2420" spans="1:13" ht="15" customHeight="1" x14ac:dyDescent="0.25">
      <c r="A2420" s="24">
        <v>42989</v>
      </c>
      <c r="B2420" s="9" t="s">
        <v>17</v>
      </c>
      <c r="C2420" s="9">
        <v>5000</v>
      </c>
      <c r="D2420" s="9" t="s">
        <v>10</v>
      </c>
      <c r="E2420" s="19">
        <v>195.3</v>
      </c>
      <c r="F2420" s="19">
        <v>195.8</v>
      </c>
      <c r="G2420" s="9">
        <v>196.4</v>
      </c>
      <c r="H2420" s="15">
        <v>197.7</v>
      </c>
      <c r="I2420" s="8">
        <f t="shared" si="2268"/>
        <v>2500</v>
      </c>
      <c r="J2420" s="8">
        <f>(IF(D2420="SELL",IF(G2420="",0,F2420-G2420),IF(D2420="BUY",IF(G2420="",0,G2420-F2420))))*C2420</f>
        <v>2999.9999999999718</v>
      </c>
      <c r="K2420" s="2">
        <f>(IF(D2420="SELL",IF(H2420="",0,G2420-H2420),IF(D2420="BUY",IF(H2420="",0,(H2420-G2420)))))*C2420</f>
        <v>6499.9999999999145</v>
      </c>
      <c r="L2420" s="8">
        <f t="shared" si="2269"/>
        <v>2.3999999999999773</v>
      </c>
      <c r="M2420" s="8">
        <f t="shared" si="2270"/>
        <v>11999.999999999887</v>
      </c>
    </row>
    <row r="2421" spans="1:13" ht="15" customHeight="1" x14ac:dyDescent="0.25">
      <c r="A2421" s="24">
        <v>42989</v>
      </c>
      <c r="B2421" s="9" t="s">
        <v>19</v>
      </c>
      <c r="C2421" s="9">
        <v>100</v>
      </c>
      <c r="D2421" s="9" t="s">
        <v>11</v>
      </c>
      <c r="E2421" s="19">
        <v>30058</v>
      </c>
      <c r="F2421" s="19">
        <v>30010</v>
      </c>
      <c r="G2421" s="9">
        <v>0</v>
      </c>
      <c r="H2421" s="15">
        <v>0</v>
      </c>
      <c r="I2421" s="8">
        <f t="shared" si="2268"/>
        <v>4800</v>
      </c>
      <c r="J2421" s="8">
        <v>0</v>
      </c>
      <c r="K2421" s="2">
        <v>0</v>
      </c>
      <c r="L2421" s="8">
        <f t="shared" si="2269"/>
        <v>48</v>
      </c>
      <c r="M2421" s="8">
        <f t="shared" si="2270"/>
        <v>4800</v>
      </c>
    </row>
    <row r="2422" spans="1:13" ht="15" customHeight="1" x14ac:dyDescent="0.25">
      <c r="A2422" s="24">
        <v>42986</v>
      </c>
      <c r="B2422" s="9" t="s">
        <v>21</v>
      </c>
      <c r="C2422" s="9">
        <v>250</v>
      </c>
      <c r="D2422" s="9" t="s">
        <v>11</v>
      </c>
      <c r="E2422" s="19">
        <v>773.5</v>
      </c>
      <c r="F2422" s="19">
        <v>769</v>
      </c>
      <c r="G2422" s="9">
        <v>0</v>
      </c>
      <c r="H2422" s="15">
        <v>0</v>
      </c>
      <c r="I2422" s="8">
        <f t="shared" si="2268"/>
        <v>1125</v>
      </c>
      <c r="J2422" s="8">
        <v>0</v>
      </c>
      <c r="K2422" s="2">
        <v>0</v>
      </c>
      <c r="L2422" s="8">
        <f t="shared" si="2269"/>
        <v>4.5</v>
      </c>
      <c r="M2422" s="8">
        <f t="shared" si="2270"/>
        <v>1125</v>
      </c>
    </row>
    <row r="2423" spans="1:13" ht="15" customHeight="1" x14ac:dyDescent="0.25">
      <c r="A2423" s="24">
        <v>42986</v>
      </c>
      <c r="B2423" s="9" t="s">
        <v>18</v>
      </c>
      <c r="C2423" s="9">
        <v>1000</v>
      </c>
      <c r="D2423" s="9" t="s">
        <v>11</v>
      </c>
      <c r="E2423" s="19">
        <v>443.3</v>
      </c>
      <c r="F2423" s="19">
        <v>442</v>
      </c>
      <c r="G2423" s="9">
        <v>441</v>
      </c>
      <c r="H2423" s="15">
        <v>0</v>
      </c>
      <c r="I2423" s="8">
        <f t="shared" si="2268"/>
        <v>1300.0000000000114</v>
      </c>
      <c r="J2423" s="8">
        <f>(IF(D2423="SELL",IF(G2423="",0,F2423-G2423),IF(D2423="BUY",IF(G2423="",0,G2423-F2423))))*C2423</f>
        <v>1000</v>
      </c>
      <c r="K2423" s="2">
        <v>0</v>
      </c>
      <c r="L2423" s="8">
        <f t="shared" si="2269"/>
        <v>2.3000000000000114</v>
      </c>
      <c r="M2423" s="8">
        <f t="shared" si="2270"/>
        <v>2300.0000000000114</v>
      </c>
    </row>
    <row r="2424" spans="1:13" ht="15" customHeight="1" x14ac:dyDescent="0.25">
      <c r="A2424" s="24">
        <v>42986</v>
      </c>
      <c r="B2424" s="9" t="s">
        <v>17</v>
      </c>
      <c r="C2424" s="9">
        <v>5000</v>
      </c>
      <c r="D2424" s="9" t="s">
        <v>11</v>
      </c>
      <c r="E2424" s="19">
        <v>200</v>
      </c>
      <c r="F2424" s="19">
        <v>199.5</v>
      </c>
      <c r="G2424" s="9">
        <v>0</v>
      </c>
      <c r="H2424" s="15">
        <v>0</v>
      </c>
      <c r="I2424" s="8">
        <f t="shared" ref="I2424:I2434" si="2271">(IF(D2424="SELL",E2424-F2424,IF(D2424="BUY",F2424-E2424)))*C2424</f>
        <v>2500</v>
      </c>
      <c r="J2424" s="8">
        <v>0</v>
      </c>
      <c r="K2424" s="2">
        <v>0</v>
      </c>
      <c r="L2424" s="8">
        <f t="shared" ref="L2424:L2434" si="2272">(J2424+I2424+K2424)/C2424</f>
        <v>0.5</v>
      </c>
      <c r="M2424" s="8">
        <f t="shared" ref="M2424:M2434" si="2273">L2424*C2424</f>
        <v>2500</v>
      </c>
    </row>
    <row r="2425" spans="1:13" ht="15" customHeight="1" x14ac:dyDescent="0.25">
      <c r="A2425" s="24">
        <v>42986</v>
      </c>
      <c r="B2425" s="9" t="s">
        <v>19</v>
      </c>
      <c r="C2425" s="9">
        <v>100</v>
      </c>
      <c r="D2425" s="9" t="s">
        <v>10</v>
      </c>
      <c r="E2425" s="19">
        <v>30440</v>
      </c>
      <c r="F2425" s="19">
        <v>30290</v>
      </c>
      <c r="G2425" s="9">
        <v>0</v>
      </c>
      <c r="H2425" s="15">
        <v>0</v>
      </c>
      <c r="I2425" s="8">
        <f t="shared" si="2271"/>
        <v>-15000</v>
      </c>
      <c r="J2425" s="8">
        <v>0</v>
      </c>
      <c r="K2425" s="2">
        <v>0</v>
      </c>
      <c r="L2425" s="8">
        <f t="shared" si="2272"/>
        <v>-150</v>
      </c>
      <c r="M2425" s="8">
        <f t="shared" si="2273"/>
        <v>-15000</v>
      </c>
    </row>
    <row r="2426" spans="1:13" ht="15" customHeight="1" x14ac:dyDescent="0.25">
      <c r="A2426" s="24">
        <v>42986</v>
      </c>
      <c r="B2426" s="9" t="s">
        <v>18</v>
      </c>
      <c r="C2426" s="9">
        <v>1000</v>
      </c>
      <c r="D2426" s="9" t="s">
        <v>10</v>
      </c>
      <c r="E2426" s="19">
        <v>446.2</v>
      </c>
      <c r="F2426" s="19">
        <v>443.9</v>
      </c>
      <c r="G2426" s="9">
        <v>0</v>
      </c>
      <c r="H2426" s="15">
        <v>0</v>
      </c>
      <c r="I2426" s="8">
        <f t="shared" si="2271"/>
        <v>-2300.0000000000114</v>
      </c>
      <c r="J2426" s="8">
        <v>0</v>
      </c>
      <c r="K2426" s="2">
        <v>0</v>
      </c>
      <c r="L2426" s="8">
        <f t="shared" si="2272"/>
        <v>-2.3000000000000114</v>
      </c>
      <c r="M2426" s="8">
        <f t="shared" si="2273"/>
        <v>-2300.0000000000114</v>
      </c>
    </row>
    <row r="2427" spans="1:13" ht="15" customHeight="1" x14ac:dyDescent="0.25">
      <c r="A2427" s="24">
        <v>42986</v>
      </c>
      <c r="B2427" s="9" t="s">
        <v>21</v>
      </c>
      <c r="C2427" s="9">
        <v>250</v>
      </c>
      <c r="D2427" s="9" t="s">
        <v>10</v>
      </c>
      <c r="E2427" s="19">
        <v>780.7</v>
      </c>
      <c r="F2427" s="19">
        <v>774.8</v>
      </c>
      <c r="G2427" s="9">
        <v>0</v>
      </c>
      <c r="H2427" s="15">
        <v>0</v>
      </c>
      <c r="I2427" s="8">
        <f t="shared" si="2271"/>
        <v>-1475.0000000000227</v>
      </c>
      <c r="J2427" s="8">
        <v>0</v>
      </c>
      <c r="K2427" s="2">
        <v>0</v>
      </c>
      <c r="L2427" s="8">
        <f t="shared" si="2272"/>
        <v>-5.9000000000000909</v>
      </c>
      <c r="M2427" s="8">
        <f t="shared" si="2273"/>
        <v>-1475.0000000000227</v>
      </c>
    </row>
    <row r="2428" spans="1:13" ht="15" customHeight="1" x14ac:dyDescent="0.25">
      <c r="A2428" s="24">
        <v>42986</v>
      </c>
      <c r="B2428" s="9" t="s">
        <v>14</v>
      </c>
      <c r="C2428" s="9">
        <v>30</v>
      </c>
      <c r="D2428" s="9" t="s">
        <v>10</v>
      </c>
      <c r="E2428" s="19">
        <v>41800</v>
      </c>
      <c r="F2428" s="19">
        <v>41900</v>
      </c>
      <c r="G2428" s="9">
        <v>0</v>
      </c>
      <c r="H2428" s="15">
        <v>0</v>
      </c>
      <c r="I2428" s="8">
        <f t="shared" si="2271"/>
        <v>3000</v>
      </c>
      <c r="J2428" s="8">
        <v>0</v>
      </c>
      <c r="K2428" s="2">
        <v>0</v>
      </c>
      <c r="L2428" s="8">
        <f t="shared" si="2272"/>
        <v>100</v>
      </c>
      <c r="M2428" s="8">
        <f t="shared" si="2273"/>
        <v>3000</v>
      </c>
    </row>
    <row r="2429" spans="1:13" ht="15" customHeight="1" x14ac:dyDescent="0.25">
      <c r="A2429" s="24">
        <v>42985</v>
      </c>
      <c r="B2429" s="9" t="s">
        <v>19</v>
      </c>
      <c r="C2429" s="9">
        <v>100</v>
      </c>
      <c r="D2429" s="9" t="s">
        <v>11</v>
      </c>
      <c r="E2429" s="19">
        <v>30070</v>
      </c>
      <c r="F2429" s="19">
        <v>30230</v>
      </c>
      <c r="G2429" s="9">
        <v>0</v>
      </c>
      <c r="H2429" s="15">
        <v>0</v>
      </c>
      <c r="I2429" s="8">
        <f t="shared" si="2271"/>
        <v>-16000</v>
      </c>
      <c r="J2429" s="8">
        <v>0</v>
      </c>
      <c r="K2429" s="2">
        <v>0</v>
      </c>
      <c r="L2429" s="8">
        <f t="shared" si="2272"/>
        <v>-160</v>
      </c>
      <c r="M2429" s="8">
        <f t="shared" si="2273"/>
        <v>-16000</v>
      </c>
    </row>
    <row r="2430" spans="1:13" ht="15" customHeight="1" x14ac:dyDescent="0.25">
      <c r="A2430" s="24">
        <v>42985</v>
      </c>
      <c r="B2430" s="9" t="s">
        <v>21</v>
      </c>
      <c r="C2430" s="9">
        <v>250</v>
      </c>
      <c r="D2430" s="9" t="s">
        <v>11</v>
      </c>
      <c r="E2430" s="19">
        <v>778</v>
      </c>
      <c r="F2430" s="19">
        <v>773</v>
      </c>
      <c r="G2430" s="9">
        <v>0</v>
      </c>
      <c r="H2430" s="15">
        <v>0</v>
      </c>
      <c r="I2430" s="8">
        <f t="shared" si="2271"/>
        <v>1250</v>
      </c>
      <c r="J2430" s="8">
        <v>0</v>
      </c>
      <c r="K2430" s="2">
        <v>0</v>
      </c>
      <c r="L2430" s="8">
        <f t="shared" si="2272"/>
        <v>5</v>
      </c>
      <c r="M2430" s="8">
        <f t="shared" si="2273"/>
        <v>1250</v>
      </c>
    </row>
    <row r="2431" spans="1:13" ht="15" customHeight="1" x14ac:dyDescent="0.25">
      <c r="A2431" s="24">
        <v>42985</v>
      </c>
      <c r="B2431" s="9" t="s">
        <v>17</v>
      </c>
      <c r="C2431" s="9">
        <v>5000</v>
      </c>
      <c r="D2431" s="9" t="s">
        <v>11</v>
      </c>
      <c r="E2431" s="19">
        <v>198.7</v>
      </c>
      <c r="F2431" s="19">
        <v>198.2</v>
      </c>
      <c r="G2431" s="9">
        <v>0</v>
      </c>
      <c r="H2431" s="15">
        <v>0</v>
      </c>
      <c r="I2431" s="8">
        <f t="shared" si="2271"/>
        <v>2500</v>
      </c>
      <c r="J2431" s="8">
        <v>0</v>
      </c>
      <c r="K2431" s="2">
        <v>0</v>
      </c>
      <c r="L2431" s="8">
        <f t="shared" si="2272"/>
        <v>0.5</v>
      </c>
      <c r="M2431" s="8">
        <f t="shared" si="2273"/>
        <v>2500</v>
      </c>
    </row>
    <row r="2432" spans="1:13" ht="15" customHeight="1" x14ac:dyDescent="0.25">
      <c r="A2432" s="24">
        <v>42985</v>
      </c>
      <c r="B2432" s="9" t="s">
        <v>14</v>
      </c>
      <c r="C2432" s="9">
        <v>30</v>
      </c>
      <c r="D2432" s="9" t="s">
        <v>10</v>
      </c>
      <c r="E2432" s="19">
        <v>41300</v>
      </c>
      <c r="F2432" s="19">
        <v>41400</v>
      </c>
      <c r="G2432" s="9">
        <v>0</v>
      </c>
      <c r="H2432" s="15">
        <v>0</v>
      </c>
      <c r="I2432" s="8">
        <f t="shared" si="2271"/>
        <v>3000</v>
      </c>
      <c r="J2432" s="8">
        <v>0</v>
      </c>
      <c r="K2432" s="2">
        <v>0</v>
      </c>
      <c r="L2432" s="8">
        <f t="shared" si="2272"/>
        <v>100</v>
      </c>
      <c r="M2432" s="8">
        <f t="shared" si="2273"/>
        <v>3000</v>
      </c>
    </row>
    <row r="2433" spans="1:13" ht="15" customHeight="1" x14ac:dyDescent="0.25">
      <c r="A2433" s="24">
        <v>42985</v>
      </c>
      <c r="B2433" s="9" t="s">
        <v>18</v>
      </c>
      <c r="C2433" s="9">
        <v>1000</v>
      </c>
      <c r="D2433" s="9" t="s">
        <v>11</v>
      </c>
      <c r="E2433" s="19">
        <v>446</v>
      </c>
      <c r="F2433" s="19">
        <v>445</v>
      </c>
      <c r="G2433" s="9">
        <v>444</v>
      </c>
      <c r="H2433" s="15">
        <v>0</v>
      </c>
      <c r="I2433" s="8">
        <f t="shared" si="2271"/>
        <v>1000</v>
      </c>
      <c r="J2433" s="8">
        <f>(IF(D2433="SELL",IF(G2433="",0,F2433-G2433),IF(D2433="BUY",IF(G2433="",0,G2433-F2433))))*C2433</f>
        <v>1000</v>
      </c>
      <c r="K2433" s="2">
        <v>0</v>
      </c>
      <c r="L2433" s="8">
        <f t="shared" si="2272"/>
        <v>2</v>
      </c>
      <c r="M2433" s="8">
        <f t="shared" si="2273"/>
        <v>2000</v>
      </c>
    </row>
    <row r="2434" spans="1:13" ht="15" customHeight="1" x14ac:dyDescent="0.25">
      <c r="A2434" s="24">
        <v>42985</v>
      </c>
      <c r="B2434" s="9" t="s">
        <v>16</v>
      </c>
      <c r="C2434" s="9">
        <v>100</v>
      </c>
      <c r="D2434" s="9" t="s">
        <v>11</v>
      </c>
      <c r="E2434" s="19">
        <v>3146</v>
      </c>
      <c r="F2434" s="19">
        <v>3136</v>
      </c>
      <c r="G2434" s="9">
        <v>0</v>
      </c>
      <c r="H2434" s="15">
        <v>0</v>
      </c>
      <c r="I2434" s="8">
        <f t="shared" si="2271"/>
        <v>1000</v>
      </c>
      <c r="J2434" s="8">
        <f>(IF(D2434="SELL",IF(G2434="",0,F2434-G2434),IF(D2434="BUY",IF(G2434="",0,G2434-F2434))))*C2434</f>
        <v>313600</v>
      </c>
      <c r="K2434" s="2">
        <v>0</v>
      </c>
      <c r="L2434" s="8">
        <f t="shared" si="2272"/>
        <v>3146</v>
      </c>
      <c r="M2434" s="8">
        <f t="shared" si="2273"/>
        <v>314600</v>
      </c>
    </row>
    <row r="2435" spans="1:13" ht="15" customHeight="1" x14ac:dyDescent="0.25">
      <c r="A2435" s="24">
        <v>42984</v>
      </c>
      <c r="B2435" s="9" t="s">
        <v>15</v>
      </c>
      <c r="C2435" s="9">
        <v>5000</v>
      </c>
      <c r="D2435" s="9" t="s">
        <v>11</v>
      </c>
      <c r="E2435" s="19">
        <v>148.1</v>
      </c>
      <c r="F2435" s="19">
        <v>149.69999999999999</v>
      </c>
      <c r="G2435" s="9">
        <v>0</v>
      </c>
      <c r="H2435" s="15">
        <v>0</v>
      </c>
      <c r="I2435" s="8">
        <f t="shared" ref="I2435:I2445" si="2274">(IF(D2435="SELL",E2435-F2435,IF(D2435="BUY",F2435-E2435)))*C2435</f>
        <v>-7999.9999999999718</v>
      </c>
      <c r="J2435" s="8">
        <v>0</v>
      </c>
      <c r="K2435" s="2">
        <f>(IF(D2435="SELL",IF(H2435="",0,G2435-H2435),IF(D2435="BUY",IF(H2435="",0,(H2435-G2435)))))*C2435</f>
        <v>0</v>
      </c>
      <c r="L2435" s="8">
        <f t="shared" ref="L2435:L2445" si="2275">(J2435+I2435+K2435)/C2435</f>
        <v>-1.5999999999999943</v>
      </c>
      <c r="M2435" s="8">
        <f t="shared" ref="M2435:M2445" si="2276">L2435*C2435</f>
        <v>-7999.9999999999718</v>
      </c>
    </row>
    <row r="2436" spans="1:13" ht="15" customHeight="1" x14ac:dyDescent="0.25">
      <c r="A2436" s="24">
        <v>42984</v>
      </c>
      <c r="B2436" s="9" t="s">
        <v>16</v>
      </c>
      <c r="C2436" s="9">
        <v>100</v>
      </c>
      <c r="D2436" s="9" t="s">
        <v>10</v>
      </c>
      <c r="E2436" s="19">
        <v>3130</v>
      </c>
      <c r="F2436" s="19">
        <v>3145</v>
      </c>
      <c r="G2436" s="9">
        <v>3164</v>
      </c>
      <c r="H2436" s="15">
        <v>0</v>
      </c>
      <c r="I2436" s="8">
        <f t="shared" si="2274"/>
        <v>1500</v>
      </c>
      <c r="J2436" s="8">
        <f>(IF(D2436="SELL",IF(G2436="",0,F2436-G2436),IF(D2436="BUY",IF(G2436="",0,G2436-F2436))))*C2436</f>
        <v>1900</v>
      </c>
      <c r="K2436" s="2">
        <v>0</v>
      </c>
      <c r="L2436" s="8">
        <f t="shared" si="2275"/>
        <v>34</v>
      </c>
      <c r="M2436" s="8">
        <f t="shared" si="2276"/>
        <v>3400</v>
      </c>
    </row>
    <row r="2437" spans="1:13" ht="15" customHeight="1" x14ac:dyDescent="0.25">
      <c r="A2437" s="24">
        <v>42984</v>
      </c>
      <c r="B2437" s="9" t="s">
        <v>18</v>
      </c>
      <c r="C2437" s="9">
        <v>1000</v>
      </c>
      <c r="D2437" s="9" t="s">
        <v>10</v>
      </c>
      <c r="E2437" s="19">
        <v>446.9</v>
      </c>
      <c r="F2437" s="19">
        <v>448</v>
      </c>
      <c r="G2437" s="9">
        <v>0</v>
      </c>
      <c r="H2437" s="15">
        <v>769</v>
      </c>
      <c r="I2437" s="8">
        <f t="shared" si="2274"/>
        <v>1100.0000000000227</v>
      </c>
      <c r="J2437" s="8">
        <v>0</v>
      </c>
      <c r="K2437" s="2">
        <v>0</v>
      </c>
      <c r="L2437" s="8">
        <f t="shared" si="2275"/>
        <v>1.1000000000000227</v>
      </c>
      <c r="M2437" s="8">
        <f t="shared" si="2276"/>
        <v>1100.0000000000227</v>
      </c>
    </row>
    <row r="2438" spans="1:13" ht="15" customHeight="1" x14ac:dyDescent="0.25">
      <c r="A2438" s="24">
        <v>42984</v>
      </c>
      <c r="B2438" s="9" t="s">
        <v>21</v>
      </c>
      <c r="C2438" s="9">
        <v>250</v>
      </c>
      <c r="D2438" s="9" t="s">
        <v>10</v>
      </c>
      <c r="E2438" s="19">
        <v>774.5</v>
      </c>
      <c r="F2438" s="19">
        <v>765</v>
      </c>
      <c r="G2438" s="9">
        <v>0</v>
      </c>
      <c r="H2438" s="15">
        <v>0</v>
      </c>
      <c r="I2438" s="8">
        <f t="shared" si="2274"/>
        <v>-2375</v>
      </c>
      <c r="J2438" s="8">
        <v>0</v>
      </c>
      <c r="K2438" s="2">
        <f>(IF(D2438="SELL",IF(H2438="",0,G2438-H2438),IF(D2438="BUY",IF(H2438="",0,(H2438-G2438)))))*C2438</f>
        <v>0</v>
      </c>
      <c r="L2438" s="8">
        <f t="shared" si="2275"/>
        <v>-9.5</v>
      </c>
      <c r="M2438" s="8">
        <f t="shared" si="2276"/>
        <v>-2375</v>
      </c>
    </row>
    <row r="2439" spans="1:13" ht="15" customHeight="1" x14ac:dyDescent="0.25">
      <c r="A2439" s="24">
        <v>42984</v>
      </c>
      <c r="B2439" s="9" t="s">
        <v>17</v>
      </c>
      <c r="C2439" s="9">
        <v>5000</v>
      </c>
      <c r="D2439" s="9" t="s">
        <v>10</v>
      </c>
      <c r="E2439" s="19">
        <v>200.3</v>
      </c>
      <c r="F2439" s="19">
        <v>200.8</v>
      </c>
      <c r="G2439" s="9">
        <v>0</v>
      </c>
      <c r="H2439" s="15">
        <v>769</v>
      </c>
      <c r="I2439" s="8">
        <f t="shared" si="2274"/>
        <v>2500</v>
      </c>
      <c r="J2439" s="8">
        <v>0</v>
      </c>
      <c r="K2439" s="2">
        <v>0</v>
      </c>
      <c r="L2439" s="8">
        <f t="shared" si="2275"/>
        <v>0.5</v>
      </c>
      <c r="M2439" s="8">
        <f t="shared" si="2276"/>
        <v>2500</v>
      </c>
    </row>
    <row r="2440" spans="1:13" ht="15" customHeight="1" x14ac:dyDescent="0.25">
      <c r="A2440" s="24">
        <v>42983</v>
      </c>
      <c r="B2440" s="9" t="s">
        <v>21</v>
      </c>
      <c r="C2440" s="9">
        <v>250</v>
      </c>
      <c r="D2440" s="9" t="s">
        <v>11</v>
      </c>
      <c r="E2440" s="19">
        <v>782</v>
      </c>
      <c r="F2440" s="19">
        <v>778</v>
      </c>
      <c r="G2440" s="9">
        <v>774</v>
      </c>
      <c r="H2440" s="15">
        <v>769</v>
      </c>
      <c r="I2440" s="8">
        <f t="shared" si="2274"/>
        <v>1000</v>
      </c>
      <c r="J2440" s="8">
        <f>(IF(D2440="SELL",IF(G2440="",0,F2440-G2440),IF(D2440="BUY",IF(G2440="",0,G2440-F2440))))*C2440</f>
        <v>1000</v>
      </c>
      <c r="K2440" s="2">
        <f>(IF(D2440="SELL",IF(H2440="",0,G2440-H2440),IF(D2440="BUY",IF(H2440="",0,(H2440-G2440)))))*C2440</f>
        <v>1250</v>
      </c>
      <c r="L2440" s="8">
        <f t="shared" si="2275"/>
        <v>13</v>
      </c>
      <c r="M2440" s="8">
        <f t="shared" si="2276"/>
        <v>3250</v>
      </c>
    </row>
    <row r="2441" spans="1:13" ht="15" customHeight="1" x14ac:dyDescent="0.25">
      <c r="A2441" s="24">
        <v>42983</v>
      </c>
      <c r="B2441" s="9" t="s">
        <v>17</v>
      </c>
      <c r="C2441" s="9">
        <v>5000</v>
      </c>
      <c r="D2441" s="9" t="s">
        <v>11</v>
      </c>
      <c r="E2441" s="19">
        <v>204.5</v>
      </c>
      <c r="F2441" s="19">
        <v>204</v>
      </c>
      <c r="G2441" s="9">
        <v>203.4</v>
      </c>
      <c r="H2441" s="15">
        <v>0</v>
      </c>
      <c r="I2441" s="8">
        <f t="shared" si="2274"/>
        <v>2500</v>
      </c>
      <c r="J2441" s="8">
        <f>(IF(D2441="SELL",IF(G2441="",0,F2441-G2441),IF(D2441="BUY",IF(G2441="",0,G2441-F2441))))*C2441</f>
        <v>2999.9999999999718</v>
      </c>
      <c r="K2441" s="2">
        <v>0</v>
      </c>
      <c r="L2441" s="8">
        <f t="shared" si="2275"/>
        <v>1.0999999999999943</v>
      </c>
      <c r="M2441" s="8">
        <f t="shared" si="2276"/>
        <v>5499.9999999999718</v>
      </c>
    </row>
    <row r="2442" spans="1:13" ht="15" customHeight="1" x14ac:dyDescent="0.25">
      <c r="A2442" s="24">
        <v>42983</v>
      </c>
      <c r="B2442" s="9" t="s">
        <v>16</v>
      </c>
      <c r="C2442" s="9">
        <v>100</v>
      </c>
      <c r="D2442" s="9" t="s">
        <v>10</v>
      </c>
      <c r="E2442" s="19">
        <v>3065</v>
      </c>
      <c r="F2442" s="19">
        <v>3095</v>
      </c>
      <c r="G2442" s="9">
        <v>3125</v>
      </c>
      <c r="H2442" s="15">
        <v>0</v>
      </c>
      <c r="I2442" s="8">
        <f t="shared" si="2274"/>
        <v>3000</v>
      </c>
      <c r="J2442" s="8">
        <f>(IF(D2442="SELL",IF(G2442="",0,F2442-G2442),IF(D2442="BUY",IF(G2442="",0,G2442-F2442))))*C2442</f>
        <v>3000</v>
      </c>
      <c r="K2442" s="2">
        <v>0</v>
      </c>
      <c r="L2442" s="8">
        <f t="shared" si="2275"/>
        <v>60</v>
      </c>
      <c r="M2442" s="8">
        <f t="shared" si="2276"/>
        <v>6000</v>
      </c>
    </row>
    <row r="2443" spans="1:13" ht="15" customHeight="1" x14ac:dyDescent="0.25">
      <c r="A2443" s="24">
        <v>42983</v>
      </c>
      <c r="B2443" s="9" t="s">
        <v>19</v>
      </c>
      <c r="C2443" s="9">
        <v>100</v>
      </c>
      <c r="D2443" s="9" t="s">
        <v>11</v>
      </c>
      <c r="E2443" s="19">
        <v>30085</v>
      </c>
      <c r="F2443" s="19">
        <v>30040</v>
      </c>
      <c r="G2443" s="9">
        <v>29981</v>
      </c>
      <c r="H2443" s="15">
        <v>0</v>
      </c>
      <c r="I2443" s="8">
        <f t="shared" si="2274"/>
        <v>4500</v>
      </c>
      <c r="J2443" s="8">
        <f>(IF(D2443="SELL",IF(G2443="",0,F2443-G2443),IF(D2443="BUY",IF(G2443="",0,G2443-F2443))))*C2443</f>
        <v>5900</v>
      </c>
      <c r="K2443" s="2">
        <v>0</v>
      </c>
      <c r="L2443" s="8">
        <f t="shared" si="2275"/>
        <v>104</v>
      </c>
      <c r="M2443" s="8">
        <f t="shared" si="2276"/>
        <v>10400</v>
      </c>
    </row>
    <row r="2444" spans="1:13" ht="15" customHeight="1" x14ac:dyDescent="0.25">
      <c r="A2444" s="24">
        <v>42982</v>
      </c>
      <c r="B2444" s="9" t="s">
        <v>18</v>
      </c>
      <c r="C2444" s="9">
        <v>1000</v>
      </c>
      <c r="D2444" s="9" t="s">
        <v>10</v>
      </c>
      <c r="E2444" s="19">
        <v>445.4</v>
      </c>
      <c r="F2444" s="19">
        <v>446.4</v>
      </c>
      <c r="G2444" s="9">
        <v>0</v>
      </c>
      <c r="H2444" s="15">
        <v>0</v>
      </c>
      <c r="I2444" s="8">
        <f t="shared" si="2274"/>
        <v>1000</v>
      </c>
      <c r="J2444" s="8">
        <v>0</v>
      </c>
      <c r="K2444" s="2">
        <f>(IF(D2444="SELL",IF(H2444="",0,G2444-H2444),IF(D2444="BUY",IF(H2444="",0,(H2444-G2444)))))*C2444</f>
        <v>0</v>
      </c>
      <c r="L2444" s="8">
        <f t="shared" si="2275"/>
        <v>1</v>
      </c>
      <c r="M2444" s="8">
        <f t="shared" si="2276"/>
        <v>1000</v>
      </c>
    </row>
    <row r="2445" spans="1:13" ht="15" customHeight="1" x14ac:dyDescent="0.25">
      <c r="A2445" s="24">
        <v>42982</v>
      </c>
      <c r="B2445" s="9" t="s">
        <v>19</v>
      </c>
      <c r="C2445" s="9">
        <v>100</v>
      </c>
      <c r="D2445" s="9" t="s">
        <v>10</v>
      </c>
      <c r="E2445" s="19">
        <v>30088</v>
      </c>
      <c r="F2445" s="19">
        <v>30130</v>
      </c>
      <c r="G2445" s="9">
        <v>0</v>
      </c>
      <c r="H2445" s="15">
        <v>0</v>
      </c>
      <c r="I2445" s="8">
        <f t="shared" si="2274"/>
        <v>4200</v>
      </c>
      <c r="J2445" s="8">
        <v>0</v>
      </c>
      <c r="K2445" s="2">
        <f>(IF(D2445="SELL",IF(H2445="",0,G2445-H2445),IF(D2445="BUY",IF(H2445="",0,(H2445-G2445)))))*C2445</f>
        <v>0</v>
      </c>
      <c r="L2445" s="8">
        <f t="shared" si="2275"/>
        <v>42</v>
      </c>
      <c r="M2445" s="8">
        <f t="shared" si="2276"/>
        <v>4200</v>
      </c>
    </row>
    <row r="2446" spans="1:13" ht="15" customHeight="1" x14ac:dyDescent="0.25">
      <c r="A2446" s="24">
        <v>42982</v>
      </c>
      <c r="B2446" s="9" t="s">
        <v>18</v>
      </c>
      <c r="C2446" s="9">
        <v>1000</v>
      </c>
      <c r="D2446" s="9" t="s">
        <v>10</v>
      </c>
      <c r="E2446" s="19">
        <v>445.4</v>
      </c>
      <c r="F2446" s="19">
        <v>446.4</v>
      </c>
      <c r="G2446" s="9">
        <v>0</v>
      </c>
      <c r="H2446" s="15">
        <v>0</v>
      </c>
      <c r="I2446" s="8">
        <f t="shared" ref="I2446:I2452" si="2277">(IF(D2446="SELL",E2446-F2446,IF(D2446="BUY",F2446-E2446)))*C2446</f>
        <v>1000</v>
      </c>
      <c r="J2446" s="8">
        <v>0</v>
      </c>
      <c r="K2446" s="2">
        <f t="shared" ref="K2446:K2451" si="2278">(IF(D2446="SELL",IF(H2446="",0,G2446-H2446),IF(D2446="BUY",IF(H2446="",0,(H2446-G2446)))))*C2446</f>
        <v>0</v>
      </c>
      <c r="L2446" s="8">
        <f t="shared" ref="L2446:L2452" si="2279">(J2446+I2446+K2446)/C2446</f>
        <v>1</v>
      </c>
      <c r="M2446" s="8">
        <f t="shared" ref="M2446:M2452" si="2280">L2446*C2446</f>
        <v>1000</v>
      </c>
    </row>
    <row r="2447" spans="1:13" ht="15" customHeight="1" x14ac:dyDescent="0.25">
      <c r="A2447" s="24">
        <v>42982</v>
      </c>
      <c r="B2447" s="9" t="s">
        <v>17</v>
      </c>
      <c r="C2447" s="9">
        <v>5000</v>
      </c>
      <c r="D2447" s="9" t="s">
        <v>10</v>
      </c>
      <c r="E2447" s="19">
        <v>204.1</v>
      </c>
      <c r="F2447" s="19">
        <v>204.6</v>
      </c>
      <c r="G2447" s="9">
        <v>205.2</v>
      </c>
      <c r="H2447" s="15">
        <v>0</v>
      </c>
      <c r="I2447" s="8">
        <f t="shared" si="2277"/>
        <v>2500</v>
      </c>
      <c r="J2447" s="8">
        <v>0</v>
      </c>
      <c r="K2447" s="2">
        <v>0</v>
      </c>
      <c r="L2447" s="8">
        <f t="shared" si="2279"/>
        <v>0.5</v>
      </c>
      <c r="M2447" s="8">
        <f t="shared" si="2280"/>
        <v>2500</v>
      </c>
    </row>
    <row r="2448" spans="1:13" ht="15" customHeight="1" x14ac:dyDescent="0.25">
      <c r="A2448" s="24">
        <v>42982</v>
      </c>
      <c r="B2448" s="9" t="s">
        <v>21</v>
      </c>
      <c r="C2448" s="9">
        <v>250</v>
      </c>
      <c r="D2448" s="9" t="s">
        <v>10</v>
      </c>
      <c r="E2448" s="19">
        <v>780.3</v>
      </c>
      <c r="F2448" s="19">
        <v>784.5</v>
      </c>
      <c r="G2448" s="9">
        <v>0</v>
      </c>
      <c r="H2448" s="15">
        <v>0</v>
      </c>
      <c r="I2448" s="8">
        <f t="shared" si="2277"/>
        <v>1050.0000000000114</v>
      </c>
      <c r="J2448" s="8">
        <v>0</v>
      </c>
      <c r="K2448" s="2">
        <f t="shared" si="2278"/>
        <v>0</v>
      </c>
      <c r="L2448" s="8">
        <f t="shared" si="2279"/>
        <v>4.2000000000000455</v>
      </c>
      <c r="M2448" s="8">
        <f t="shared" si="2280"/>
        <v>1050.0000000000114</v>
      </c>
    </row>
    <row r="2449" spans="1:13" ht="15" customHeight="1" x14ac:dyDescent="0.25">
      <c r="A2449" s="24">
        <v>42979</v>
      </c>
      <c r="B2449" s="9" t="s">
        <v>19</v>
      </c>
      <c r="C2449" s="9">
        <v>100</v>
      </c>
      <c r="D2449" s="9" t="s">
        <v>11</v>
      </c>
      <c r="E2449" s="19">
        <v>29730</v>
      </c>
      <c r="F2449" s="19">
        <v>29845</v>
      </c>
      <c r="G2449" s="9">
        <v>0</v>
      </c>
      <c r="H2449" s="15">
        <v>0</v>
      </c>
      <c r="I2449" s="8">
        <f t="shared" si="2277"/>
        <v>-11500</v>
      </c>
      <c r="J2449" s="8">
        <v>0</v>
      </c>
      <c r="K2449" s="2">
        <f t="shared" si="2278"/>
        <v>0</v>
      </c>
      <c r="L2449" s="8">
        <f t="shared" si="2279"/>
        <v>-115</v>
      </c>
      <c r="M2449" s="8">
        <f t="shared" si="2280"/>
        <v>-11500</v>
      </c>
    </row>
    <row r="2450" spans="1:13" ht="15" customHeight="1" x14ac:dyDescent="0.25">
      <c r="A2450" s="24">
        <v>42979</v>
      </c>
      <c r="B2450" s="9" t="s">
        <v>17</v>
      </c>
      <c r="C2450" s="9">
        <v>5000</v>
      </c>
      <c r="D2450" s="9" t="s">
        <v>10</v>
      </c>
      <c r="E2450" s="19">
        <v>201.4</v>
      </c>
      <c r="F2450" s="19">
        <v>201.9</v>
      </c>
      <c r="G2450" s="9">
        <v>202.45</v>
      </c>
      <c r="H2450" s="15">
        <v>0</v>
      </c>
      <c r="I2450" s="8">
        <f t="shared" si="2277"/>
        <v>2500</v>
      </c>
      <c r="J2450" s="8">
        <f>(IF(D2450="SELL",IF(G2450="",0,F2450-G2450),IF(D2450="BUY",IF(G2450="",0,G2450-F2450))))*C2450</f>
        <v>2749.9999999999145</v>
      </c>
      <c r="K2450" s="2">
        <v>0</v>
      </c>
      <c r="L2450" s="8">
        <f t="shared" si="2279"/>
        <v>1.0499999999999829</v>
      </c>
      <c r="M2450" s="8">
        <f t="shared" si="2280"/>
        <v>5249.9999999999145</v>
      </c>
    </row>
    <row r="2451" spans="1:13" ht="15" customHeight="1" x14ac:dyDescent="0.25">
      <c r="A2451" s="24">
        <v>42979</v>
      </c>
      <c r="B2451" s="9" t="s">
        <v>16</v>
      </c>
      <c r="C2451" s="9">
        <v>100</v>
      </c>
      <c r="D2451" s="9" t="s">
        <v>11</v>
      </c>
      <c r="E2451" s="19">
        <v>3011</v>
      </c>
      <c r="F2451" s="19">
        <v>2993</v>
      </c>
      <c r="G2451" s="9">
        <v>0</v>
      </c>
      <c r="H2451" s="15">
        <v>0</v>
      </c>
      <c r="I2451" s="8">
        <f t="shared" si="2277"/>
        <v>1800</v>
      </c>
      <c r="J2451" s="8">
        <v>0</v>
      </c>
      <c r="K2451" s="2">
        <f t="shared" si="2278"/>
        <v>0</v>
      </c>
      <c r="L2451" s="8">
        <f t="shared" si="2279"/>
        <v>18</v>
      </c>
      <c r="M2451" s="8">
        <f t="shared" si="2280"/>
        <v>1800</v>
      </c>
    </row>
    <row r="2452" spans="1:13" ht="15" customHeight="1" x14ac:dyDescent="0.25">
      <c r="A2452" s="24">
        <v>42979</v>
      </c>
      <c r="B2452" s="9" t="s">
        <v>21</v>
      </c>
      <c r="C2452" s="9">
        <v>250</v>
      </c>
      <c r="D2452" s="9" t="s">
        <v>10</v>
      </c>
      <c r="E2452" s="19">
        <v>755.5</v>
      </c>
      <c r="F2452" s="19">
        <v>759</v>
      </c>
      <c r="G2452" s="9">
        <v>764</v>
      </c>
      <c r="H2452" s="15">
        <v>0</v>
      </c>
      <c r="I2452" s="8">
        <f t="shared" si="2277"/>
        <v>875</v>
      </c>
      <c r="J2452" s="8">
        <f>(IF(D2452="SELL",IF(G2452="",0,F2452-G2452),IF(D2452="BUY",IF(G2452="",0,G2452-F2452))))*C2452</f>
        <v>1250</v>
      </c>
      <c r="K2452" s="2">
        <v>0</v>
      </c>
      <c r="L2452" s="8">
        <f t="shared" si="2279"/>
        <v>8.5</v>
      </c>
      <c r="M2452" s="8">
        <f t="shared" si="2280"/>
        <v>2125</v>
      </c>
    </row>
    <row r="2453" spans="1:13" ht="15" customHeight="1" x14ac:dyDescent="0.25">
      <c r="A2453" s="24">
        <v>42978</v>
      </c>
      <c r="B2453" s="9" t="s">
        <v>17</v>
      </c>
      <c r="C2453" s="9">
        <v>5000</v>
      </c>
      <c r="D2453" s="9" t="s">
        <v>10</v>
      </c>
      <c r="E2453" s="19">
        <v>198.5</v>
      </c>
      <c r="F2453" s="19">
        <v>199</v>
      </c>
      <c r="G2453" s="9">
        <v>199.7</v>
      </c>
      <c r="H2453" s="15">
        <v>200.8</v>
      </c>
      <c r="I2453" s="8">
        <f t="shared" ref="I2453:I2473" si="2281">(IF(D2453="SELL",E2453-F2453,IF(D2453="BUY",F2453-E2453)))*C2453</f>
        <v>2500</v>
      </c>
      <c r="J2453" s="8">
        <f>(IF(D2453="SELL",IF(G2453="",0,F2453-G2453),IF(D2453="BUY",IF(G2453="",0,G2453-F2453))))*C2453</f>
        <v>3499.9999999999432</v>
      </c>
      <c r="K2453" s="2">
        <f>(IF(D2453="SELL",IF(H2453="",0,G2453-H2453),IF(D2453="BUY",IF(H2453="",0,(H2453-G2453)))))*C2453</f>
        <v>5500.0000000001137</v>
      </c>
      <c r="L2453" s="8">
        <f t="shared" ref="L2453:L2473" si="2282">(J2453+I2453+K2453)/C2453</f>
        <v>2.3000000000000118</v>
      </c>
      <c r="M2453" s="8">
        <f t="shared" ref="M2453:M2473" si="2283">L2453*C2453</f>
        <v>11500.000000000058</v>
      </c>
    </row>
    <row r="2454" spans="1:13" ht="15" customHeight="1" x14ac:dyDescent="0.25">
      <c r="A2454" s="24">
        <v>42977</v>
      </c>
      <c r="B2454" s="9" t="s">
        <v>14</v>
      </c>
      <c r="C2454" s="9">
        <v>30</v>
      </c>
      <c r="D2454" s="9" t="s">
        <v>11</v>
      </c>
      <c r="E2454" s="19">
        <v>29600</v>
      </c>
      <c r="F2454" s="19">
        <v>29810</v>
      </c>
      <c r="G2454" s="9">
        <v>0</v>
      </c>
      <c r="H2454" s="15">
        <v>0</v>
      </c>
      <c r="I2454" s="8">
        <f t="shared" si="2281"/>
        <v>-6300</v>
      </c>
      <c r="J2454" s="8">
        <v>0</v>
      </c>
      <c r="K2454" s="2">
        <v>0</v>
      </c>
      <c r="L2454" s="8">
        <f t="shared" si="2282"/>
        <v>-210</v>
      </c>
      <c r="M2454" s="8">
        <f t="shared" si="2283"/>
        <v>-6300</v>
      </c>
    </row>
    <row r="2455" spans="1:13" ht="15" customHeight="1" x14ac:dyDescent="0.25">
      <c r="A2455" s="24">
        <v>42977</v>
      </c>
      <c r="B2455" s="9" t="s">
        <v>19</v>
      </c>
      <c r="C2455" s="9">
        <v>100</v>
      </c>
      <c r="D2455" s="9" t="s">
        <v>11</v>
      </c>
      <c r="E2455" s="19">
        <v>29585</v>
      </c>
      <c r="F2455" s="19">
        <v>29540</v>
      </c>
      <c r="G2455" s="9">
        <v>29470</v>
      </c>
      <c r="H2455" s="15">
        <v>0</v>
      </c>
      <c r="I2455" s="8">
        <f t="shared" si="2281"/>
        <v>4500</v>
      </c>
      <c r="J2455" s="8">
        <f>(IF(D2455="SELL",IF(G2455="",0,F2455-G2455),IF(D2455="BUY",IF(G2455="",0,G2455-F2455))))*C2455</f>
        <v>7000</v>
      </c>
      <c r="K2455" s="2">
        <v>0</v>
      </c>
      <c r="L2455" s="8">
        <f t="shared" si="2282"/>
        <v>115</v>
      </c>
      <c r="M2455" s="8">
        <f t="shared" si="2283"/>
        <v>11500</v>
      </c>
    </row>
    <row r="2456" spans="1:13" ht="15" customHeight="1" x14ac:dyDescent="0.25">
      <c r="A2456" s="24">
        <v>42977</v>
      </c>
      <c r="B2456" s="9" t="s">
        <v>18</v>
      </c>
      <c r="C2456" s="9">
        <v>1000</v>
      </c>
      <c r="D2456" s="9" t="s">
        <v>10</v>
      </c>
      <c r="E2456" s="19">
        <v>434.8</v>
      </c>
      <c r="F2456" s="19">
        <v>435.8</v>
      </c>
      <c r="G2456" s="9">
        <v>0</v>
      </c>
      <c r="H2456" s="15">
        <v>0</v>
      </c>
      <c r="I2456" s="8">
        <f t="shared" si="2281"/>
        <v>1000</v>
      </c>
      <c r="J2456" s="8">
        <v>0</v>
      </c>
      <c r="K2456" s="2">
        <v>0</v>
      </c>
      <c r="L2456" s="8">
        <f t="shared" si="2282"/>
        <v>1</v>
      </c>
      <c r="M2456" s="8">
        <f t="shared" si="2283"/>
        <v>1000</v>
      </c>
    </row>
    <row r="2457" spans="1:13" ht="15" customHeight="1" x14ac:dyDescent="0.25">
      <c r="A2457" s="24">
        <v>42977</v>
      </c>
      <c r="B2457" s="9" t="s">
        <v>21</v>
      </c>
      <c r="C2457" s="9">
        <v>250</v>
      </c>
      <c r="D2457" s="9" t="s">
        <v>10</v>
      </c>
      <c r="E2457" s="19">
        <v>745.7</v>
      </c>
      <c r="F2457" s="19">
        <v>749</v>
      </c>
      <c r="G2457" s="9">
        <v>0</v>
      </c>
      <c r="H2457" s="15">
        <v>0</v>
      </c>
      <c r="I2457" s="8">
        <f t="shared" si="2281"/>
        <v>824.99999999998863</v>
      </c>
      <c r="J2457" s="8">
        <v>0</v>
      </c>
      <c r="K2457" s="2">
        <v>0</v>
      </c>
      <c r="L2457" s="8">
        <f t="shared" si="2282"/>
        <v>3.2999999999999545</v>
      </c>
      <c r="M2457" s="8">
        <f t="shared" si="2283"/>
        <v>824.99999999998863</v>
      </c>
    </row>
    <row r="2458" spans="1:13" ht="15" customHeight="1" x14ac:dyDescent="0.25">
      <c r="A2458" s="24">
        <v>42977</v>
      </c>
      <c r="B2458" s="9" t="s">
        <v>17</v>
      </c>
      <c r="C2458" s="9">
        <v>5000</v>
      </c>
      <c r="D2458" s="9" t="s">
        <v>10</v>
      </c>
      <c r="E2458" s="19">
        <v>199.6</v>
      </c>
      <c r="F2458" s="19">
        <v>200.2</v>
      </c>
      <c r="G2458" s="9">
        <v>200.9</v>
      </c>
      <c r="H2458" s="15">
        <v>0</v>
      </c>
      <c r="I2458" s="8">
        <f t="shared" si="2281"/>
        <v>2999.9999999999718</v>
      </c>
      <c r="J2458" s="8">
        <f>(IF(D2458="SELL",IF(G2458="",0,F2458-G2458),IF(D2458="BUY",IF(G2458="",0,G2458-F2458))))*C2458</f>
        <v>3500.0000000000855</v>
      </c>
      <c r="K2458" s="2">
        <v>0</v>
      </c>
      <c r="L2458" s="8">
        <f t="shared" si="2282"/>
        <v>1.3000000000000114</v>
      </c>
      <c r="M2458" s="8">
        <f t="shared" si="2283"/>
        <v>6500.0000000000564</v>
      </c>
    </row>
    <row r="2459" spans="1:13" ht="15" customHeight="1" x14ac:dyDescent="0.25">
      <c r="A2459" s="24">
        <v>42976</v>
      </c>
      <c r="B2459" s="9" t="s">
        <v>17</v>
      </c>
      <c r="C2459" s="9">
        <v>5000</v>
      </c>
      <c r="D2459" s="9" t="s">
        <v>10</v>
      </c>
      <c r="E2459" s="19">
        <v>198.3</v>
      </c>
      <c r="F2459" s="19">
        <v>197</v>
      </c>
      <c r="G2459" s="9">
        <v>0</v>
      </c>
      <c r="H2459" s="15">
        <v>0</v>
      </c>
      <c r="I2459" s="8">
        <f t="shared" si="2281"/>
        <v>-6500.0000000000564</v>
      </c>
      <c r="J2459" s="8">
        <v>0</v>
      </c>
      <c r="K2459" s="2">
        <v>0</v>
      </c>
      <c r="L2459" s="8">
        <f t="shared" si="2282"/>
        <v>-1.3000000000000114</v>
      </c>
      <c r="M2459" s="8">
        <f t="shared" si="2283"/>
        <v>-6500.0000000000564</v>
      </c>
    </row>
    <row r="2460" spans="1:13" ht="15" customHeight="1" x14ac:dyDescent="0.25">
      <c r="A2460" s="24">
        <v>42976</v>
      </c>
      <c r="B2460" s="9" t="s">
        <v>21</v>
      </c>
      <c r="C2460" s="9">
        <v>250</v>
      </c>
      <c r="D2460" s="9" t="s">
        <v>11</v>
      </c>
      <c r="E2460" s="19">
        <v>747</v>
      </c>
      <c r="F2460" s="19">
        <v>744</v>
      </c>
      <c r="G2460" s="9">
        <v>740</v>
      </c>
      <c r="H2460" s="15">
        <v>0</v>
      </c>
      <c r="I2460" s="8">
        <f t="shared" si="2281"/>
        <v>750</v>
      </c>
      <c r="J2460" s="8">
        <f>(IF(D2460="SELL",IF(G2460="",0,F2460-G2460),IF(D2460="BUY",IF(G2460="",0,G2460-F2460))))*C2460</f>
        <v>1000</v>
      </c>
      <c r="K2460" s="2">
        <v>0</v>
      </c>
      <c r="L2460" s="8">
        <f t="shared" si="2282"/>
        <v>7</v>
      </c>
      <c r="M2460" s="8">
        <f t="shared" si="2283"/>
        <v>1750</v>
      </c>
    </row>
    <row r="2461" spans="1:13" ht="15" customHeight="1" x14ac:dyDescent="0.25">
      <c r="A2461" s="24">
        <v>42976</v>
      </c>
      <c r="B2461" s="9" t="s">
        <v>19</v>
      </c>
      <c r="C2461" s="9">
        <v>100</v>
      </c>
      <c r="D2461" s="9" t="s">
        <v>10</v>
      </c>
      <c r="E2461" s="19">
        <v>29710</v>
      </c>
      <c r="F2461" s="19">
        <v>29749</v>
      </c>
      <c r="G2461" s="9">
        <v>29810</v>
      </c>
      <c r="H2461" s="15">
        <v>29890</v>
      </c>
      <c r="I2461" s="8">
        <f t="shared" si="2281"/>
        <v>3900</v>
      </c>
      <c r="J2461" s="8">
        <f>(IF(D2461="SELL",IF(G2461="",0,F2461-G2461),IF(D2461="BUY",IF(G2461="",0,G2461-F2461))))*C2461</f>
        <v>6100</v>
      </c>
      <c r="K2461" s="2">
        <f>(IF(D2461="SELL",IF(H2461="",0,G2461-H2461),IF(D2461="BUY",IF(H2461="",0,(H2461-G2461)))))*C2461</f>
        <v>8000</v>
      </c>
      <c r="L2461" s="8">
        <f t="shared" si="2282"/>
        <v>180</v>
      </c>
      <c r="M2461" s="8">
        <f t="shared" si="2283"/>
        <v>18000</v>
      </c>
    </row>
    <row r="2462" spans="1:13" ht="15" customHeight="1" x14ac:dyDescent="0.25">
      <c r="A2462" s="24">
        <v>42975</v>
      </c>
      <c r="B2462" s="9" t="s">
        <v>20</v>
      </c>
      <c r="C2462" s="9">
        <v>1250</v>
      </c>
      <c r="D2462" s="9" t="s">
        <v>11</v>
      </c>
      <c r="E2462" s="19">
        <v>183.3</v>
      </c>
      <c r="F2462" s="19">
        <v>182.7</v>
      </c>
      <c r="G2462" s="9">
        <v>0</v>
      </c>
      <c r="H2462" s="15">
        <v>0</v>
      </c>
      <c r="I2462" s="8">
        <f t="shared" si="2281"/>
        <v>750.00000000002842</v>
      </c>
      <c r="J2462" s="8">
        <v>0</v>
      </c>
      <c r="K2462" s="2">
        <v>0</v>
      </c>
      <c r="L2462" s="8">
        <f t="shared" si="2282"/>
        <v>0.60000000000002274</v>
      </c>
      <c r="M2462" s="8">
        <f t="shared" si="2283"/>
        <v>750.00000000002842</v>
      </c>
    </row>
    <row r="2463" spans="1:13" ht="15" customHeight="1" x14ac:dyDescent="0.25">
      <c r="A2463" s="24">
        <v>42975</v>
      </c>
      <c r="B2463" s="9" t="s">
        <v>16</v>
      </c>
      <c r="C2463" s="9">
        <v>100</v>
      </c>
      <c r="D2463" s="9" t="s">
        <v>11</v>
      </c>
      <c r="E2463" s="19">
        <v>3047</v>
      </c>
      <c r="F2463" s="19">
        <v>3031</v>
      </c>
      <c r="G2463" s="9">
        <v>0</v>
      </c>
      <c r="H2463" s="15">
        <v>0</v>
      </c>
      <c r="I2463" s="8">
        <f t="shared" si="2281"/>
        <v>1600</v>
      </c>
      <c r="J2463" s="8">
        <v>0</v>
      </c>
      <c r="K2463" s="2">
        <v>0</v>
      </c>
      <c r="L2463" s="8">
        <f t="shared" si="2282"/>
        <v>16</v>
      </c>
      <c r="M2463" s="8">
        <f t="shared" si="2283"/>
        <v>1600</v>
      </c>
    </row>
    <row r="2464" spans="1:13" ht="15" customHeight="1" x14ac:dyDescent="0.25">
      <c r="A2464" s="24">
        <v>42975</v>
      </c>
      <c r="B2464" s="9" t="s">
        <v>19</v>
      </c>
      <c r="C2464" s="9">
        <v>100</v>
      </c>
      <c r="D2464" s="9" t="s">
        <v>10</v>
      </c>
      <c r="E2464" s="19">
        <v>29200</v>
      </c>
      <c r="F2464" s="19">
        <v>29246</v>
      </c>
      <c r="G2464" s="9">
        <v>29295</v>
      </c>
      <c r="H2464" s="15">
        <v>0</v>
      </c>
      <c r="I2464" s="8">
        <f t="shared" si="2281"/>
        <v>4600</v>
      </c>
      <c r="J2464" s="8">
        <f>(IF(D2464="SELL",IF(G2464="",0,F2464-G2464),IF(D2464="BUY",IF(G2464="",0,G2464-F2464))))*C2464</f>
        <v>4900</v>
      </c>
      <c r="K2464" s="2">
        <v>0</v>
      </c>
      <c r="L2464" s="8">
        <f t="shared" si="2282"/>
        <v>95</v>
      </c>
      <c r="M2464" s="8">
        <f t="shared" si="2283"/>
        <v>9500</v>
      </c>
    </row>
    <row r="2465" spans="1:13" ht="15" customHeight="1" x14ac:dyDescent="0.25">
      <c r="A2465" s="24">
        <v>42975</v>
      </c>
      <c r="B2465" s="9" t="s">
        <v>18</v>
      </c>
      <c r="C2465" s="9">
        <v>1000</v>
      </c>
      <c r="D2465" s="9" t="s">
        <v>10</v>
      </c>
      <c r="E2465" s="19">
        <v>429.3</v>
      </c>
      <c r="F2465" s="19">
        <v>430.3</v>
      </c>
      <c r="G2465" s="9">
        <v>431.6</v>
      </c>
      <c r="H2465" s="15">
        <v>433.9</v>
      </c>
      <c r="I2465" s="8">
        <f t="shared" si="2281"/>
        <v>1000</v>
      </c>
      <c r="J2465" s="8">
        <f>(IF(D2465="SELL",IF(G2465="",0,F2465-G2465),IF(D2465="BUY",IF(G2465="",0,G2465-F2465))))*C2465</f>
        <v>1300.0000000000114</v>
      </c>
      <c r="K2465" s="2">
        <f>(IF(D2465="SELL",IF(H2465="",0,G2465-H2465),IF(D2465="BUY",IF(H2465="",0,(H2465-G2465)))))*C2465</f>
        <v>2299.9999999999545</v>
      </c>
      <c r="L2465" s="8">
        <f t="shared" si="2282"/>
        <v>4.599999999999965</v>
      </c>
      <c r="M2465" s="8">
        <f t="shared" si="2283"/>
        <v>4599.9999999999654</v>
      </c>
    </row>
    <row r="2466" spans="1:13" ht="15" customHeight="1" x14ac:dyDescent="0.25">
      <c r="A2466" s="24">
        <v>42975</v>
      </c>
      <c r="B2466" s="9" t="s">
        <v>21</v>
      </c>
      <c r="C2466" s="9">
        <v>250</v>
      </c>
      <c r="D2466" s="9" t="s">
        <v>10</v>
      </c>
      <c r="E2466" s="19">
        <v>729</v>
      </c>
      <c r="F2466" s="19">
        <v>733</v>
      </c>
      <c r="G2466" s="9">
        <v>737</v>
      </c>
      <c r="H2466" s="15">
        <v>743</v>
      </c>
      <c r="I2466" s="8">
        <f t="shared" si="2281"/>
        <v>1000</v>
      </c>
      <c r="J2466" s="8">
        <f>(IF(D2466="SELL",IF(G2466="",0,F2466-G2466),IF(D2466="BUY",IF(G2466="",0,G2466-F2466))))*C2466</f>
        <v>1000</v>
      </c>
      <c r="K2466" s="2">
        <f>(IF(D2466="SELL",IF(H2466="",0,G2466-H2466),IF(D2466="BUY",IF(H2466="",0,(H2466-G2466)))))*C2466</f>
        <v>1500</v>
      </c>
      <c r="L2466" s="8">
        <f t="shared" si="2282"/>
        <v>14</v>
      </c>
      <c r="M2466" s="8">
        <f t="shared" si="2283"/>
        <v>3500</v>
      </c>
    </row>
    <row r="2467" spans="1:13" ht="15" customHeight="1" x14ac:dyDescent="0.25">
      <c r="A2467" s="24">
        <v>42971</v>
      </c>
      <c r="B2467" s="9" t="s">
        <v>17</v>
      </c>
      <c r="C2467" s="9">
        <v>5000</v>
      </c>
      <c r="D2467" s="9" t="s">
        <v>11</v>
      </c>
      <c r="E2467" s="19">
        <v>198.7</v>
      </c>
      <c r="F2467" s="19">
        <v>199.95</v>
      </c>
      <c r="G2467" s="9">
        <v>0</v>
      </c>
      <c r="H2467" s="15">
        <v>0</v>
      </c>
      <c r="I2467" s="8">
        <f t="shared" si="2281"/>
        <v>-6250</v>
      </c>
      <c r="J2467" s="8">
        <v>0</v>
      </c>
      <c r="K2467" s="2">
        <v>0</v>
      </c>
      <c r="L2467" s="8">
        <f t="shared" si="2282"/>
        <v>-1.25</v>
      </c>
      <c r="M2467" s="8">
        <f t="shared" si="2283"/>
        <v>-6250</v>
      </c>
    </row>
    <row r="2468" spans="1:13" ht="15" customHeight="1" x14ac:dyDescent="0.25">
      <c r="A2468" s="24">
        <v>42971</v>
      </c>
      <c r="B2468" s="9" t="s">
        <v>16</v>
      </c>
      <c r="C2468" s="9">
        <v>100</v>
      </c>
      <c r="D2468" s="9" t="s">
        <v>11</v>
      </c>
      <c r="E2468" s="19">
        <v>3090</v>
      </c>
      <c r="F2468" s="19">
        <v>3074</v>
      </c>
      <c r="G2468" s="9">
        <v>0</v>
      </c>
      <c r="H2468" s="15">
        <v>0</v>
      </c>
      <c r="I2468" s="8">
        <f t="shared" si="2281"/>
        <v>1600</v>
      </c>
      <c r="J2468" s="8">
        <v>0</v>
      </c>
      <c r="K2468" s="2">
        <v>0</v>
      </c>
      <c r="L2468" s="8">
        <f t="shared" si="2282"/>
        <v>16</v>
      </c>
      <c r="M2468" s="8">
        <f t="shared" si="2283"/>
        <v>1600</v>
      </c>
    </row>
    <row r="2469" spans="1:13" ht="15" customHeight="1" x14ac:dyDescent="0.25">
      <c r="A2469" s="24">
        <v>42971</v>
      </c>
      <c r="B2469" s="9" t="s">
        <v>19</v>
      </c>
      <c r="C2469" s="9">
        <v>100</v>
      </c>
      <c r="D2469" s="9" t="s">
        <v>10</v>
      </c>
      <c r="E2469" s="19">
        <v>29160</v>
      </c>
      <c r="F2469" s="19">
        <v>29050</v>
      </c>
      <c r="G2469" s="9">
        <v>0</v>
      </c>
      <c r="H2469" s="15">
        <v>0</v>
      </c>
      <c r="I2469" s="8">
        <f t="shared" si="2281"/>
        <v>-11000</v>
      </c>
      <c r="J2469" s="8">
        <v>0</v>
      </c>
      <c r="K2469" s="2">
        <v>0</v>
      </c>
      <c r="L2469" s="8">
        <f t="shared" si="2282"/>
        <v>-110</v>
      </c>
      <c r="M2469" s="8">
        <f t="shared" si="2283"/>
        <v>-11000</v>
      </c>
    </row>
    <row r="2470" spans="1:13" ht="15" customHeight="1" x14ac:dyDescent="0.25">
      <c r="A2470" s="24">
        <v>42971</v>
      </c>
      <c r="B2470" s="9" t="s">
        <v>18</v>
      </c>
      <c r="C2470" s="9">
        <v>1000</v>
      </c>
      <c r="D2470" s="9" t="s">
        <v>10</v>
      </c>
      <c r="E2470" s="19">
        <v>423</v>
      </c>
      <c r="F2470" s="19">
        <v>424</v>
      </c>
      <c r="G2470" s="9">
        <v>0</v>
      </c>
      <c r="H2470" s="15">
        <v>0</v>
      </c>
      <c r="I2470" s="8">
        <f t="shared" si="2281"/>
        <v>1000</v>
      </c>
      <c r="J2470" s="8">
        <v>0</v>
      </c>
      <c r="K2470" s="2">
        <v>0</v>
      </c>
      <c r="L2470" s="8">
        <f t="shared" si="2282"/>
        <v>1</v>
      </c>
      <c r="M2470" s="8">
        <f t="shared" si="2283"/>
        <v>1000</v>
      </c>
    </row>
    <row r="2471" spans="1:13" ht="15" customHeight="1" x14ac:dyDescent="0.25">
      <c r="A2471" s="24">
        <v>42970</v>
      </c>
      <c r="B2471" s="9" t="s">
        <v>21</v>
      </c>
      <c r="C2471" s="9">
        <v>250</v>
      </c>
      <c r="D2471" s="9" t="s">
        <v>10</v>
      </c>
      <c r="E2471" s="19">
        <v>735.8</v>
      </c>
      <c r="F2471" s="19">
        <v>728</v>
      </c>
      <c r="G2471" s="9">
        <v>0</v>
      </c>
      <c r="H2471" s="15">
        <v>0</v>
      </c>
      <c r="I2471" s="8">
        <f t="shared" si="2281"/>
        <v>-1949.9999999999886</v>
      </c>
      <c r="J2471" s="8">
        <v>0</v>
      </c>
      <c r="K2471" s="2">
        <v>0</v>
      </c>
      <c r="L2471" s="8">
        <f t="shared" si="2282"/>
        <v>-7.7999999999999545</v>
      </c>
      <c r="M2471" s="8">
        <f t="shared" si="2283"/>
        <v>-1949.9999999999886</v>
      </c>
    </row>
    <row r="2472" spans="1:13" ht="15" customHeight="1" x14ac:dyDescent="0.25">
      <c r="A2472" s="24">
        <v>42970</v>
      </c>
      <c r="B2472" s="9" t="s">
        <v>18</v>
      </c>
      <c r="C2472" s="9">
        <v>1000</v>
      </c>
      <c r="D2472" s="9" t="s">
        <v>11</v>
      </c>
      <c r="E2472" s="19">
        <v>421</v>
      </c>
      <c r="F2472" s="19">
        <v>420</v>
      </c>
      <c r="G2472" s="9">
        <v>0</v>
      </c>
      <c r="H2472" s="15">
        <v>0</v>
      </c>
      <c r="I2472" s="8">
        <f t="shared" si="2281"/>
        <v>1000</v>
      </c>
      <c r="J2472" s="8">
        <v>0</v>
      </c>
      <c r="K2472" s="2">
        <v>0</v>
      </c>
      <c r="L2472" s="8">
        <f t="shared" si="2282"/>
        <v>1</v>
      </c>
      <c r="M2472" s="8">
        <f t="shared" si="2283"/>
        <v>1000</v>
      </c>
    </row>
    <row r="2473" spans="1:13" ht="15" customHeight="1" x14ac:dyDescent="0.25">
      <c r="A2473" s="24">
        <v>42970</v>
      </c>
      <c r="B2473" s="9" t="s">
        <v>17</v>
      </c>
      <c r="C2473" s="9">
        <v>5000</v>
      </c>
      <c r="D2473" s="9" t="s">
        <v>10</v>
      </c>
      <c r="E2473" s="19">
        <v>200</v>
      </c>
      <c r="F2473" s="19">
        <v>200.5</v>
      </c>
      <c r="G2473" s="9">
        <v>201.2</v>
      </c>
      <c r="H2473" s="15">
        <v>0</v>
      </c>
      <c r="I2473" s="8">
        <f t="shared" si="2281"/>
        <v>2500</v>
      </c>
      <c r="J2473" s="8">
        <f>(IF(D2473="SELL",IF(G2473="",0,F2473-G2473),IF(D2473="BUY",IF(G2473="",0,G2473-F2473))))*C2473</f>
        <v>3499.9999999999432</v>
      </c>
      <c r="K2473" s="2">
        <v>0</v>
      </c>
      <c r="L2473" s="8">
        <f t="shared" si="2282"/>
        <v>1.1999999999999886</v>
      </c>
      <c r="M2473" s="8">
        <f t="shared" si="2283"/>
        <v>5999.9999999999436</v>
      </c>
    </row>
    <row r="2474" spans="1:13" ht="15" customHeight="1" x14ac:dyDescent="0.25">
      <c r="A2474" s="24">
        <v>42969</v>
      </c>
      <c r="B2474" s="9" t="s">
        <v>17</v>
      </c>
      <c r="C2474" s="9">
        <v>5000</v>
      </c>
      <c r="D2474" s="9" t="s">
        <v>10</v>
      </c>
      <c r="E2474" s="19">
        <v>201</v>
      </c>
      <c r="F2474" s="19">
        <v>201.6</v>
      </c>
      <c r="G2474" s="9">
        <v>202.5</v>
      </c>
      <c r="H2474" s="15">
        <v>0</v>
      </c>
      <c r="I2474" s="8">
        <f t="shared" ref="I2474:I2480" si="2284">(IF(D2474="SELL",E2474-F2474,IF(D2474="BUY",F2474-E2474)))*C2474</f>
        <v>2999.9999999999718</v>
      </c>
      <c r="J2474" s="8">
        <f>(IF(D2474="SELL",IF(G2474="",0,F2474-G2474),IF(D2474="BUY",IF(G2474="",0,G2474-F2474))))*C2474</f>
        <v>4500.0000000000282</v>
      </c>
      <c r="K2474" s="2">
        <v>0</v>
      </c>
      <c r="L2474" s="8">
        <f t="shared" ref="L2474:L2480" si="2285">(J2474+I2474+K2474)/C2474</f>
        <v>1.5</v>
      </c>
      <c r="M2474" s="8">
        <f t="shared" ref="M2474:M2480" si="2286">L2474*C2474</f>
        <v>7500</v>
      </c>
    </row>
    <row r="2475" spans="1:13" ht="15" customHeight="1" x14ac:dyDescent="0.25">
      <c r="A2475" s="24">
        <v>42969</v>
      </c>
      <c r="B2475" s="9" t="s">
        <v>18</v>
      </c>
      <c r="C2475" s="9">
        <v>1000</v>
      </c>
      <c r="D2475" s="9" t="s">
        <v>10</v>
      </c>
      <c r="E2475" s="19">
        <v>422</v>
      </c>
      <c r="F2475" s="19">
        <v>423</v>
      </c>
      <c r="G2475" s="9">
        <v>424</v>
      </c>
      <c r="H2475" s="15">
        <v>0</v>
      </c>
      <c r="I2475" s="8">
        <f t="shared" si="2284"/>
        <v>1000</v>
      </c>
      <c r="J2475" s="8">
        <f>(IF(D2475="SELL",IF(G2475="",0,F2475-G2475),IF(D2475="BUY",IF(G2475="",0,G2475-F2475))))*C2475</f>
        <v>1000</v>
      </c>
      <c r="K2475" s="2">
        <v>0</v>
      </c>
      <c r="L2475" s="8">
        <f t="shared" si="2285"/>
        <v>2</v>
      </c>
      <c r="M2475" s="8">
        <f t="shared" si="2286"/>
        <v>2000</v>
      </c>
    </row>
    <row r="2476" spans="1:13" ht="15" customHeight="1" x14ac:dyDescent="0.25">
      <c r="A2476" s="24">
        <v>42969</v>
      </c>
      <c r="B2476" s="9" t="s">
        <v>21</v>
      </c>
      <c r="C2476" s="9">
        <v>250</v>
      </c>
      <c r="D2476" s="9" t="s">
        <v>10</v>
      </c>
      <c r="E2476" s="19">
        <v>723.9</v>
      </c>
      <c r="F2476" s="19">
        <v>728</v>
      </c>
      <c r="G2476" s="9">
        <v>734</v>
      </c>
      <c r="H2476" s="15">
        <v>0</v>
      </c>
      <c r="I2476" s="8">
        <f t="shared" si="2284"/>
        <v>1025.0000000000057</v>
      </c>
      <c r="J2476" s="8">
        <f>(IF(D2476="SELL",IF(G2476="",0,F2476-G2476),IF(D2476="BUY",IF(G2476="",0,G2476-F2476))))*C2476</f>
        <v>1500</v>
      </c>
      <c r="K2476" s="2">
        <v>0</v>
      </c>
      <c r="L2476" s="8">
        <f t="shared" si="2285"/>
        <v>10.100000000000021</v>
      </c>
      <c r="M2476" s="8">
        <f t="shared" si="2286"/>
        <v>2525.0000000000055</v>
      </c>
    </row>
    <row r="2477" spans="1:13" ht="15" customHeight="1" x14ac:dyDescent="0.25">
      <c r="A2477" s="24">
        <v>42968</v>
      </c>
      <c r="B2477" s="9" t="s">
        <v>19</v>
      </c>
      <c r="C2477" s="9">
        <v>100</v>
      </c>
      <c r="D2477" s="9" t="s">
        <v>10</v>
      </c>
      <c r="E2477" s="19">
        <v>29160</v>
      </c>
      <c r="F2477" s="19">
        <v>29199</v>
      </c>
      <c r="G2477" s="9">
        <v>0</v>
      </c>
      <c r="H2477" s="15">
        <v>0</v>
      </c>
      <c r="I2477" s="8">
        <f t="shared" si="2284"/>
        <v>3900</v>
      </c>
      <c r="J2477" s="8">
        <v>0</v>
      </c>
      <c r="K2477" s="2">
        <v>0</v>
      </c>
      <c r="L2477" s="8">
        <f t="shared" si="2285"/>
        <v>39</v>
      </c>
      <c r="M2477" s="8">
        <f t="shared" si="2286"/>
        <v>3900</v>
      </c>
    </row>
    <row r="2478" spans="1:13" ht="15" customHeight="1" x14ac:dyDescent="0.25">
      <c r="A2478" s="24">
        <v>42968</v>
      </c>
      <c r="B2478" s="9" t="s">
        <v>17</v>
      </c>
      <c r="C2478" s="9">
        <v>5000</v>
      </c>
      <c r="D2478" s="9" t="s">
        <v>10</v>
      </c>
      <c r="E2478" s="19">
        <v>202.8</v>
      </c>
      <c r="F2478" s="19">
        <v>203.4</v>
      </c>
      <c r="G2478" s="9">
        <v>0</v>
      </c>
      <c r="H2478" s="15">
        <v>0</v>
      </c>
      <c r="I2478" s="8">
        <f t="shared" si="2284"/>
        <v>2999.9999999999718</v>
      </c>
      <c r="J2478" s="8">
        <v>0</v>
      </c>
      <c r="K2478" s="2">
        <v>0</v>
      </c>
      <c r="L2478" s="8">
        <f t="shared" si="2285"/>
        <v>0.59999999999999432</v>
      </c>
      <c r="M2478" s="8">
        <f t="shared" si="2286"/>
        <v>2999.9999999999718</v>
      </c>
    </row>
    <row r="2479" spans="1:13" ht="15" customHeight="1" x14ac:dyDescent="0.25">
      <c r="A2479" s="24">
        <v>42968</v>
      </c>
      <c r="B2479" s="9" t="s">
        <v>18</v>
      </c>
      <c r="C2479" s="9">
        <v>1000</v>
      </c>
      <c r="D2479" s="9" t="s">
        <v>10</v>
      </c>
      <c r="E2479" s="19">
        <v>417</v>
      </c>
      <c r="F2479" s="19">
        <v>418</v>
      </c>
      <c r="G2479" s="9">
        <v>419</v>
      </c>
      <c r="H2479" s="15">
        <v>421</v>
      </c>
      <c r="I2479" s="8">
        <f t="shared" si="2284"/>
        <v>1000</v>
      </c>
      <c r="J2479" s="8">
        <f>(IF(D2479="SELL",IF(G2479="",0,F2479-G2479),IF(D2479="BUY",IF(G2479="",0,G2479-F2479))))*C2479</f>
        <v>1000</v>
      </c>
      <c r="K2479" s="2">
        <f>(IF(D2479="SELL",IF(H2479="",0,G2479-H2479),IF(D2479="BUY",IF(H2479="",0,(H2479-G2479)))))*C2479</f>
        <v>2000</v>
      </c>
      <c r="L2479" s="8">
        <f t="shared" si="2285"/>
        <v>4</v>
      </c>
      <c r="M2479" s="8">
        <f t="shared" si="2286"/>
        <v>4000</v>
      </c>
    </row>
    <row r="2480" spans="1:13" ht="15" customHeight="1" x14ac:dyDescent="0.25">
      <c r="A2480" s="24">
        <v>42968</v>
      </c>
      <c r="B2480" s="9" t="s">
        <v>21</v>
      </c>
      <c r="C2480" s="9">
        <v>250</v>
      </c>
      <c r="D2480" s="9" t="s">
        <v>10</v>
      </c>
      <c r="E2480" s="19">
        <v>714.5</v>
      </c>
      <c r="F2480" s="19">
        <v>719</v>
      </c>
      <c r="G2480" s="9">
        <v>0</v>
      </c>
      <c r="H2480" s="15">
        <v>0</v>
      </c>
      <c r="I2480" s="8">
        <f t="shared" si="2284"/>
        <v>1125</v>
      </c>
      <c r="J2480" s="8">
        <v>0</v>
      </c>
      <c r="K2480" s="2">
        <v>0</v>
      </c>
      <c r="L2480" s="8">
        <f t="shared" si="2285"/>
        <v>4.5</v>
      </c>
      <c r="M2480" s="8">
        <f t="shared" si="2286"/>
        <v>1125</v>
      </c>
    </row>
    <row r="2481" spans="1:13" ht="15" customHeight="1" x14ac:dyDescent="0.25">
      <c r="A2481" s="24">
        <v>42965</v>
      </c>
      <c r="B2481" s="9" t="s">
        <v>17</v>
      </c>
      <c r="C2481" s="9">
        <v>5000</v>
      </c>
      <c r="D2481" s="9" t="s">
        <v>10</v>
      </c>
      <c r="E2481" s="19">
        <v>199.7</v>
      </c>
      <c r="F2481" s="19">
        <v>200.2</v>
      </c>
      <c r="G2481" s="9">
        <v>0</v>
      </c>
      <c r="H2481" s="15">
        <v>0</v>
      </c>
      <c r="I2481" s="8">
        <f t="shared" ref="I2481:I2491" si="2287">(IF(D2481="SELL",E2481-F2481,IF(D2481="BUY",F2481-E2481)))*C2481</f>
        <v>2500</v>
      </c>
      <c r="J2481" s="8">
        <v>0</v>
      </c>
      <c r="K2481" s="2">
        <v>0</v>
      </c>
      <c r="L2481" s="8">
        <f t="shared" ref="L2481:L2491" si="2288">(J2481+I2481+K2481)/C2481</f>
        <v>0.5</v>
      </c>
      <c r="M2481" s="8">
        <f t="shared" ref="M2481:M2491" si="2289">L2481*C2481</f>
        <v>2500</v>
      </c>
    </row>
    <row r="2482" spans="1:13" ht="15" customHeight="1" x14ac:dyDescent="0.25">
      <c r="A2482" s="24">
        <v>42965</v>
      </c>
      <c r="B2482" s="9" t="s">
        <v>21</v>
      </c>
      <c r="C2482" s="9">
        <v>250</v>
      </c>
      <c r="D2482" s="9" t="s">
        <v>10</v>
      </c>
      <c r="E2482" s="19">
        <v>692.4</v>
      </c>
      <c r="F2482" s="19">
        <v>696</v>
      </c>
      <c r="G2482" s="9">
        <v>702</v>
      </c>
      <c r="H2482" s="15">
        <v>0</v>
      </c>
      <c r="I2482" s="8">
        <f t="shared" si="2287"/>
        <v>900.00000000000568</v>
      </c>
      <c r="J2482" s="8">
        <f>(IF(D2482="SELL",IF(G2482="",0,F2482-G2482),IF(D2482="BUY",IF(G2482="",0,G2482-F2482))))*C2482</f>
        <v>1500</v>
      </c>
      <c r="K2482" s="2">
        <v>0</v>
      </c>
      <c r="L2482" s="8">
        <f t="shared" si="2288"/>
        <v>9.600000000000021</v>
      </c>
      <c r="M2482" s="8">
        <f t="shared" si="2289"/>
        <v>2400.0000000000055</v>
      </c>
    </row>
    <row r="2483" spans="1:13" ht="15" customHeight="1" x14ac:dyDescent="0.25">
      <c r="A2483" s="24">
        <v>42965</v>
      </c>
      <c r="B2483" s="9" t="s">
        <v>19</v>
      </c>
      <c r="C2483" s="9">
        <v>100</v>
      </c>
      <c r="D2483" s="9" t="s">
        <v>10</v>
      </c>
      <c r="E2483" s="19">
        <v>29260</v>
      </c>
      <c r="F2483" s="19">
        <v>29298</v>
      </c>
      <c r="G2483" s="9">
        <v>29350</v>
      </c>
      <c r="H2483" s="15">
        <v>0</v>
      </c>
      <c r="I2483" s="8">
        <f t="shared" si="2287"/>
        <v>3800</v>
      </c>
      <c r="J2483" s="8">
        <f>(IF(D2483="SELL",IF(G2483="",0,F2483-G2483),IF(D2483="BUY",IF(G2483="",0,G2483-F2483))))*C2483</f>
        <v>5200</v>
      </c>
      <c r="K2483" s="2">
        <v>0</v>
      </c>
      <c r="L2483" s="8">
        <f t="shared" si="2288"/>
        <v>90</v>
      </c>
      <c r="M2483" s="8">
        <f t="shared" si="2289"/>
        <v>9000</v>
      </c>
    </row>
    <row r="2484" spans="1:13" ht="15" customHeight="1" x14ac:dyDescent="0.25">
      <c r="A2484" s="24">
        <v>42964</v>
      </c>
      <c r="B2484" s="9" t="s">
        <v>17</v>
      </c>
      <c r="C2484" s="9">
        <v>5000</v>
      </c>
      <c r="D2484" s="9" t="s">
        <v>11</v>
      </c>
      <c r="E2484" s="19">
        <v>198.3</v>
      </c>
      <c r="F2484" s="19">
        <v>197.8</v>
      </c>
      <c r="G2484" s="9">
        <v>197.1</v>
      </c>
      <c r="H2484" s="15">
        <v>196</v>
      </c>
      <c r="I2484" s="8">
        <f t="shared" si="2287"/>
        <v>2500</v>
      </c>
      <c r="J2484" s="8">
        <f>(IF(D2484="SELL",IF(G2484="",0,F2484-G2484),IF(D2484="BUY",IF(G2484="",0,G2484-F2484))))*C2484</f>
        <v>3500.0000000000855</v>
      </c>
      <c r="K2484" s="2">
        <f>(IF(D2484="SELL",IF(H2484="",0,G2484-H2484),IF(D2484="BUY",IF(H2484="",0,(H2484-G2484)))))*C2484</f>
        <v>5499.9999999999718</v>
      </c>
      <c r="L2484" s="8">
        <f t="shared" si="2288"/>
        <v>2.3000000000000118</v>
      </c>
      <c r="M2484" s="8">
        <f t="shared" si="2289"/>
        <v>11500.000000000058</v>
      </c>
    </row>
    <row r="2485" spans="1:13" ht="15" customHeight="1" x14ac:dyDescent="0.25">
      <c r="A2485" s="24">
        <v>42964</v>
      </c>
      <c r="B2485" s="9" t="s">
        <v>18</v>
      </c>
      <c r="C2485" s="9">
        <v>1000</v>
      </c>
      <c r="D2485" s="9" t="s">
        <v>11</v>
      </c>
      <c r="E2485" s="19">
        <v>418</v>
      </c>
      <c r="F2485" s="19">
        <v>417</v>
      </c>
      <c r="G2485" s="9">
        <v>416</v>
      </c>
      <c r="H2485" s="15">
        <v>0</v>
      </c>
      <c r="I2485" s="8">
        <f t="shared" si="2287"/>
        <v>1000</v>
      </c>
      <c r="J2485" s="8">
        <f>(IF(D2485="SELL",IF(G2485="",0,F2485-G2485),IF(D2485="BUY",IF(G2485="",0,G2485-F2485))))*C2485</f>
        <v>1000</v>
      </c>
      <c r="K2485" s="2">
        <f>(IF(D2485="SELL",IF(H2485="",0,G2485-H2485),IF(D2485="BUY",IF(H2485="",0,(H2485-G2485)))))*C2485</f>
        <v>416000</v>
      </c>
      <c r="L2485" s="8">
        <f t="shared" si="2288"/>
        <v>418</v>
      </c>
      <c r="M2485" s="8">
        <f t="shared" si="2289"/>
        <v>418000</v>
      </c>
    </row>
    <row r="2486" spans="1:13" ht="15" customHeight="1" x14ac:dyDescent="0.25">
      <c r="A2486" s="24">
        <v>42964</v>
      </c>
      <c r="B2486" s="9" t="s">
        <v>20</v>
      </c>
      <c r="C2486" s="9">
        <v>1250</v>
      </c>
      <c r="D2486" s="9" t="s">
        <v>11</v>
      </c>
      <c r="E2486" s="19">
        <v>185.7</v>
      </c>
      <c r="F2486" s="19">
        <v>184.8</v>
      </c>
      <c r="G2486" s="9">
        <v>0</v>
      </c>
      <c r="H2486" s="15">
        <v>0</v>
      </c>
      <c r="I2486" s="8">
        <f t="shared" si="2287"/>
        <v>1124.9999999999716</v>
      </c>
      <c r="J2486" s="8">
        <v>0</v>
      </c>
      <c r="K2486" s="2">
        <v>0</v>
      </c>
      <c r="L2486" s="8">
        <f t="shared" si="2288"/>
        <v>0.89999999999997726</v>
      </c>
      <c r="M2486" s="8">
        <f t="shared" si="2289"/>
        <v>1124.9999999999716</v>
      </c>
    </row>
    <row r="2487" spans="1:13" ht="15" customHeight="1" x14ac:dyDescent="0.25">
      <c r="A2487" s="24">
        <v>42964</v>
      </c>
      <c r="B2487" s="9" t="s">
        <v>19</v>
      </c>
      <c r="C2487" s="9">
        <v>100</v>
      </c>
      <c r="D2487" s="9" t="s">
        <v>10</v>
      </c>
      <c r="E2487" s="19">
        <v>29144</v>
      </c>
      <c r="F2487" s="19">
        <v>29198</v>
      </c>
      <c r="G2487" s="9">
        <v>0</v>
      </c>
      <c r="H2487" s="15">
        <v>0</v>
      </c>
      <c r="I2487" s="8">
        <f t="shared" si="2287"/>
        <v>5400</v>
      </c>
      <c r="J2487" s="8">
        <v>0</v>
      </c>
      <c r="K2487" s="2">
        <v>0</v>
      </c>
      <c r="L2487" s="8">
        <f t="shared" si="2288"/>
        <v>54</v>
      </c>
      <c r="M2487" s="8">
        <f t="shared" si="2289"/>
        <v>5400</v>
      </c>
    </row>
    <row r="2488" spans="1:13" ht="15" customHeight="1" x14ac:dyDescent="0.25">
      <c r="A2488" s="24">
        <v>42964</v>
      </c>
      <c r="B2488" s="9" t="s">
        <v>21</v>
      </c>
      <c r="C2488" s="9">
        <v>250</v>
      </c>
      <c r="D2488" s="9" t="s">
        <v>10</v>
      </c>
      <c r="E2488" s="19">
        <v>692</v>
      </c>
      <c r="F2488" s="19">
        <v>685</v>
      </c>
      <c r="G2488" s="9">
        <v>0</v>
      </c>
      <c r="H2488" s="15">
        <v>0</v>
      </c>
      <c r="I2488" s="8">
        <f t="shared" si="2287"/>
        <v>-1750</v>
      </c>
      <c r="J2488" s="8">
        <v>0</v>
      </c>
      <c r="K2488" s="2">
        <v>0</v>
      </c>
      <c r="L2488" s="8">
        <f t="shared" si="2288"/>
        <v>-7</v>
      </c>
      <c r="M2488" s="8">
        <f t="shared" si="2289"/>
        <v>-1750</v>
      </c>
    </row>
    <row r="2489" spans="1:13" ht="15" customHeight="1" x14ac:dyDescent="0.25">
      <c r="A2489" s="24">
        <v>42963</v>
      </c>
      <c r="B2489" s="9" t="s">
        <v>19</v>
      </c>
      <c r="C2489" s="9">
        <v>100</v>
      </c>
      <c r="D2489" s="9" t="s">
        <v>11</v>
      </c>
      <c r="E2489" s="19">
        <v>28960</v>
      </c>
      <c r="F2489" s="19">
        <v>28920</v>
      </c>
      <c r="G2489" s="9">
        <v>28850</v>
      </c>
      <c r="H2489" s="15">
        <v>0</v>
      </c>
      <c r="I2489" s="8">
        <f t="shared" si="2287"/>
        <v>4000</v>
      </c>
      <c r="J2489" s="8">
        <f>(IF(D2489="SELL",IF(G2489="",0,F2489-G2489),IF(D2489="BUY",IF(G2489="",0,G2489-F2489))))*C2489</f>
        <v>7000</v>
      </c>
      <c r="K2489" s="2">
        <v>0</v>
      </c>
      <c r="L2489" s="8">
        <f t="shared" si="2288"/>
        <v>110</v>
      </c>
      <c r="M2489" s="8">
        <f t="shared" si="2289"/>
        <v>11000</v>
      </c>
    </row>
    <row r="2490" spans="1:13" ht="15" customHeight="1" x14ac:dyDescent="0.25">
      <c r="A2490" s="24">
        <v>42963</v>
      </c>
      <c r="B2490" s="9" t="s">
        <v>21</v>
      </c>
      <c r="C2490" s="9">
        <v>250</v>
      </c>
      <c r="D2490" s="9" t="s">
        <v>10</v>
      </c>
      <c r="E2490" s="19">
        <v>668</v>
      </c>
      <c r="F2490" s="19">
        <v>672</v>
      </c>
      <c r="G2490" s="9">
        <v>677</v>
      </c>
      <c r="H2490" s="15">
        <v>0</v>
      </c>
      <c r="I2490" s="8">
        <f t="shared" si="2287"/>
        <v>1000</v>
      </c>
      <c r="J2490" s="8">
        <f>(IF(D2490="SELL",IF(G2490="",0,F2490-G2490),IF(D2490="BUY",IF(G2490="",0,G2490-F2490))))*C2490</f>
        <v>1250</v>
      </c>
      <c r="K2490" s="2">
        <v>0</v>
      </c>
      <c r="L2490" s="8">
        <f t="shared" si="2288"/>
        <v>9</v>
      </c>
      <c r="M2490" s="8">
        <f t="shared" si="2289"/>
        <v>2250</v>
      </c>
    </row>
    <row r="2491" spans="1:13" ht="15" customHeight="1" x14ac:dyDescent="0.25">
      <c r="A2491" s="24">
        <v>42963</v>
      </c>
      <c r="B2491" s="9" t="s">
        <v>17</v>
      </c>
      <c r="C2491" s="9">
        <v>5000</v>
      </c>
      <c r="D2491" s="9" t="s">
        <v>10</v>
      </c>
      <c r="E2491" s="19">
        <v>191</v>
      </c>
      <c r="F2491" s="19">
        <v>191.5</v>
      </c>
      <c r="G2491" s="9">
        <v>192.1</v>
      </c>
      <c r="H2491" s="15">
        <v>193.25</v>
      </c>
      <c r="I2491" s="8">
        <f t="shared" si="2287"/>
        <v>2500</v>
      </c>
      <c r="J2491" s="8">
        <f>(IF(D2491="SELL",IF(G2491="",0,F2491-G2491),IF(D2491="BUY",IF(G2491="",0,G2491-F2491))))*C2491</f>
        <v>2999.9999999999718</v>
      </c>
      <c r="K2491" s="2">
        <f>(IF(D2491="SELL",IF(H2491="",0,G2491-H2491),IF(D2491="BUY",IF(H2491="",0,(H2491-G2491)))))*C2491</f>
        <v>5750.0000000000282</v>
      </c>
      <c r="L2491" s="8">
        <f t="shared" si="2288"/>
        <v>2.25</v>
      </c>
      <c r="M2491" s="8">
        <f t="shared" si="2289"/>
        <v>11250</v>
      </c>
    </row>
    <row r="2492" spans="1:13" ht="15" customHeight="1" x14ac:dyDescent="0.25">
      <c r="A2492" s="24">
        <v>42961</v>
      </c>
      <c r="B2492" s="9" t="s">
        <v>18</v>
      </c>
      <c r="C2492" s="9">
        <v>1000</v>
      </c>
      <c r="D2492" s="9" t="s">
        <v>11</v>
      </c>
      <c r="E2492" s="19">
        <v>411</v>
      </c>
      <c r="F2492" s="19">
        <v>409.8</v>
      </c>
      <c r="G2492" s="9">
        <v>0</v>
      </c>
      <c r="H2492" s="15">
        <v>0</v>
      </c>
      <c r="I2492" s="8">
        <f t="shared" ref="I2492:I2502" si="2290">(IF(D2492="SELL",E2492-F2492,IF(D2492="BUY",F2492-E2492)))*C2492</f>
        <v>1199.9999999999886</v>
      </c>
      <c r="J2492" s="8">
        <v>0</v>
      </c>
      <c r="K2492" s="2">
        <v>0</v>
      </c>
      <c r="L2492" s="8">
        <f t="shared" ref="L2492:L2502" si="2291">(J2492+I2492+K2492)/C2492</f>
        <v>1.1999999999999886</v>
      </c>
      <c r="M2492" s="8">
        <f t="shared" ref="M2492:M2502" si="2292">L2492*C2492</f>
        <v>1199.9999999999886</v>
      </c>
    </row>
    <row r="2493" spans="1:13" ht="15" customHeight="1" x14ac:dyDescent="0.25">
      <c r="A2493" s="24">
        <v>42961</v>
      </c>
      <c r="B2493" s="9" t="s">
        <v>19</v>
      </c>
      <c r="C2493" s="9">
        <v>100</v>
      </c>
      <c r="D2493" s="9" t="s">
        <v>10</v>
      </c>
      <c r="E2493" s="19">
        <v>29121</v>
      </c>
      <c r="F2493" s="19">
        <v>29160</v>
      </c>
      <c r="G2493" s="9">
        <v>0</v>
      </c>
      <c r="H2493" s="15">
        <v>0</v>
      </c>
      <c r="I2493" s="8">
        <f t="shared" si="2290"/>
        <v>3900</v>
      </c>
      <c r="J2493" s="8">
        <v>0</v>
      </c>
      <c r="K2493" s="2">
        <v>0</v>
      </c>
      <c r="L2493" s="8">
        <f t="shared" si="2291"/>
        <v>39</v>
      </c>
      <c r="M2493" s="8">
        <f t="shared" si="2292"/>
        <v>3900</v>
      </c>
    </row>
    <row r="2494" spans="1:13" ht="15" customHeight="1" x14ac:dyDescent="0.25">
      <c r="A2494" s="24">
        <v>42958</v>
      </c>
      <c r="B2494" s="9" t="s">
        <v>19</v>
      </c>
      <c r="C2494" s="9">
        <v>100</v>
      </c>
      <c r="D2494" s="9" t="s">
        <v>11</v>
      </c>
      <c r="E2494" s="19">
        <v>29160</v>
      </c>
      <c r="F2494" s="19">
        <v>29120</v>
      </c>
      <c r="G2494" s="9">
        <v>0</v>
      </c>
      <c r="H2494" s="15">
        <v>0</v>
      </c>
      <c r="I2494" s="8">
        <f t="shared" si="2290"/>
        <v>4000</v>
      </c>
      <c r="J2494" s="8">
        <v>0</v>
      </c>
      <c r="K2494" s="2">
        <v>0</v>
      </c>
      <c r="L2494" s="8">
        <f t="shared" si="2291"/>
        <v>40</v>
      </c>
      <c r="M2494" s="8">
        <f t="shared" si="2292"/>
        <v>4000</v>
      </c>
    </row>
    <row r="2495" spans="1:13" ht="15" customHeight="1" x14ac:dyDescent="0.25">
      <c r="A2495" s="24">
        <v>42958</v>
      </c>
      <c r="B2495" s="9" t="s">
        <v>21</v>
      </c>
      <c r="C2495" s="9">
        <v>250</v>
      </c>
      <c r="D2495" s="9" t="s">
        <v>11</v>
      </c>
      <c r="E2495" s="19">
        <v>690</v>
      </c>
      <c r="F2495" s="19">
        <v>686</v>
      </c>
      <c r="G2495" s="9">
        <v>681</v>
      </c>
      <c r="H2495" s="15">
        <v>0</v>
      </c>
      <c r="I2495" s="8">
        <f t="shared" si="2290"/>
        <v>1000</v>
      </c>
      <c r="J2495" s="8">
        <f>(IF(D2495="SELL",IF(G2495="",0,F2495-G2495),IF(D2495="BUY",IF(G2495="",0,G2495-F2495))))*C2495</f>
        <v>1250</v>
      </c>
      <c r="K2495" s="2">
        <v>0</v>
      </c>
      <c r="L2495" s="8">
        <f t="shared" si="2291"/>
        <v>9</v>
      </c>
      <c r="M2495" s="8">
        <f t="shared" si="2292"/>
        <v>2250</v>
      </c>
    </row>
    <row r="2496" spans="1:13" ht="15" customHeight="1" x14ac:dyDescent="0.25">
      <c r="A2496" s="24">
        <v>42958</v>
      </c>
      <c r="B2496" s="9" t="s">
        <v>17</v>
      </c>
      <c r="C2496" s="9">
        <v>5000</v>
      </c>
      <c r="D2496" s="9" t="s">
        <v>11</v>
      </c>
      <c r="E2496" s="19">
        <v>186.3</v>
      </c>
      <c r="F2496" s="19">
        <v>185.9</v>
      </c>
      <c r="G2496" s="9">
        <v>185.3</v>
      </c>
      <c r="H2496" s="15">
        <v>0</v>
      </c>
      <c r="I2496" s="8">
        <f t="shared" si="2290"/>
        <v>2000.0000000000284</v>
      </c>
      <c r="J2496" s="8">
        <f>(IF(D2496="SELL",IF(G2496="",0,F2496-G2496),IF(D2496="BUY",IF(G2496="",0,G2496-F2496))))*C2496</f>
        <v>2999.9999999999718</v>
      </c>
      <c r="K2496" s="2">
        <v>0</v>
      </c>
      <c r="L2496" s="8">
        <f t="shared" si="2291"/>
        <v>1</v>
      </c>
      <c r="M2496" s="8">
        <f t="shared" si="2292"/>
        <v>5000</v>
      </c>
    </row>
    <row r="2497" spans="1:13" ht="15" customHeight="1" x14ac:dyDescent="0.25">
      <c r="A2497" s="24">
        <v>42957</v>
      </c>
      <c r="B2497" s="9" t="s">
        <v>19</v>
      </c>
      <c r="C2497" s="9">
        <v>100</v>
      </c>
      <c r="D2497" s="9" t="s">
        <v>10</v>
      </c>
      <c r="E2497" s="19">
        <v>28925</v>
      </c>
      <c r="F2497" s="19">
        <v>28995</v>
      </c>
      <c r="G2497" s="9">
        <v>0</v>
      </c>
      <c r="H2497" s="15">
        <v>0</v>
      </c>
      <c r="I2497" s="8">
        <f t="shared" si="2290"/>
        <v>7000</v>
      </c>
      <c r="J2497" s="8">
        <v>0</v>
      </c>
      <c r="K2497" s="2">
        <v>0</v>
      </c>
      <c r="L2497" s="8">
        <f t="shared" si="2291"/>
        <v>70</v>
      </c>
      <c r="M2497" s="8">
        <f t="shared" si="2292"/>
        <v>7000</v>
      </c>
    </row>
    <row r="2498" spans="1:13" ht="15" customHeight="1" x14ac:dyDescent="0.25">
      <c r="A2498" s="24">
        <v>42956</v>
      </c>
      <c r="B2498" s="9" t="s">
        <v>15</v>
      </c>
      <c r="C2498" s="9">
        <v>5000</v>
      </c>
      <c r="D2498" s="9" t="s">
        <v>10</v>
      </c>
      <c r="E2498" s="19">
        <v>153.6</v>
      </c>
      <c r="F2498" s="19">
        <v>152.19999999999999</v>
      </c>
      <c r="G2498" s="9">
        <v>0</v>
      </c>
      <c r="H2498" s="15">
        <v>0</v>
      </c>
      <c r="I2498" s="8">
        <f t="shared" si="2290"/>
        <v>-7000.0000000000282</v>
      </c>
      <c r="J2498" s="8">
        <v>0</v>
      </c>
      <c r="K2498" s="2">
        <v>0</v>
      </c>
      <c r="L2498" s="8">
        <f t="shared" si="2291"/>
        <v>-1.4000000000000057</v>
      </c>
      <c r="M2498" s="8">
        <f t="shared" si="2292"/>
        <v>-7000.0000000000282</v>
      </c>
    </row>
    <row r="2499" spans="1:13" ht="15" customHeight="1" x14ac:dyDescent="0.25">
      <c r="A2499" s="24">
        <v>42956</v>
      </c>
      <c r="B2499" s="9" t="s">
        <v>17</v>
      </c>
      <c r="C2499" s="9">
        <v>5000</v>
      </c>
      <c r="D2499" s="9" t="s">
        <v>10</v>
      </c>
      <c r="E2499" s="19">
        <v>189</v>
      </c>
      <c r="F2499" s="19">
        <v>189.5</v>
      </c>
      <c r="G2499" s="9">
        <v>190.1</v>
      </c>
      <c r="H2499" s="15">
        <v>0</v>
      </c>
      <c r="I2499" s="8">
        <f t="shared" si="2290"/>
        <v>2500</v>
      </c>
      <c r="J2499" s="8">
        <f t="shared" ref="J2499:J2507" si="2293">(IF(D2499="SELL",IF(G2499="",0,F2499-G2499),IF(D2499="BUY",IF(G2499="",0,G2499-F2499))))*C2499</f>
        <v>2999.9999999999718</v>
      </c>
      <c r="K2499" s="2">
        <v>0</v>
      </c>
      <c r="L2499" s="8">
        <f t="shared" si="2291"/>
        <v>1.0999999999999943</v>
      </c>
      <c r="M2499" s="8">
        <f t="shared" si="2292"/>
        <v>5499.9999999999718</v>
      </c>
    </row>
    <row r="2500" spans="1:13" ht="15" customHeight="1" x14ac:dyDescent="0.25">
      <c r="A2500" s="24">
        <v>42956</v>
      </c>
      <c r="B2500" s="9" t="s">
        <v>21</v>
      </c>
      <c r="C2500" s="9">
        <v>250</v>
      </c>
      <c r="D2500" s="9" t="s">
        <v>10</v>
      </c>
      <c r="E2500" s="19">
        <v>686.5</v>
      </c>
      <c r="F2500" s="19">
        <v>690</v>
      </c>
      <c r="G2500" s="9">
        <v>0</v>
      </c>
      <c r="H2500" s="15">
        <v>0</v>
      </c>
      <c r="I2500" s="8">
        <f t="shared" si="2290"/>
        <v>875</v>
      </c>
      <c r="J2500" s="8">
        <v>0</v>
      </c>
      <c r="K2500" s="2">
        <v>0</v>
      </c>
      <c r="L2500" s="8">
        <f t="shared" si="2291"/>
        <v>3.5</v>
      </c>
      <c r="M2500" s="8">
        <f t="shared" si="2292"/>
        <v>875</v>
      </c>
    </row>
    <row r="2501" spans="1:13" ht="15" customHeight="1" x14ac:dyDescent="0.25">
      <c r="A2501" s="24">
        <v>42956</v>
      </c>
      <c r="B2501" s="9" t="s">
        <v>19</v>
      </c>
      <c r="C2501" s="9">
        <v>100</v>
      </c>
      <c r="D2501" s="9" t="s">
        <v>10</v>
      </c>
      <c r="E2501" s="19">
        <v>28570</v>
      </c>
      <c r="F2501" s="19">
        <v>28625</v>
      </c>
      <c r="G2501" s="9">
        <v>28670</v>
      </c>
      <c r="H2501" s="15">
        <v>0</v>
      </c>
      <c r="I2501" s="8">
        <f t="shared" si="2290"/>
        <v>5500</v>
      </c>
      <c r="J2501" s="8">
        <f t="shared" si="2293"/>
        <v>4500</v>
      </c>
      <c r="K2501" s="2">
        <v>0</v>
      </c>
      <c r="L2501" s="8">
        <f t="shared" si="2291"/>
        <v>100</v>
      </c>
      <c r="M2501" s="8">
        <f t="shared" si="2292"/>
        <v>10000</v>
      </c>
    </row>
    <row r="2502" spans="1:13" ht="15" customHeight="1" x14ac:dyDescent="0.25">
      <c r="A2502" s="24">
        <v>42955</v>
      </c>
      <c r="B2502" s="9" t="s">
        <v>16</v>
      </c>
      <c r="C2502" s="9">
        <v>100</v>
      </c>
      <c r="D2502" s="9" t="s">
        <v>10</v>
      </c>
      <c r="E2502" s="19">
        <v>3141</v>
      </c>
      <c r="F2502" s="19">
        <v>3156</v>
      </c>
      <c r="G2502" s="9">
        <v>0</v>
      </c>
      <c r="H2502" s="15">
        <v>0</v>
      </c>
      <c r="I2502" s="8">
        <f t="shared" si="2290"/>
        <v>1500</v>
      </c>
      <c r="J2502" s="8">
        <v>0</v>
      </c>
      <c r="K2502" s="2">
        <v>0</v>
      </c>
      <c r="L2502" s="8">
        <f t="shared" si="2291"/>
        <v>15</v>
      </c>
      <c r="M2502" s="8">
        <f t="shared" si="2292"/>
        <v>1500</v>
      </c>
    </row>
    <row r="2503" spans="1:13" ht="15" customHeight="1" x14ac:dyDescent="0.25">
      <c r="A2503" s="24">
        <v>42951</v>
      </c>
      <c r="B2503" s="9" t="s">
        <v>16</v>
      </c>
      <c r="C2503" s="9">
        <v>100</v>
      </c>
      <c r="D2503" s="9" t="s">
        <v>10</v>
      </c>
      <c r="E2503" s="19">
        <v>3115</v>
      </c>
      <c r="F2503" s="19">
        <v>3130</v>
      </c>
      <c r="G2503" s="9">
        <v>0</v>
      </c>
      <c r="H2503" s="15">
        <v>0</v>
      </c>
      <c r="I2503" s="8">
        <f t="shared" ref="I2503:I2534" si="2294">(IF(D2503="SELL",E2503-F2503,IF(D2503="BUY",F2503-E2503)))*C2503</f>
        <v>1500</v>
      </c>
      <c r="J2503" s="8">
        <v>0</v>
      </c>
      <c r="K2503" s="2">
        <v>0</v>
      </c>
      <c r="L2503" s="8">
        <f t="shared" ref="L2503:L2566" si="2295">(J2503+I2503+K2503)/C2503</f>
        <v>15</v>
      </c>
      <c r="M2503" s="8">
        <f t="shared" ref="M2503:M2566" si="2296">L2503*C2503</f>
        <v>1500</v>
      </c>
    </row>
    <row r="2504" spans="1:13" ht="15" customHeight="1" x14ac:dyDescent="0.25">
      <c r="A2504" s="24">
        <v>42951</v>
      </c>
      <c r="B2504" s="9" t="s">
        <v>14</v>
      </c>
      <c r="C2504" s="9">
        <v>30</v>
      </c>
      <c r="D2504" s="9" t="s">
        <v>11</v>
      </c>
      <c r="E2504" s="19">
        <v>38180</v>
      </c>
      <c r="F2504" s="19">
        <v>37950</v>
      </c>
      <c r="G2504" s="9">
        <v>37750</v>
      </c>
      <c r="H2504" s="15">
        <v>0</v>
      </c>
      <c r="I2504" s="8">
        <f t="shared" si="2294"/>
        <v>6900</v>
      </c>
      <c r="J2504" s="8">
        <f t="shared" si="2293"/>
        <v>6000</v>
      </c>
      <c r="K2504" s="2">
        <v>0</v>
      </c>
      <c r="L2504" s="8">
        <f t="shared" si="2295"/>
        <v>430</v>
      </c>
      <c r="M2504" s="8">
        <f t="shared" si="2296"/>
        <v>12900</v>
      </c>
    </row>
    <row r="2505" spans="1:13" ht="15" customHeight="1" x14ac:dyDescent="0.25">
      <c r="A2505" s="24">
        <v>42950</v>
      </c>
      <c r="B2505" s="9" t="s">
        <v>16</v>
      </c>
      <c r="C2505" s="9">
        <v>100</v>
      </c>
      <c r="D2505" s="9" t="s">
        <v>10</v>
      </c>
      <c r="E2505" s="19">
        <v>3170</v>
      </c>
      <c r="F2505" s="19">
        <v>3185</v>
      </c>
      <c r="G2505" s="9">
        <v>0</v>
      </c>
      <c r="H2505" s="15">
        <v>0</v>
      </c>
      <c r="I2505" s="8">
        <f t="shared" si="2294"/>
        <v>1500</v>
      </c>
      <c r="J2505" s="8">
        <v>0</v>
      </c>
      <c r="K2505" s="2">
        <v>0</v>
      </c>
      <c r="L2505" s="8">
        <f t="shared" si="2295"/>
        <v>15</v>
      </c>
      <c r="M2505" s="8">
        <f t="shared" si="2296"/>
        <v>1500</v>
      </c>
    </row>
    <row r="2506" spans="1:13" ht="15" customHeight="1" x14ac:dyDescent="0.25">
      <c r="A2506" s="24">
        <v>42949</v>
      </c>
      <c r="B2506" s="9" t="s">
        <v>17</v>
      </c>
      <c r="C2506" s="9">
        <v>5000</v>
      </c>
      <c r="D2506" s="9" t="s">
        <v>11</v>
      </c>
      <c r="E2506" s="19">
        <v>177</v>
      </c>
      <c r="F2506" s="19">
        <v>176.5</v>
      </c>
      <c r="G2506" s="9">
        <v>175.9</v>
      </c>
      <c r="H2506" s="15">
        <v>0</v>
      </c>
      <c r="I2506" s="8">
        <f t="shared" si="2294"/>
        <v>2500</v>
      </c>
      <c r="J2506" s="8">
        <f t="shared" si="2293"/>
        <v>2999.9999999999718</v>
      </c>
      <c r="K2506" s="2">
        <v>0</v>
      </c>
      <c r="L2506" s="8">
        <f t="shared" si="2295"/>
        <v>1.0999999999999943</v>
      </c>
      <c r="M2506" s="8">
        <f t="shared" si="2296"/>
        <v>5499.9999999999718</v>
      </c>
    </row>
    <row r="2507" spans="1:13" ht="15" customHeight="1" x14ac:dyDescent="0.25">
      <c r="A2507" s="24">
        <v>42949</v>
      </c>
      <c r="B2507" s="9" t="s">
        <v>19</v>
      </c>
      <c r="C2507" s="9">
        <v>100</v>
      </c>
      <c r="D2507" s="9" t="s">
        <v>11</v>
      </c>
      <c r="E2507" s="19">
        <v>28670</v>
      </c>
      <c r="F2507" s="19">
        <v>28620</v>
      </c>
      <c r="G2507" s="9">
        <v>28560</v>
      </c>
      <c r="H2507" s="15">
        <v>0</v>
      </c>
      <c r="I2507" s="8">
        <f t="shared" si="2294"/>
        <v>5000</v>
      </c>
      <c r="J2507" s="8">
        <f t="shared" si="2293"/>
        <v>6000</v>
      </c>
      <c r="K2507" s="2">
        <v>0</v>
      </c>
      <c r="L2507" s="8">
        <f t="shared" si="2295"/>
        <v>110</v>
      </c>
      <c r="M2507" s="8">
        <f t="shared" si="2296"/>
        <v>11000</v>
      </c>
    </row>
    <row r="2508" spans="1:13" ht="15" customHeight="1" x14ac:dyDescent="0.25">
      <c r="A2508" s="24">
        <v>42949</v>
      </c>
      <c r="B2508" s="9" t="s">
        <v>17</v>
      </c>
      <c r="C2508" s="9">
        <v>5000</v>
      </c>
      <c r="D2508" s="9" t="s">
        <v>11</v>
      </c>
      <c r="E2508" s="19">
        <v>177</v>
      </c>
      <c r="F2508" s="19">
        <v>176.5</v>
      </c>
      <c r="G2508" s="9">
        <v>175.9</v>
      </c>
      <c r="H2508" s="15">
        <v>0</v>
      </c>
      <c r="I2508" s="8">
        <f t="shared" si="2294"/>
        <v>2500</v>
      </c>
      <c r="J2508" s="8">
        <f>(IF(D2508="SELL",IF(G2508="",0,F2508-G2508),IF(D2508="BUY",IF(G2508="",0,G2508-F2508))))*C2508</f>
        <v>2999.9999999999718</v>
      </c>
      <c r="K2508" s="2">
        <v>0</v>
      </c>
      <c r="L2508" s="8">
        <f t="shared" si="2295"/>
        <v>1.0999999999999943</v>
      </c>
      <c r="M2508" s="8">
        <f t="shared" si="2296"/>
        <v>5499.9999999999718</v>
      </c>
    </row>
    <row r="2509" spans="1:13" ht="15" customHeight="1" x14ac:dyDescent="0.25">
      <c r="A2509" s="24">
        <v>42948</v>
      </c>
      <c r="B2509" s="9" t="s">
        <v>19</v>
      </c>
      <c r="C2509" s="9">
        <v>100</v>
      </c>
      <c r="D2509" s="9" t="s">
        <v>11</v>
      </c>
      <c r="E2509" s="19">
        <v>28490</v>
      </c>
      <c r="F2509" s="19">
        <v>28450</v>
      </c>
      <c r="G2509" s="9">
        <v>0</v>
      </c>
      <c r="H2509" s="15">
        <v>0</v>
      </c>
      <c r="I2509" s="8">
        <f t="shared" si="2294"/>
        <v>4000</v>
      </c>
      <c r="J2509" s="8">
        <v>0</v>
      </c>
      <c r="K2509" s="2">
        <f>(IF(D2509="SELL",IF(H2509="",0,G2509-H2509),IF(D2509="BUY",IF(H2509="",0,(H2509-G2509)))))*C2509</f>
        <v>0</v>
      </c>
      <c r="L2509" s="8">
        <f t="shared" si="2295"/>
        <v>40</v>
      </c>
      <c r="M2509" s="8">
        <f t="shared" si="2296"/>
        <v>4000</v>
      </c>
    </row>
    <row r="2510" spans="1:13" ht="15" customHeight="1" x14ac:dyDescent="0.25">
      <c r="A2510" s="24">
        <v>42948</v>
      </c>
      <c r="B2510" s="9" t="s">
        <v>17</v>
      </c>
      <c r="C2510" s="9">
        <v>5000</v>
      </c>
      <c r="D2510" s="9" t="s">
        <v>11</v>
      </c>
      <c r="E2510" s="19">
        <v>177.9</v>
      </c>
      <c r="F2510" s="19">
        <v>177.4</v>
      </c>
      <c r="G2510" s="9">
        <v>0</v>
      </c>
      <c r="H2510" s="15">
        <v>0</v>
      </c>
      <c r="I2510" s="8">
        <f t="shared" si="2294"/>
        <v>2500</v>
      </c>
      <c r="J2510" s="8">
        <v>0</v>
      </c>
      <c r="K2510" s="2">
        <f>(IF(D2510="SELL",IF(H2510="",0,G2510-H2510),IF(D2510="BUY",IF(H2510="",0,(H2510-G2510)))))*C2510</f>
        <v>0</v>
      </c>
      <c r="L2510" s="8">
        <f t="shared" si="2295"/>
        <v>0.5</v>
      </c>
      <c r="M2510" s="8">
        <f t="shared" si="2296"/>
        <v>2500</v>
      </c>
    </row>
    <row r="2511" spans="1:13" ht="15" customHeight="1" x14ac:dyDescent="0.25">
      <c r="A2511" s="24">
        <v>42948</v>
      </c>
      <c r="B2511" s="9" t="s">
        <v>18</v>
      </c>
      <c r="C2511" s="9">
        <v>1000</v>
      </c>
      <c r="D2511" s="9" t="s">
        <v>11</v>
      </c>
      <c r="E2511" s="19">
        <v>410</v>
      </c>
      <c r="F2511" s="19">
        <v>409</v>
      </c>
      <c r="G2511" s="9">
        <v>0</v>
      </c>
      <c r="H2511" s="15">
        <v>0</v>
      </c>
      <c r="I2511" s="8">
        <f t="shared" si="2294"/>
        <v>1000</v>
      </c>
      <c r="J2511" s="8">
        <v>0</v>
      </c>
      <c r="K2511" s="2">
        <v>0</v>
      </c>
      <c r="L2511" s="8">
        <f t="shared" si="2295"/>
        <v>1</v>
      </c>
      <c r="M2511" s="8">
        <f t="shared" si="2296"/>
        <v>1000</v>
      </c>
    </row>
    <row r="2512" spans="1:13" ht="15" customHeight="1" x14ac:dyDescent="0.25">
      <c r="A2512" s="24">
        <v>42948</v>
      </c>
      <c r="B2512" s="9" t="s">
        <v>21</v>
      </c>
      <c r="C2512" s="9">
        <v>250</v>
      </c>
      <c r="D2512" s="9" t="s">
        <v>11</v>
      </c>
      <c r="E2512" s="19">
        <v>652.29999999999995</v>
      </c>
      <c r="F2512" s="19">
        <v>649</v>
      </c>
      <c r="G2512" s="9">
        <v>0</v>
      </c>
      <c r="H2512" s="15">
        <v>0</v>
      </c>
      <c r="I2512" s="8">
        <f t="shared" si="2294"/>
        <v>824.99999999998863</v>
      </c>
      <c r="J2512" s="8">
        <v>0</v>
      </c>
      <c r="K2512" s="2">
        <f>(IF(D2512="SELL",IF(H2512="",0,G2512-H2512),IF(D2512="BUY",IF(H2512="",0,(H2512-G2512)))))*C2512</f>
        <v>0</v>
      </c>
      <c r="L2512" s="8">
        <f t="shared" si="2295"/>
        <v>3.2999999999999545</v>
      </c>
      <c r="M2512" s="8">
        <f t="shared" si="2296"/>
        <v>824.99999999998863</v>
      </c>
    </row>
    <row r="2513" spans="1:13" ht="15" customHeight="1" x14ac:dyDescent="0.25">
      <c r="A2513" s="24">
        <v>42948</v>
      </c>
      <c r="B2513" s="9" t="s">
        <v>15</v>
      </c>
      <c r="C2513" s="9">
        <v>5000</v>
      </c>
      <c r="D2513" s="9" t="s">
        <v>11</v>
      </c>
      <c r="E2513" s="19">
        <v>148.19999999999999</v>
      </c>
      <c r="F2513" s="19">
        <v>147.6</v>
      </c>
      <c r="G2513" s="9">
        <v>0</v>
      </c>
      <c r="H2513" s="15">
        <v>0</v>
      </c>
      <c r="I2513" s="8">
        <f t="shared" si="2294"/>
        <v>2999.9999999999718</v>
      </c>
      <c r="J2513" s="8">
        <v>0</v>
      </c>
      <c r="K2513" s="2">
        <v>0</v>
      </c>
      <c r="L2513" s="8">
        <f t="shared" si="2295"/>
        <v>0.59999999999999432</v>
      </c>
      <c r="M2513" s="8">
        <f t="shared" si="2296"/>
        <v>2999.9999999999718</v>
      </c>
    </row>
    <row r="2514" spans="1:13" ht="15" customHeight="1" x14ac:dyDescent="0.25">
      <c r="A2514" s="24">
        <v>42947</v>
      </c>
      <c r="B2514" s="9" t="s">
        <v>17</v>
      </c>
      <c r="C2514" s="9">
        <v>5000</v>
      </c>
      <c r="D2514" s="9" t="s">
        <v>10</v>
      </c>
      <c r="E2514" s="19">
        <v>179.1</v>
      </c>
      <c r="F2514" s="19">
        <v>179.7</v>
      </c>
      <c r="G2514" s="9">
        <v>180.1</v>
      </c>
      <c r="H2514" s="15">
        <v>0</v>
      </c>
      <c r="I2514" s="8">
        <f t="shared" si="2294"/>
        <v>2999.9999999999718</v>
      </c>
      <c r="J2514" s="8">
        <f>(IF(D2514="SELL",IF(G2514="",0,F2514-G2514),IF(D2514="BUY",IF(G2514="",0,G2514-F2514))))*C2514</f>
        <v>2000.0000000000284</v>
      </c>
      <c r="K2514" s="2">
        <v>0</v>
      </c>
      <c r="L2514" s="8">
        <f t="shared" si="2295"/>
        <v>1</v>
      </c>
      <c r="M2514" s="8">
        <f t="shared" si="2296"/>
        <v>5000</v>
      </c>
    </row>
    <row r="2515" spans="1:13" ht="15" customHeight="1" x14ac:dyDescent="0.25">
      <c r="A2515" s="24">
        <v>42944</v>
      </c>
      <c r="B2515" s="9" t="s">
        <v>15</v>
      </c>
      <c r="C2515" s="9">
        <v>5000</v>
      </c>
      <c r="D2515" s="9" t="s">
        <v>11</v>
      </c>
      <c r="E2515" s="19">
        <v>145.80000000000001</v>
      </c>
      <c r="F2515" s="19">
        <v>147.5</v>
      </c>
      <c r="G2515" s="9">
        <v>0</v>
      </c>
      <c r="H2515" s="15">
        <v>0</v>
      </c>
      <c r="I2515" s="8">
        <f t="shared" si="2294"/>
        <v>-8499.9999999999436</v>
      </c>
      <c r="J2515" s="8">
        <v>0</v>
      </c>
      <c r="K2515" s="2">
        <f>(IF(D2515="SELL",IF(H2515="",0,G2515-H2515),IF(D2515="BUY",IF(H2515="",0,(H2515-G2515)))))*C2515</f>
        <v>0</v>
      </c>
      <c r="L2515" s="8">
        <f t="shared" si="2295"/>
        <v>-1.6999999999999886</v>
      </c>
      <c r="M2515" s="8">
        <f t="shared" si="2296"/>
        <v>-8499.9999999999436</v>
      </c>
    </row>
    <row r="2516" spans="1:13" ht="15" customHeight="1" x14ac:dyDescent="0.25">
      <c r="A2516" s="24">
        <v>42944</v>
      </c>
      <c r="B2516" s="9" t="s">
        <v>21</v>
      </c>
      <c r="C2516" s="9">
        <v>250</v>
      </c>
      <c r="D2516" s="9" t="s">
        <v>10</v>
      </c>
      <c r="E2516" s="19">
        <v>647.9</v>
      </c>
      <c r="F2516" s="19">
        <v>651</v>
      </c>
      <c r="G2516" s="9">
        <v>655</v>
      </c>
      <c r="H2516" s="15">
        <v>0</v>
      </c>
      <c r="I2516" s="8">
        <f t="shared" si="2294"/>
        <v>775.00000000000568</v>
      </c>
      <c r="J2516" s="8">
        <f>(IF(D2516="SELL",IF(G2516="",0,F2516-G2516),IF(D2516="BUY",IF(G2516="",0,G2516-F2516))))*C2516</f>
        <v>1000</v>
      </c>
      <c r="K2516" s="2">
        <v>0</v>
      </c>
      <c r="L2516" s="8">
        <f t="shared" si="2295"/>
        <v>7.1000000000000227</v>
      </c>
      <c r="M2516" s="8">
        <f t="shared" si="2296"/>
        <v>1775.0000000000057</v>
      </c>
    </row>
    <row r="2517" spans="1:13" ht="15" customHeight="1" x14ac:dyDescent="0.25">
      <c r="A2517" s="24">
        <v>42944</v>
      </c>
      <c r="B2517" s="9" t="s">
        <v>18</v>
      </c>
      <c r="C2517" s="9">
        <v>1000</v>
      </c>
      <c r="D2517" s="9" t="s">
        <v>11</v>
      </c>
      <c r="E2517" s="19">
        <v>405.8</v>
      </c>
      <c r="F2517" s="19">
        <v>404.7</v>
      </c>
      <c r="G2517" s="9">
        <v>0</v>
      </c>
      <c r="H2517" s="15">
        <v>0</v>
      </c>
      <c r="I2517" s="8">
        <f t="shared" si="2294"/>
        <v>1100.0000000000227</v>
      </c>
      <c r="J2517" s="8">
        <v>0</v>
      </c>
      <c r="K2517" s="2">
        <f>(IF(D2517="SELL",IF(H2517="",0,G2517-H2517),IF(D2517="BUY",IF(H2517="",0,(H2517-G2517)))))*C2517</f>
        <v>0</v>
      </c>
      <c r="L2517" s="8">
        <f t="shared" si="2295"/>
        <v>1.1000000000000227</v>
      </c>
      <c r="M2517" s="8">
        <f t="shared" si="2296"/>
        <v>1100.0000000000227</v>
      </c>
    </row>
    <row r="2518" spans="1:13" ht="15" customHeight="1" x14ac:dyDescent="0.25">
      <c r="A2518" s="24">
        <v>42944</v>
      </c>
      <c r="B2518" s="9" t="s">
        <v>17</v>
      </c>
      <c r="C2518" s="9">
        <v>5000</v>
      </c>
      <c r="D2518" s="9" t="s">
        <v>11</v>
      </c>
      <c r="E2518" s="19">
        <v>178.8</v>
      </c>
      <c r="F2518" s="19">
        <v>178.3</v>
      </c>
      <c r="G2518" s="9">
        <v>0</v>
      </c>
      <c r="H2518" s="15">
        <v>0</v>
      </c>
      <c r="I2518" s="8">
        <f t="shared" si="2294"/>
        <v>2500</v>
      </c>
      <c r="J2518" s="8">
        <v>0</v>
      </c>
      <c r="K2518" s="2">
        <v>0</v>
      </c>
      <c r="L2518" s="8">
        <f t="shared" si="2295"/>
        <v>0.5</v>
      </c>
      <c r="M2518" s="8">
        <f t="shared" si="2296"/>
        <v>2500</v>
      </c>
    </row>
    <row r="2519" spans="1:13" ht="15" customHeight="1" x14ac:dyDescent="0.25">
      <c r="A2519" s="24">
        <v>42943</v>
      </c>
      <c r="B2519" s="9" t="s">
        <v>21</v>
      </c>
      <c r="C2519" s="9">
        <v>250</v>
      </c>
      <c r="D2519" s="9" t="s">
        <v>11</v>
      </c>
      <c r="E2519" s="19">
        <v>639.20000000000005</v>
      </c>
      <c r="F2519" s="19">
        <v>647.20000000000005</v>
      </c>
      <c r="G2519" s="9">
        <v>0</v>
      </c>
      <c r="H2519" s="15">
        <v>0</v>
      </c>
      <c r="I2519" s="8">
        <f t="shared" si="2294"/>
        <v>-2000</v>
      </c>
      <c r="J2519" s="8">
        <v>0</v>
      </c>
      <c r="K2519" s="2">
        <f t="shared" ref="K2519:K2524" si="2297">(IF(D2519="SELL",IF(H2519="",0,G2519-H2519),IF(D2519="BUY",IF(H2519="",0,(H2519-G2519)))))*C2519</f>
        <v>0</v>
      </c>
      <c r="L2519" s="8">
        <f t="shared" si="2295"/>
        <v>-8</v>
      </c>
      <c r="M2519" s="8">
        <f t="shared" si="2296"/>
        <v>-2000</v>
      </c>
    </row>
    <row r="2520" spans="1:13" ht="15" customHeight="1" x14ac:dyDescent="0.25">
      <c r="A2520" s="24">
        <v>42943</v>
      </c>
      <c r="B2520" s="9" t="s">
        <v>14</v>
      </c>
      <c r="C2520" s="9">
        <v>30</v>
      </c>
      <c r="D2520" s="9" t="s">
        <v>10</v>
      </c>
      <c r="E2520" s="19">
        <v>38490</v>
      </c>
      <c r="F2520" s="19">
        <v>38600</v>
      </c>
      <c r="G2520" s="9">
        <v>0</v>
      </c>
      <c r="H2520" s="15">
        <v>0</v>
      </c>
      <c r="I2520" s="8">
        <f t="shared" si="2294"/>
        <v>3300</v>
      </c>
      <c r="J2520" s="8">
        <v>0</v>
      </c>
      <c r="K2520" s="2">
        <f t="shared" si="2297"/>
        <v>0</v>
      </c>
      <c r="L2520" s="8">
        <f t="shared" si="2295"/>
        <v>110</v>
      </c>
      <c r="M2520" s="8">
        <f t="shared" si="2296"/>
        <v>3300</v>
      </c>
    </row>
    <row r="2521" spans="1:13" ht="15" customHeight="1" x14ac:dyDescent="0.25">
      <c r="A2521" s="24">
        <v>42942</v>
      </c>
      <c r="B2521" s="9" t="s">
        <v>21</v>
      </c>
      <c r="C2521" s="9">
        <v>250</v>
      </c>
      <c r="D2521" s="9" t="s">
        <v>10</v>
      </c>
      <c r="E2521" s="19">
        <v>644.20000000000005</v>
      </c>
      <c r="F2521" s="19">
        <v>637.4</v>
      </c>
      <c r="G2521" s="9">
        <v>0</v>
      </c>
      <c r="H2521" s="15">
        <v>0</v>
      </c>
      <c r="I2521" s="8">
        <f t="shared" si="2294"/>
        <v>-1700.0000000000171</v>
      </c>
      <c r="J2521" s="8">
        <v>0</v>
      </c>
      <c r="K2521" s="2">
        <f t="shared" si="2297"/>
        <v>0</v>
      </c>
      <c r="L2521" s="8">
        <f t="shared" si="2295"/>
        <v>-6.8000000000000682</v>
      </c>
      <c r="M2521" s="8">
        <f t="shared" si="2296"/>
        <v>-1700.0000000000171</v>
      </c>
    </row>
    <row r="2522" spans="1:13" ht="15" customHeight="1" x14ac:dyDescent="0.25">
      <c r="A2522" s="24">
        <v>42942</v>
      </c>
      <c r="B2522" s="9" t="s">
        <v>16</v>
      </c>
      <c r="C2522" s="9">
        <v>100</v>
      </c>
      <c r="D2522" s="9" t="s">
        <v>10</v>
      </c>
      <c r="E2522" s="19">
        <v>3128</v>
      </c>
      <c r="F2522" s="19">
        <v>3144</v>
      </c>
      <c r="G2522" s="9">
        <v>0</v>
      </c>
      <c r="H2522" s="15">
        <v>0</v>
      </c>
      <c r="I2522" s="8">
        <f t="shared" si="2294"/>
        <v>1600</v>
      </c>
      <c r="J2522" s="8">
        <v>0</v>
      </c>
      <c r="K2522" s="2">
        <f t="shared" si="2297"/>
        <v>0</v>
      </c>
      <c r="L2522" s="8">
        <f t="shared" si="2295"/>
        <v>16</v>
      </c>
      <c r="M2522" s="8">
        <f t="shared" si="2296"/>
        <v>1600</v>
      </c>
    </row>
    <row r="2523" spans="1:13" ht="15" customHeight="1" x14ac:dyDescent="0.25">
      <c r="A2523" s="24">
        <v>42942</v>
      </c>
      <c r="B2523" s="9" t="s">
        <v>15</v>
      </c>
      <c r="C2523" s="9">
        <v>5000</v>
      </c>
      <c r="D2523" s="9" t="s">
        <v>10</v>
      </c>
      <c r="E2523" s="19">
        <v>149.80000000000001</v>
      </c>
      <c r="F2523" s="19">
        <v>148.5</v>
      </c>
      <c r="G2523" s="9">
        <v>0</v>
      </c>
      <c r="H2523" s="15">
        <v>0</v>
      </c>
      <c r="I2523" s="8">
        <f t="shared" si="2294"/>
        <v>-6500.0000000000564</v>
      </c>
      <c r="J2523" s="8">
        <v>0</v>
      </c>
      <c r="K2523" s="2">
        <f t="shared" si="2297"/>
        <v>0</v>
      </c>
      <c r="L2523" s="8">
        <f t="shared" si="2295"/>
        <v>-1.3000000000000114</v>
      </c>
      <c r="M2523" s="8">
        <f t="shared" si="2296"/>
        <v>-6500.0000000000564</v>
      </c>
    </row>
    <row r="2524" spans="1:13" ht="15" customHeight="1" x14ac:dyDescent="0.25">
      <c r="A2524" s="24">
        <v>42942</v>
      </c>
      <c r="B2524" s="9" t="s">
        <v>19</v>
      </c>
      <c r="C2524" s="9">
        <v>100</v>
      </c>
      <c r="D2524" s="9" t="s">
        <v>11</v>
      </c>
      <c r="E2524" s="19">
        <v>28360</v>
      </c>
      <c r="F2524" s="19">
        <v>28320</v>
      </c>
      <c r="G2524" s="9">
        <v>0</v>
      </c>
      <c r="H2524" s="15">
        <v>0</v>
      </c>
      <c r="I2524" s="8">
        <f t="shared" si="2294"/>
        <v>4000</v>
      </c>
      <c r="J2524" s="8">
        <v>0</v>
      </c>
      <c r="K2524" s="2">
        <f t="shared" si="2297"/>
        <v>0</v>
      </c>
      <c r="L2524" s="8">
        <f t="shared" si="2295"/>
        <v>40</v>
      </c>
      <c r="M2524" s="8">
        <f t="shared" si="2296"/>
        <v>4000</v>
      </c>
    </row>
    <row r="2525" spans="1:13" ht="15" customHeight="1" x14ac:dyDescent="0.25">
      <c r="A2525" s="24">
        <v>42942</v>
      </c>
      <c r="B2525" s="9" t="s">
        <v>18</v>
      </c>
      <c r="C2525" s="9">
        <v>1000</v>
      </c>
      <c r="D2525" s="9" t="s">
        <v>10</v>
      </c>
      <c r="E2525" s="19">
        <v>411.2</v>
      </c>
      <c r="F2525" s="19">
        <v>412.4</v>
      </c>
      <c r="G2525" s="9">
        <v>413.5</v>
      </c>
      <c r="H2525" s="15">
        <v>0</v>
      </c>
      <c r="I2525" s="8">
        <f t="shared" si="2294"/>
        <v>1199.9999999999886</v>
      </c>
      <c r="J2525" s="8">
        <f>(IF(D2525="SELL",IF(G2525="",0,F2525-G2525),IF(D2525="BUY",IF(G2525="",0,G2525-F2525))))*C2525</f>
        <v>1100.0000000000227</v>
      </c>
      <c r="K2525" s="2">
        <v>0</v>
      </c>
      <c r="L2525" s="8">
        <f t="shared" si="2295"/>
        <v>2.3000000000000114</v>
      </c>
      <c r="M2525" s="8">
        <f t="shared" si="2296"/>
        <v>2300.0000000000114</v>
      </c>
    </row>
    <row r="2526" spans="1:13" ht="15" customHeight="1" x14ac:dyDescent="0.25">
      <c r="A2526" s="24">
        <v>42941</v>
      </c>
      <c r="B2526" s="9" t="s">
        <v>18</v>
      </c>
      <c r="C2526" s="9">
        <v>1000</v>
      </c>
      <c r="D2526" s="9" t="s">
        <v>10</v>
      </c>
      <c r="E2526" s="19">
        <v>400.6</v>
      </c>
      <c r="F2526" s="19">
        <v>401.6</v>
      </c>
      <c r="G2526" s="9">
        <v>402.9</v>
      </c>
      <c r="H2526" s="15">
        <v>404</v>
      </c>
      <c r="I2526" s="8">
        <f t="shared" si="2294"/>
        <v>1000</v>
      </c>
      <c r="J2526" s="8">
        <f>(IF(D2526="SELL",IF(G2526="",0,F2526-G2526),IF(D2526="BUY",IF(G2526="",0,G2526-F2526))))*C2526</f>
        <v>1299.9999999999545</v>
      </c>
      <c r="K2526" s="2">
        <f>(IF(D2526="SELL",IF(H2526="",0,G2526-H2526),IF(D2526="BUY",IF(H2526="",0,(H2526-G2526)))))*C2526</f>
        <v>1100.0000000000227</v>
      </c>
      <c r="L2526" s="8">
        <f t="shared" si="2295"/>
        <v>3.3999999999999773</v>
      </c>
      <c r="M2526" s="8">
        <f t="shared" si="2296"/>
        <v>3399.9999999999773</v>
      </c>
    </row>
    <row r="2527" spans="1:13" ht="15" customHeight="1" x14ac:dyDescent="0.25">
      <c r="A2527" s="24">
        <v>42941</v>
      </c>
      <c r="B2527" s="9" t="s">
        <v>19</v>
      </c>
      <c r="C2527" s="9">
        <v>100</v>
      </c>
      <c r="D2527" s="9" t="s">
        <v>11</v>
      </c>
      <c r="E2527" s="19">
        <v>28480</v>
      </c>
      <c r="F2527" s="19">
        <v>28440</v>
      </c>
      <c r="G2527" s="9">
        <v>0</v>
      </c>
      <c r="H2527" s="15">
        <v>0</v>
      </c>
      <c r="I2527" s="8">
        <f t="shared" si="2294"/>
        <v>4000</v>
      </c>
      <c r="J2527" s="8">
        <v>0</v>
      </c>
      <c r="K2527" s="2">
        <v>0</v>
      </c>
      <c r="L2527" s="8">
        <f t="shared" si="2295"/>
        <v>40</v>
      </c>
      <c r="M2527" s="8">
        <f t="shared" si="2296"/>
        <v>4000</v>
      </c>
    </row>
    <row r="2528" spans="1:13" ht="15" customHeight="1" x14ac:dyDescent="0.25">
      <c r="A2528" s="24">
        <v>42941</v>
      </c>
      <c r="B2528" s="9" t="s">
        <v>21</v>
      </c>
      <c r="C2528" s="9">
        <v>250</v>
      </c>
      <c r="D2528" s="9" t="s">
        <v>10</v>
      </c>
      <c r="E2528" s="19">
        <v>630.79999999999995</v>
      </c>
      <c r="F2528" s="19">
        <v>634</v>
      </c>
      <c r="G2528" s="9">
        <v>638</v>
      </c>
      <c r="H2528" s="15">
        <v>0</v>
      </c>
      <c r="I2528" s="8">
        <f t="shared" si="2294"/>
        <v>800.00000000001137</v>
      </c>
      <c r="J2528" s="8">
        <f>(IF(D2528="SELL",IF(G2528="",0,F2528-G2528),IF(D2528="BUY",IF(G2528="",0,G2528-F2528))))*C2528</f>
        <v>1000</v>
      </c>
      <c r="K2528" s="2">
        <v>0</v>
      </c>
      <c r="L2528" s="8">
        <f t="shared" si="2295"/>
        <v>7.2000000000000455</v>
      </c>
      <c r="M2528" s="8">
        <f t="shared" si="2296"/>
        <v>1800.0000000000114</v>
      </c>
    </row>
    <row r="2529" spans="1:13" ht="15" customHeight="1" x14ac:dyDescent="0.25">
      <c r="A2529" s="24">
        <v>42941</v>
      </c>
      <c r="B2529" s="9" t="s">
        <v>16</v>
      </c>
      <c r="C2529" s="9">
        <v>100</v>
      </c>
      <c r="D2529" s="9" t="s">
        <v>10</v>
      </c>
      <c r="E2529" s="19">
        <v>3010</v>
      </c>
      <c r="F2529" s="19">
        <v>3025</v>
      </c>
      <c r="G2529" s="9">
        <v>3045</v>
      </c>
      <c r="H2529" s="15">
        <v>0</v>
      </c>
      <c r="I2529" s="8">
        <f t="shared" si="2294"/>
        <v>1500</v>
      </c>
      <c r="J2529" s="8">
        <f>(IF(D2529="SELL",IF(G2529="",0,F2529-G2529),IF(D2529="BUY",IF(G2529="",0,G2529-F2529))))*C2529</f>
        <v>2000</v>
      </c>
      <c r="K2529" s="2">
        <v>0</v>
      </c>
      <c r="L2529" s="8">
        <f t="shared" si="2295"/>
        <v>35</v>
      </c>
      <c r="M2529" s="8">
        <f t="shared" si="2296"/>
        <v>3500</v>
      </c>
    </row>
    <row r="2530" spans="1:13" ht="15" customHeight="1" x14ac:dyDescent="0.25">
      <c r="A2530" s="24">
        <v>42941</v>
      </c>
      <c r="B2530" s="9" t="s">
        <v>17</v>
      </c>
      <c r="C2530" s="9">
        <v>5000</v>
      </c>
      <c r="D2530" s="9" t="s">
        <v>10</v>
      </c>
      <c r="E2530" s="19">
        <v>180.6</v>
      </c>
      <c r="F2530" s="19">
        <v>181.1</v>
      </c>
      <c r="G2530" s="9">
        <v>181.7</v>
      </c>
      <c r="H2530" s="15">
        <v>182.6</v>
      </c>
      <c r="I2530" s="8">
        <f t="shared" si="2294"/>
        <v>2500</v>
      </c>
      <c r="J2530" s="8">
        <f>(IF(D2530="SELL",IF(G2530="",0,F2530-G2530),IF(D2530="BUY",IF(G2530="",0,G2530-F2530))))*C2530</f>
        <v>2999.9999999999718</v>
      </c>
      <c r="K2530" s="2">
        <f>(IF(D2530="SELL",IF(H2530="",0,G2530-H2530),IF(D2530="BUY",IF(H2530="",0,(H2530-G2530)))))*C2530</f>
        <v>4500.0000000000282</v>
      </c>
      <c r="L2530" s="8">
        <f t="shared" si="2295"/>
        <v>2</v>
      </c>
      <c r="M2530" s="8">
        <f t="shared" si="2296"/>
        <v>10000</v>
      </c>
    </row>
    <row r="2531" spans="1:13" ht="15" customHeight="1" x14ac:dyDescent="0.25">
      <c r="A2531" s="24">
        <v>42940</v>
      </c>
      <c r="B2531" s="9" t="s">
        <v>20</v>
      </c>
      <c r="C2531" s="9">
        <v>1250</v>
      </c>
      <c r="D2531" s="9" t="s">
        <v>11</v>
      </c>
      <c r="E2531" s="19">
        <v>189.3</v>
      </c>
      <c r="F2531" s="19">
        <v>188.3</v>
      </c>
      <c r="G2531" s="9">
        <v>0</v>
      </c>
      <c r="H2531" s="15">
        <v>0</v>
      </c>
      <c r="I2531" s="8">
        <f t="shared" si="2294"/>
        <v>1250</v>
      </c>
      <c r="J2531" s="8">
        <v>0</v>
      </c>
      <c r="K2531" s="2">
        <v>0</v>
      </c>
      <c r="L2531" s="8">
        <f t="shared" si="2295"/>
        <v>1</v>
      </c>
      <c r="M2531" s="8">
        <f t="shared" si="2296"/>
        <v>1250</v>
      </c>
    </row>
    <row r="2532" spans="1:13" ht="15" customHeight="1" x14ac:dyDescent="0.25">
      <c r="A2532" s="24">
        <v>42940</v>
      </c>
      <c r="B2532" s="9" t="s">
        <v>21</v>
      </c>
      <c r="C2532" s="9">
        <v>250</v>
      </c>
      <c r="D2532" s="9" t="s">
        <v>10</v>
      </c>
      <c r="E2532" s="19">
        <v>617.6</v>
      </c>
      <c r="F2532" s="19">
        <v>621</v>
      </c>
      <c r="G2532" s="9">
        <v>0</v>
      </c>
      <c r="H2532" s="15">
        <v>0</v>
      </c>
      <c r="I2532" s="8">
        <f t="shared" si="2294"/>
        <v>849.99999999999432</v>
      </c>
      <c r="J2532" s="8">
        <v>0</v>
      </c>
      <c r="K2532" s="2">
        <v>0</v>
      </c>
      <c r="L2532" s="8">
        <f t="shared" si="2295"/>
        <v>3.3999999999999773</v>
      </c>
      <c r="M2532" s="8">
        <f t="shared" si="2296"/>
        <v>849.99999999999432</v>
      </c>
    </row>
    <row r="2533" spans="1:13" ht="15" customHeight="1" x14ac:dyDescent="0.25">
      <c r="A2533" s="24">
        <v>42936</v>
      </c>
      <c r="B2533" s="9" t="s">
        <v>14</v>
      </c>
      <c r="C2533" s="9">
        <v>30</v>
      </c>
      <c r="D2533" s="9" t="s">
        <v>10</v>
      </c>
      <c r="E2533" s="19">
        <v>37740</v>
      </c>
      <c r="F2533" s="19">
        <v>37840</v>
      </c>
      <c r="G2533" s="9">
        <v>0</v>
      </c>
      <c r="H2533" s="15">
        <v>0</v>
      </c>
      <c r="I2533" s="8">
        <f t="shared" si="2294"/>
        <v>3000</v>
      </c>
      <c r="J2533" s="8">
        <v>0</v>
      </c>
      <c r="K2533" s="2">
        <v>0</v>
      </c>
      <c r="L2533" s="8">
        <f t="shared" si="2295"/>
        <v>100</v>
      </c>
      <c r="M2533" s="8">
        <f t="shared" si="2296"/>
        <v>3000</v>
      </c>
    </row>
    <row r="2534" spans="1:13" ht="15" customHeight="1" x14ac:dyDescent="0.25">
      <c r="A2534" s="24">
        <v>42936</v>
      </c>
      <c r="B2534" s="9" t="s">
        <v>16</v>
      </c>
      <c r="C2534" s="9">
        <v>100</v>
      </c>
      <c r="D2534" s="9" t="s">
        <v>10</v>
      </c>
      <c r="E2534" s="19">
        <v>3056</v>
      </c>
      <c r="F2534" s="19">
        <v>3071</v>
      </c>
      <c r="G2534" s="9">
        <v>0</v>
      </c>
      <c r="H2534" s="15">
        <v>0</v>
      </c>
      <c r="I2534" s="8">
        <f t="shared" si="2294"/>
        <v>1500</v>
      </c>
      <c r="J2534" s="8">
        <v>0</v>
      </c>
      <c r="K2534" s="2">
        <v>0</v>
      </c>
      <c r="L2534" s="8">
        <f t="shared" si="2295"/>
        <v>15</v>
      </c>
      <c r="M2534" s="8">
        <f t="shared" si="2296"/>
        <v>1500</v>
      </c>
    </row>
    <row r="2535" spans="1:13" ht="15" customHeight="1" x14ac:dyDescent="0.25">
      <c r="A2535" s="24">
        <v>42936</v>
      </c>
      <c r="B2535" s="9" t="s">
        <v>17</v>
      </c>
      <c r="C2535" s="9">
        <v>5000</v>
      </c>
      <c r="D2535" s="9" t="s">
        <v>10</v>
      </c>
      <c r="E2535" s="19">
        <v>176.3</v>
      </c>
      <c r="F2535" s="19">
        <v>176.8</v>
      </c>
      <c r="G2535" s="9">
        <v>0</v>
      </c>
      <c r="H2535" s="15">
        <v>0</v>
      </c>
      <c r="I2535" s="8">
        <f t="shared" ref="I2535:I2566" si="2298">(IF(D2535="SELL",E2535-F2535,IF(D2535="BUY",F2535-E2535)))*C2535</f>
        <v>2500</v>
      </c>
      <c r="J2535" s="8">
        <v>0</v>
      </c>
      <c r="K2535" s="2">
        <v>0</v>
      </c>
      <c r="L2535" s="8">
        <f t="shared" si="2295"/>
        <v>0.5</v>
      </c>
      <c r="M2535" s="8">
        <f t="shared" si="2296"/>
        <v>2500</v>
      </c>
    </row>
    <row r="2536" spans="1:13" ht="15" customHeight="1" x14ac:dyDescent="0.25">
      <c r="A2536" s="24">
        <v>42936</v>
      </c>
      <c r="B2536" s="9" t="s">
        <v>19</v>
      </c>
      <c r="C2536" s="9">
        <v>100</v>
      </c>
      <c r="D2536" s="9" t="s">
        <v>11</v>
      </c>
      <c r="E2536" s="19">
        <v>28190</v>
      </c>
      <c r="F2536" s="19">
        <v>28150</v>
      </c>
      <c r="G2536" s="9">
        <v>0</v>
      </c>
      <c r="H2536" s="15">
        <v>0</v>
      </c>
      <c r="I2536" s="8">
        <f t="shared" si="2298"/>
        <v>4000</v>
      </c>
      <c r="J2536" s="8">
        <v>0</v>
      </c>
      <c r="K2536" s="2">
        <v>0</v>
      </c>
      <c r="L2536" s="8">
        <f t="shared" si="2295"/>
        <v>40</v>
      </c>
      <c r="M2536" s="8">
        <f t="shared" si="2296"/>
        <v>4000</v>
      </c>
    </row>
    <row r="2537" spans="1:13" ht="15" customHeight="1" x14ac:dyDescent="0.25">
      <c r="A2537" s="24">
        <v>42935</v>
      </c>
      <c r="B2537" s="9" t="s">
        <v>18</v>
      </c>
      <c r="C2537" s="9">
        <v>1000</v>
      </c>
      <c r="D2537" s="9" t="s">
        <v>11</v>
      </c>
      <c r="E2537" s="19">
        <v>388.2</v>
      </c>
      <c r="F2537" s="19">
        <v>387.1</v>
      </c>
      <c r="G2537" s="9">
        <v>386</v>
      </c>
      <c r="H2537" s="15">
        <v>0</v>
      </c>
      <c r="I2537" s="8">
        <f t="shared" si="2298"/>
        <v>1099.9999999999659</v>
      </c>
      <c r="J2537" s="8">
        <f>(IF(D2537="SELL",IF(G2537="",0,F2537-G2537),IF(D2537="BUY",IF(G2537="",0,G2537-F2537))))*C2537</f>
        <v>1100.0000000000227</v>
      </c>
      <c r="K2537" s="2">
        <v>0</v>
      </c>
      <c r="L2537" s="8">
        <f t="shared" si="2295"/>
        <v>2.1999999999999886</v>
      </c>
      <c r="M2537" s="8">
        <f t="shared" si="2296"/>
        <v>2199.9999999999886</v>
      </c>
    </row>
    <row r="2538" spans="1:13" ht="15" customHeight="1" x14ac:dyDescent="0.25">
      <c r="A2538" s="24">
        <v>42935</v>
      </c>
      <c r="B2538" s="9" t="s">
        <v>16</v>
      </c>
      <c r="C2538" s="9">
        <v>100</v>
      </c>
      <c r="D2538" s="9" t="s">
        <v>10</v>
      </c>
      <c r="E2538" s="19">
        <v>2983</v>
      </c>
      <c r="F2538" s="19">
        <v>2997</v>
      </c>
      <c r="G2538" s="9">
        <v>3020</v>
      </c>
      <c r="H2538" s="15">
        <v>3049</v>
      </c>
      <c r="I2538" s="8">
        <f t="shared" si="2298"/>
        <v>1400</v>
      </c>
      <c r="J2538" s="8">
        <f>(IF(D2538="SELL",IF(G2538="",0,F2538-G2538),IF(D2538="BUY",IF(G2538="",0,G2538-F2538))))*C2538</f>
        <v>2300</v>
      </c>
      <c r="K2538" s="2">
        <f>(IF(D2538="SELL",IF(H2538="",0,G2538-H2538),IF(D2538="BUY",IF(H2538="",0,(H2538-G2538)))))*C2538</f>
        <v>2900</v>
      </c>
      <c r="L2538" s="8">
        <f t="shared" si="2295"/>
        <v>66</v>
      </c>
      <c r="M2538" s="8">
        <f t="shared" si="2296"/>
        <v>6600</v>
      </c>
    </row>
    <row r="2539" spans="1:13" ht="15" customHeight="1" x14ac:dyDescent="0.25">
      <c r="A2539" s="24">
        <v>42935</v>
      </c>
      <c r="B2539" s="9" t="s">
        <v>15</v>
      </c>
      <c r="C2539" s="9">
        <v>5000</v>
      </c>
      <c r="D2539" s="9" t="s">
        <v>10</v>
      </c>
      <c r="E2539" s="19">
        <v>145</v>
      </c>
      <c r="F2539" s="19">
        <v>143.6</v>
      </c>
      <c r="G2539" s="9">
        <v>0</v>
      </c>
      <c r="H2539" s="15">
        <v>0</v>
      </c>
      <c r="I2539" s="8">
        <f t="shared" si="2298"/>
        <v>-7000.0000000000282</v>
      </c>
      <c r="J2539" s="8">
        <v>0</v>
      </c>
      <c r="K2539" s="2">
        <v>0</v>
      </c>
      <c r="L2539" s="8">
        <f t="shared" si="2295"/>
        <v>-1.4000000000000057</v>
      </c>
      <c r="M2539" s="8">
        <f t="shared" si="2296"/>
        <v>-7000.0000000000282</v>
      </c>
    </row>
    <row r="2540" spans="1:13" ht="15" customHeight="1" x14ac:dyDescent="0.25">
      <c r="A2540" s="24">
        <v>42935</v>
      </c>
      <c r="B2540" s="9" t="s">
        <v>14</v>
      </c>
      <c r="C2540" s="9">
        <v>30</v>
      </c>
      <c r="D2540" s="9" t="s">
        <v>11</v>
      </c>
      <c r="E2540" s="19">
        <v>37490</v>
      </c>
      <c r="F2540" s="19">
        <v>37650</v>
      </c>
      <c r="G2540" s="9">
        <v>0</v>
      </c>
      <c r="H2540" s="15">
        <v>0</v>
      </c>
      <c r="I2540" s="8">
        <f t="shared" si="2298"/>
        <v>-4800</v>
      </c>
      <c r="J2540" s="8">
        <v>0</v>
      </c>
      <c r="K2540" s="2">
        <v>0</v>
      </c>
      <c r="L2540" s="8">
        <f t="shared" si="2295"/>
        <v>-160</v>
      </c>
      <c r="M2540" s="8">
        <f t="shared" si="2296"/>
        <v>-4800</v>
      </c>
    </row>
    <row r="2541" spans="1:13" ht="15" customHeight="1" x14ac:dyDescent="0.25">
      <c r="A2541" s="24">
        <v>42935</v>
      </c>
      <c r="B2541" s="9" t="s">
        <v>17</v>
      </c>
      <c r="C2541" s="9">
        <v>5000</v>
      </c>
      <c r="D2541" s="9" t="s">
        <v>11</v>
      </c>
      <c r="E2541" s="19">
        <v>178.5</v>
      </c>
      <c r="F2541" s="19">
        <v>178</v>
      </c>
      <c r="G2541" s="9">
        <v>0</v>
      </c>
      <c r="H2541" s="15">
        <v>0</v>
      </c>
      <c r="I2541" s="8">
        <f t="shared" si="2298"/>
        <v>2500</v>
      </c>
      <c r="J2541" s="8">
        <v>0</v>
      </c>
      <c r="K2541" s="2">
        <v>0</v>
      </c>
      <c r="L2541" s="8">
        <f t="shared" si="2295"/>
        <v>0.5</v>
      </c>
      <c r="M2541" s="8">
        <f t="shared" si="2296"/>
        <v>2500</v>
      </c>
    </row>
    <row r="2542" spans="1:13" ht="15" customHeight="1" x14ac:dyDescent="0.25">
      <c r="A2542" s="24">
        <v>42935</v>
      </c>
      <c r="B2542" s="9" t="s">
        <v>19</v>
      </c>
      <c r="C2542" s="9">
        <v>100</v>
      </c>
      <c r="D2542" s="9" t="s">
        <v>11</v>
      </c>
      <c r="E2542" s="19">
        <v>28242</v>
      </c>
      <c r="F2542" s="19">
        <v>28200</v>
      </c>
      <c r="G2542" s="9">
        <v>0</v>
      </c>
      <c r="H2542" s="15">
        <v>0</v>
      </c>
      <c r="I2542" s="8">
        <f t="shared" si="2298"/>
        <v>4200</v>
      </c>
      <c r="J2542" s="8">
        <v>0</v>
      </c>
      <c r="K2542" s="2">
        <v>0</v>
      </c>
      <c r="L2542" s="8">
        <f t="shared" si="2295"/>
        <v>42</v>
      </c>
      <c r="M2542" s="8">
        <f t="shared" si="2296"/>
        <v>4200</v>
      </c>
    </row>
    <row r="2543" spans="1:13" ht="15" customHeight="1" x14ac:dyDescent="0.25">
      <c r="A2543" s="24">
        <v>42934</v>
      </c>
      <c r="B2543" s="9" t="s">
        <v>15</v>
      </c>
      <c r="C2543" s="9">
        <v>5000</v>
      </c>
      <c r="D2543" s="9" t="s">
        <v>11</v>
      </c>
      <c r="E2543" s="19">
        <v>145.5</v>
      </c>
      <c r="F2543" s="19">
        <v>145</v>
      </c>
      <c r="G2543" s="9">
        <v>0</v>
      </c>
      <c r="H2543" s="15">
        <v>0</v>
      </c>
      <c r="I2543" s="8">
        <f t="shared" si="2298"/>
        <v>2500</v>
      </c>
      <c r="J2543" s="8">
        <v>0</v>
      </c>
      <c r="K2543" s="2">
        <v>0</v>
      </c>
      <c r="L2543" s="8">
        <f t="shared" si="2295"/>
        <v>0.5</v>
      </c>
      <c r="M2543" s="8">
        <f t="shared" si="2296"/>
        <v>2500</v>
      </c>
    </row>
    <row r="2544" spans="1:13" ht="15" customHeight="1" x14ac:dyDescent="0.25">
      <c r="A2544" s="24">
        <v>42934</v>
      </c>
      <c r="B2544" s="9" t="s">
        <v>27</v>
      </c>
      <c r="C2544" s="9">
        <v>5000</v>
      </c>
      <c r="D2544" s="9" t="s">
        <v>11</v>
      </c>
      <c r="E2544" s="19">
        <v>180.8</v>
      </c>
      <c r="F2544" s="19">
        <v>180.3</v>
      </c>
      <c r="G2544" s="9">
        <v>179.8</v>
      </c>
      <c r="H2544" s="15">
        <v>0</v>
      </c>
      <c r="I2544" s="8">
        <f t="shared" si="2298"/>
        <v>2500</v>
      </c>
      <c r="J2544" s="8">
        <f>(IF(D2544="SELL",IF(G2544="",0,F2544-G2544),IF(D2544="BUY",IF(G2544="",0,G2544-F2544))))*C2544</f>
        <v>2500</v>
      </c>
      <c r="K2544" s="2">
        <v>0</v>
      </c>
      <c r="L2544" s="8">
        <f t="shared" si="2295"/>
        <v>1</v>
      </c>
      <c r="M2544" s="8">
        <f t="shared" si="2296"/>
        <v>5000</v>
      </c>
    </row>
    <row r="2545" spans="1:13" ht="15" customHeight="1" x14ac:dyDescent="0.25">
      <c r="A2545" s="24">
        <v>42934</v>
      </c>
      <c r="B2545" s="9" t="s">
        <v>16</v>
      </c>
      <c r="C2545" s="9">
        <v>100</v>
      </c>
      <c r="D2545" s="9" t="s">
        <v>11</v>
      </c>
      <c r="E2545" s="19">
        <v>2960</v>
      </c>
      <c r="F2545" s="19">
        <v>3005</v>
      </c>
      <c r="G2545" s="9">
        <v>0</v>
      </c>
      <c r="H2545" s="15">
        <v>0</v>
      </c>
      <c r="I2545" s="8">
        <f t="shared" si="2298"/>
        <v>-4500</v>
      </c>
      <c r="J2545" s="8">
        <v>0</v>
      </c>
      <c r="K2545" s="2">
        <v>0</v>
      </c>
      <c r="L2545" s="8">
        <f t="shared" si="2295"/>
        <v>-45</v>
      </c>
      <c r="M2545" s="8">
        <f t="shared" si="2296"/>
        <v>-4500</v>
      </c>
    </row>
    <row r="2546" spans="1:13" ht="15" customHeight="1" x14ac:dyDescent="0.25">
      <c r="A2546" s="24">
        <v>42934</v>
      </c>
      <c r="B2546" s="9" t="s">
        <v>21</v>
      </c>
      <c r="C2546" s="9">
        <v>250</v>
      </c>
      <c r="D2546" s="9" t="s">
        <v>11</v>
      </c>
      <c r="E2546" s="19">
        <v>619.29999999999995</v>
      </c>
      <c r="F2546" s="19">
        <v>615.4</v>
      </c>
      <c r="G2546" s="9">
        <v>0</v>
      </c>
      <c r="H2546" s="15">
        <v>0</v>
      </c>
      <c r="I2546" s="8">
        <f t="shared" si="2298"/>
        <v>974.99999999999432</v>
      </c>
      <c r="J2546" s="8">
        <v>0</v>
      </c>
      <c r="K2546" s="2">
        <v>0</v>
      </c>
      <c r="L2546" s="8">
        <f t="shared" si="2295"/>
        <v>3.8999999999999773</v>
      </c>
      <c r="M2546" s="8">
        <f t="shared" si="2296"/>
        <v>974.99999999999432</v>
      </c>
    </row>
    <row r="2547" spans="1:13" ht="15" customHeight="1" x14ac:dyDescent="0.25">
      <c r="A2547" s="24">
        <v>42934</v>
      </c>
      <c r="B2547" s="9" t="s">
        <v>19</v>
      </c>
      <c r="C2547" s="9">
        <v>100</v>
      </c>
      <c r="D2547" s="9" t="s">
        <v>10</v>
      </c>
      <c r="E2547" s="19">
        <v>28160</v>
      </c>
      <c r="F2547" s="19">
        <v>28199</v>
      </c>
      <c r="G2547" s="9">
        <v>0</v>
      </c>
      <c r="H2547" s="15">
        <v>0</v>
      </c>
      <c r="I2547" s="8">
        <f t="shared" si="2298"/>
        <v>3900</v>
      </c>
      <c r="J2547" s="8">
        <v>0</v>
      </c>
      <c r="K2547" s="2">
        <v>0</v>
      </c>
      <c r="L2547" s="8">
        <f t="shared" si="2295"/>
        <v>39</v>
      </c>
      <c r="M2547" s="8">
        <f t="shared" si="2296"/>
        <v>3900</v>
      </c>
    </row>
    <row r="2548" spans="1:13" ht="15" customHeight="1" x14ac:dyDescent="0.25">
      <c r="A2548" s="24">
        <v>42933</v>
      </c>
      <c r="B2548" s="9" t="s">
        <v>20</v>
      </c>
      <c r="C2548" s="9">
        <v>1250</v>
      </c>
      <c r="D2548" s="9" t="s">
        <v>10</v>
      </c>
      <c r="E2548" s="19">
        <v>194</v>
      </c>
      <c r="F2548" s="19">
        <v>195</v>
      </c>
      <c r="G2548" s="9">
        <v>196</v>
      </c>
      <c r="H2548" s="15">
        <v>0</v>
      </c>
      <c r="I2548" s="8">
        <f t="shared" si="2298"/>
        <v>1250</v>
      </c>
      <c r="J2548" s="8">
        <f>(IF(D2548="SELL",IF(G2548="",0,F2548-G2548),IF(D2548="BUY",IF(G2548="",0,G2548-F2548))))*C2548</f>
        <v>1250</v>
      </c>
      <c r="K2548" s="2">
        <v>0</v>
      </c>
      <c r="L2548" s="8">
        <f t="shared" si="2295"/>
        <v>2</v>
      </c>
      <c r="M2548" s="8">
        <f t="shared" si="2296"/>
        <v>2500</v>
      </c>
    </row>
    <row r="2549" spans="1:13" ht="15" customHeight="1" x14ac:dyDescent="0.25">
      <c r="A2549" s="24">
        <v>42933</v>
      </c>
      <c r="B2549" s="9" t="s">
        <v>21</v>
      </c>
      <c r="C2549" s="9">
        <v>250</v>
      </c>
      <c r="D2549" s="9" t="s">
        <v>10</v>
      </c>
      <c r="E2549" s="19">
        <v>617.4</v>
      </c>
      <c r="F2549" s="19">
        <v>620</v>
      </c>
      <c r="G2549" s="9">
        <v>0</v>
      </c>
      <c r="H2549" s="15">
        <v>0</v>
      </c>
      <c r="I2549" s="8">
        <f t="shared" si="2298"/>
        <v>650.00000000000568</v>
      </c>
      <c r="J2549" s="8">
        <v>0</v>
      </c>
      <c r="K2549" s="2">
        <f>(IF(D2549="SELL",IF(H2549="",0,G2549-H2549),IF(D2549="BUY",IF(H2549="",0,(H2549-G2549)))))*C2549</f>
        <v>0</v>
      </c>
      <c r="L2549" s="8">
        <f t="shared" si="2295"/>
        <v>2.6000000000000227</v>
      </c>
      <c r="M2549" s="8">
        <f t="shared" si="2296"/>
        <v>650.00000000000568</v>
      </c>
    </row>
    <row r="2550" spans="1:13" ht="15" customHeight="1" x14ac:dyDescent="0.25">
      <c r="A2550" s="24">
        <v>42933</v>
      </c>
      <c r="B2550" s="9" t="s">
        <v>17</v>
      </c>
      <c r="C2550" s="9">
        <v>5000</v>
      </c>
      <c r="D2550" s="9" t="s">
        <v>10</v>
      </c>
      <c r="E2550" s="19">
        <v>181.2</v>
      </c>
      <c r="F2550" s="19">
        <v>181.7</v>
      </c>
      <c r="G2550" s="9">
        <v>182.2</v>
      </c>
      <c r="H2550" s="15">
        <v>183</v>
      </c>
      <c r="I2550" s="8">
        <f t="shared" si="2298"/>
        <v>2500</v>
      </c>
      <c r="J2550" s="8">
        <f>(IF(D2550="SELL",IF(G2550="",0,F2550-G2550),IF(D2550="BUY",IF(G2550="",0,G2550-F2550))))*C2550</f>
        <v>2500</v>
      </c>
      <c r="K2550" s="2">
        <f>(IF(D2550="SELL",IF(H2550="",0,G2550-H2550),IF(D2550="BUY",IF(H2550="",0,(H2550-G2550)))))*C2550</f>
        <v>4000.0000000000568</v>
      </c>
      <c r="L2550" s="8">
        <f t="shared" si="2295"/>
        <v>1.8000000000000114</v>
      </c>
      <c r="M2550" s="8">
        <f t="shared" si="2296"/>
        <v>9000.0000000000564</v>
      </c>
    </row>
    <row r="2551" spans="1:13" ht="15" customHeight="1" x14ac:dyDescent="0.25">
      <c r="A2551" s="24">
        <v>42930</v>
      </c>
      <c r="B2551" s="9" t="s">
        <v>21</v>
      </c>
      <c r="C2551" s="9">
        <v>250</v>
      </c>
      <c r="D2551" s="9" t="s">
        <v>10</v>
      </c>
      <c r="E2551" s="19">
        <v>596.29999999999995</v>
      </c>
      <c r="F2551" s="19">
        <v>599</v>
      </c>
      <c r="G2551" s="9">
        <v>0</v>
      </c>
      <c r="H2551" s="15">
        <v>0</v>
      </c>
      <c r="I2551" s="8">
        <f t="shared" si="2298"/>
        <v>675.00000000001137</v>
      </c>
      <c r="J2551" s="8">
        <v>0</v>
      </c>
      <c r="K2551" s="8">
        <v>0</v>
      </c>
      <c r="L2551" s="8">
        <f t="shared" si="2295"/>
        <v>2.7000000000000455</v>
      </c>
      <c r="M2551" s="8">
        <f t="shared" si="2296"/>
        <v>675.00000000001137</v>
      </c>
    </row>
    <row r="2552" spans="1:13" ht="15" customHeight="1" x14ac:dyDescent="0.25">
      <c r="A2552" s="24">
        <v>42930</v>
      </c>
      <c r="B2552" s="9" t="s">
        <v>19</v>
      </c>
      <c r="C2552" s="9">
        <v>100</v>
      </c>
      <c r="D2552" s="9" t="s">
        <v>11</v>
      </c>
      <c r="E2552" s="19">
        <v>2777</v>
      </c>
      <c r="F2552" s="19">
        <v>2769</v>
      </c>
      <c r="G2552" s="9">
        <v>0</v>
      </c>
      <c r="H2552" s="15">
        <v>0</v>
      </c>
      <c r="I2552" s="8">
        <f t="shared" si="2298"/>
        <v>800</v>
      </c>
      <c r="J2552" s="8">
        <v>0</v>
      </c>
      <c r="K2552" s="8">
        <v>0</v>
      </c>
      <c r="L2552" s="8">
        <f t="shared" si="2295"/>
        <v>8</v>
      </c>
      <c r="M2552" s="8">
        <f t="shared" si="2296"/>
        <v>800</v>
      </c>
    </row>
    <row r="2553" spans="1:13" ht="15" customHeight="1" x14ac:dyDescent="0.25">
      <c r="A2553" s="24">
        <v>42930</v>
      </c>
      <c r="B2553" s="9" t="s">
        <v>16</v>
      </c>
      <c r="C2553" s="9">
        <v>250</v>
      </c>
      <c r="D2553" s="9" t="s">
        <v>11</v>
      </c>
      <c r="E2553" s="19">
        <v>2999</v>
      </c>
      <c r="F2553" s="19">
        <v>2999</v>
      </c>
      <c r="G2553" s="9">
        <v>0</v>
      </c>
      <c r="H2553" s="15">
        <v>0</v>
      </c>
      <c r="I2553" s="8">
        <f t="shared" si="2298"/>
        <v>0</v>
      </c>
      <c r="J2553" s="8">
        <v>0</v>
      </c>
      <c r="K2553" s="2">
        <v>0</v>
      </c>
      <c r="L2553" s="8">
        <f t="shared" si="2295"/>
        <v>0</v>
      </c>
      <c r="M2553" s="8">
        <f t="shared" si="2296"/>
        <v>0</v>
      </c>
    </row>
    <row r="2554" spans="1:13" ht="15" customHeight="1" x14ac:dyDescent="0.25">
      <c r="A2554" s="24">
        <v>42930</v>
      </c>
      <c r="B2554" s="9" t="s">
        <v>17</v>
      </c>
      <c r="C2554" s="9">
        <v>5000</v>
      </c>
      <c r="D2554" s="9" t="s">
        <v>11</v>
      </c>
      <c r="E2554" s="19">
        <v>179.7</v>
      </c>
      <c r="F2554" s="19">
        <v>179.2</v>
      </c>
      <c r="G2554" s="9">
        <v>178.5</v>
      </c>
      <c r="H2554" s="15">
        <v>177.7</v>
      </c>
      <c r="I2554" s="8">
        <f t="shared" si="2298"/>
        <v>2500</v>
      </c>
      <c r="J2554" s="8">
        <f>(IF(D2554="SELL",IF(G2554="",0,F2554-G2554),IF(D2554="BUY",IF(G2554="",0,G2554-F2554))))*C2554</f>
        <v>3499.9999999999432</v>
      </c>
      <c r="K2554" s="2">
        <f>(IF(D2554="SELL",IF(H2554="",0,G2554-H2554),IF(D2554="BUY",IF(H2554="",0,(H2554-G2554)))))*C2554</f>
        <v>4000.0000000000568</v>
      </c>
      <c r="L2554" s="8">
        <f t="shared" si="2295"/>
        <v>2</v>
      </c>
      <c r="M2554" s="8">
        <f t="shared" si="2296"/>
        <v>10000</v>
      </c>
    </row>
    <row r="2555" spans="1:13" ht="15" customHeight="1" x14ac:dyDescent="0.25">
      <c r="A2555" s="24">
        <v>42930</v>
      </c>
      <c r="B2555" s="9" t="s">
        <v>14</v>
      </c>
      <c r="C2555" s="9">
        <v>30</v>
      </c>
      <c r="D2555" s="9" t="s">
        <v>11</v>
      </c>
      <c r="E2555" s="19">
        <v>36370</v>
      </c>
      <c r="F2555" s="19">
        <v>36600</v>
      </c>
      <c r="G2555" s="9">
        <v>0</v>
      </c>
      <c r="H2555" s="15">
        <v>0</v>
      </c>
      <c r="I2555" s="8">
        <f t="shared" si="2298"/>
        <v>-6900</v>
      </c>
      <c r="J2555" s="8">
        <v>0</v>
      </c>
      <c r="K2555" s="8">
        <v>0</v>
      </c>
      <c r="L2555" s="8">
        <f t="shared" si="2295"/>
        <v>-230</v>
      </c>
      <c r="M2555" s="8">
        <f t="shared" si="2296"/>
        <v>-6900</v>
      </c>
    </row>
    <row r="2556" spans="1:13" ht="15" customHeight="1" x14ac:dyDescent="0.25">
      <c r="A2556" s="24">
        <v>42929</v>
      </c>
      <c r="B2556" s="9" t="s">
        <v>16</v>
      </c>
      <c r="C2556" s="9">
        <v>250</v>
      </c>
      <c r="D2556" s="9" t="s">
        <v>11</v>
      </c>
      <c r="E2556" s="19">
        <v>2923</v>
      </c>
      <c r="F2556" s="19">
        <v>2905</v>
      </c>
      <c r="G2556" s="9">
        <v>0</v>
      </c>
      <c r="H2556" s="15">
        <v>0</v>
      </c>
      <c r="I2556" s="8">
        <f t="shared" si="2298"/>
        <v>4500</v>
      </c>
      <c r="J2556" s="8">
        <v>0</v>
      </c>
      <c r="K2556" s="2">
        <v>0</v>
      </c>
      <c r="L2556" s="8">
        <f t="shared" si="2295"/>
        <v>18</v>
      </c>
      <c r="M2556" s="8">
        <f t="shared" si="2296"/>
        <v>4500</v>
      </c>
    </row>
    <row r="2557" spans="1:13" ht="15" customHeight="1" x14ac:dyDescent="0.25">
      <c r="A2557" s="24">
        <v>42929</v>
      </c>
      <c r="B2557" s="9" t="s">
        <v>17</v>
      </c>
      <c r="C2557" s="9">
        <v>5000</v>
      </c>
      <c r="D2557" s="9" t="s">
        <v>10</v>
      </c>
      <c r="E2557" s="19">
        <v>182.6</v>
      </c>
      <c r="F2557" s="19">
        <v>183.1</v>
      </c>
      <c r="G2557" s="9">
        <v>0</v>
      </c>
      <c r="H2557" s="15">
        <v>0</v>
      </c>
      <c r="I2557" s="8">
        <f t="shared" si="2298"/>
        <v>2500</v>
      </c>
      <c r="J2557" s="8">
        <v>0</v>
      </c>
      <c r="K2557" s="2">
        <v>0</v>
      </c>
      <c r="L2557" s="8">
        <f t="shared" si="2295"/>
        <v>0.5</v>
      </c>
      <c r="M2557" s="8">
        <f t="shared" si="2296"/>
        <v>2500</v>
      </c>
    </row>
    <row r="2558" spans="1:13" ht="15" customHeight="1" x14ac:dyDescent="0.25">
      <c r="A2558" s="24">
        <v>42929</v>
      </c>
      <c r="B2558" s="9" t="s">
        <v>14</v>
      </c>
      <c r="C2558" s="9">
        <v>30</v>
      </c>
      <c r="D2558" s="9" t="s">
        <v>10</v>
      </c>
      <c r="E2558" s="19">
        <v>36693</v>
      </c>
      <c r="F2558" s="19">
        <v>36800</v>
      </c>
      <c r="G2558" s="9">
        <v>0</v>
      </c>
      <c r="H2558" s="15">
        <v>0</v>
      </c>
      <c r="I2558" s="8">
        <f t="shared" si="2298"/>
        <v>3210</v>
      </c>
      <c r="J2558" s="8">
        <v>0</v>
      </c>
      <c r="K2558" s="8">
        <v>0</v>
      </c>
      <c r="L2558" s="8">
        <f t="shared" si="2295"/>
        <v>107</v>
      </c>
      <c r="M2558" s="8">
        <f t="shared" si="2296"/>
        <v>3210</v>
      </c>
    </row>
    <row r="2559" spans="1:13" ht="15" customHeight="1" x14ac:dyDescent="0.25">
      <c r="A2559" s="24">
        <v>42929</v>
      </c>
      <c r="B2559" s="9" t="s">
        <v>20</v>
      </c>
      <c r="C2559" s="9">
        <v>5000</v>
      </c>
      <c r="D2559" s="9" t="s">
        <v>10</v>
      </c>
      <c r="E2559" s="19">
        <v>194.1</v>
      </c>
      <c r="F2559" s="19">
        <v>191.7</v>
      </c>
      <c r="G2559" s="9">
        <v>0</v>
      </c>
      <c r="H2559" s="15">
        <v>0</v>
      </c>
      <c r="I2559" s="8">
        <f t="shared" si="2298"/>
        <v>-12000.000000000029</v>
      </c>
      <c r="J2559" s="8">
        <v>0</v>
      </c>
      <c r="K2559" s="8">
        <v>0</v>
      </c>
      <c r="L2559" s="8">
        <f t="shared" si="2295"/>
        <v>-2.4000000000000057</v>
      </c>
      <c r="M2559" s="8">
        <f t="shared" si="2296"/>
        <v>-12000.000000000029</v>
      </c>
    </row>
    <row r="2560" spans="1:13" ht="15" customHeight="1" x14ac:dyDescent="0.25">
      <c r="A2560" s="24">
        <v>42929</v>
      </c>
      <c r="B2560" s="9" t="s">
        <v>21</v>
      </c>
      <c r="C2560" s="9">
        <v>250</v>
      </c>
      <c r="D2560" s="9" t="s">
        <v>10</v>
      </c>
      <c r="E2560" s="19">
        <v>596</v>
      </c>
      <c r="F2560" s="19">
        <v>596</v>
      </c>
      <c r="G2560" s="9">
        <v>0</v>
      </c>
      <c r="H2560" s="15">
        <v>0</v>
      </c>
      <c r="I2560" s="8">
        <f t="shared" si="2298"/>
        <v>0</v>
      </c>
      <c r="J2560" s="8">
        <v>0</v>
      </c>
      <c r="K2560" s="8">
        <v>0</v>
      </c>
      <c r="L2560" s="8">
        <f t="shared" si="2295"/>
        <v>0</v>
      </c>
      <c r="M2560" s="8">
        <f t="shared" si="2296"/>
        <v>0</v>
      </c>
    </row>
    <row r="2561" spans="1:13" ht="15" customHeight="1" x14ac:dyDescent="0.25">
      <c r="A2561" s="24">
        <v>42928</v>
      </c>
      <c r="B2561" s="9" t="s">
        <v>16</v>
      </c>
      <c r="C2561" s="9">
        <v>250</v>
      </c>
      <c r="D2561" s="9" t="s">
        <v>10</v>
      </c>
      <c r="E2561" s="19">
        <v>2955</v>
      </c>
      <c r="F2561" s="19">
        <v>2970</v>
      </c>
      <c r="G2561" s="9">
        <v>0</v>
      </c>
      <c r="H2561" s="15">
        <v>0</v>
      </c>
      <c r="I2561" s="8">
        <f t="shared" si="2298"/>
        <v>3750</v>
      </c>
      <c r="J2561" s="8">
        <v>0</v>
      </c>
      <c r="K2561" s="2">
        <v>0</v>
      </c>
      <c r="L2561" s="8">
        <f t="shared" si="2295"/>
        <v>15</v>
      </c>
      <c r="M2561" s="8">
        <f t="shared" si="2296"/>
        <v>3750</v>
      </c>
    </row>
    <row r="2562" spans="1:13" ht="15" customHeight="1" x14ac:dyDescent="0.25">
      <c r="A2562" s="24">
        <v>42928</v>
      </c>
      <c r="B2562" s="9" t="s">
        <v>17</v>
      </c>
      <c r="C2562" s="9">
        <v>5000</v>
      </c>
      <c r="D2562" s="9" t="s">
        <v>10</v>
      </c>
      <c r="E2562" s="19">
        <v>183</v>
      </c>
      <c r="F2562" s="19">
        <v>182</v>
      </c>
      <c r="G2562" s="9">
        <v>0</v>
      </c>
      <c r="H2562" s="15">
        <v>0</v>
      </c>
      <c r="I2562" s="8">
        <f t="shared" si="2298"/>
        <v>-5000</v>
      </c>
      <c r="J2562" s="8">
        <v>0</v>
      </c>
      <c r="K2562" s="2">
        <v>0</v>
      </c>
      <c r="L2562" s="8">
        <f t="shared" si="2295"/>
        <v>-1</v>
      </c>
      <c r="M2562" s="8">
        <f t="shared" si="2296"/>
        <v>-5000</v>
      </c>
    </row>
    <row r="2563" spans="1:13" ht="15" customHeight="1" x14ac:dyDescent="0.25">
      <c r="A2563" s="24">
        <v>42928</v>
      </c>
      <c r="B2563" s="9" t="s">
        <v>21</v>
      </c>
      <c r="C2563" s="9">
        <v>250</v>
      </c>
      <c r="D2563" s="9" t="s">
        <v>10</v>
      </c>
      <c r="E2563" s="19">
        <v>596</v>
      </c>
      <c r="F2563" s="19">
        <v>596</v>
      </c>
      <c r="G2563" s="9">
        <v>0</v>
      </c>
      <c r="H2563" s="15">
        <v>0</v>
      </c>
      <c r="I2563" s="8">
        <f t="shared" si="2298"/>
        <v>0</v>
      </c>
      <c r="J2563" s="8">
        <v>0</v>
      </c>
      <c r="K2563" s="8">
        <v>0</v>
      </c>
      <c r="L2563" s="8">
        <f t="shared" si="2295"/>
        <v>0</v>
      </c>
      <c r="M2563" s="8">
        <f t="shared" si="2296"/>
        <v>0</v>
      </c>
    </row>
    <row r="2564" spans="1:13" ht="15" customHeight="1" x14ac:dyDescent="0.25">
      <c r="A2564" s="24">
        <v>42927</v>
      </c>
      <c r="B2564" s="9" t="s">
        <v>16</v>
      </c>
      <c r="C2564" s="9">
        <v>250</v>
      </c>
      <c r="D2564" s="9" t="s">
        <v>11</v>
      </c>
      <c r="E2564" s="19">
        <v>2870</v>
      </c>
      <c r="F2564" s="19">
        <v>2855</v>
      </c>
      <c r="G2564" s="9">
        <v>0</v>
      </c>
      <c r="H2564" s="15">
        <v>0</v>
      </c>
      <c r="I2564" s="8">
        <f t="shared" si="2298"/>
        <v>3750</v>
      </c>
      <c r="J2564" s="8">
        <v>0</v>
      </c>
      <c r="K2564" s="2">
        <v>0</v>
      </c>
      <c r="L2564" s="8">
        <f t="shared" si="2295"/>
        <v>15</v>
      </c>
      <c r="M2564" s="8">
        <f t="shared" si="2296"/>
        <v>3750</v>
      </c>
    </row>
    <row r="2565" spans="1:13" ht="15" customHeight="1" x14ac:dyDescent="0.25">
      <c r="A2565" s="24">
        <v>42927</v>
      </c>
      <c r="B2565" s="9" t="s">
        <v>17</v>
      </c>
      <c r="C2565" s="9">
        <v>5000</v>
      </c>
      <c r="D2565" s="9" t="s">
        <v>10</v>
      </c>
      <c r="E2565" s="19">
        <v>179.25</v>
      </c>
      <c r="F2565" s="19">
        <v>179.75</v>
      </c>
      <c r="G2565" s="9">
        <v>180.3</v>
      </c>
      <c r="H2565" s="15">
        <v>0</v>
      </c>
      <c r="I2565" s="8">
        <f t="shared" si="2298"/>
        <v>2500</v>
      </c>
      <c r="J2565" s="8">
        <f>(IF(D2565="SELL",IF(G2565="",0,F2565-G2565),IF(D2565="BUY",IF(G2565="",0,G2565-F2565))))*C2565</f>
        <v>2750.0000000000568</v>
      </c>
      <c r="K2565" s="2">
        <v>0</v>
      </c>
      <c r="L2565" s="8">
        <f t="shared" si="2295"/>
        <v>1.0500000000000114</v>
      </c>
      <c r="M2565" s="8">
        <f t="shared" si="2296"/>
        <v>5250.0000000000564</v>
      </c>
    </row>
    <row r="2566" spans="1:13" ht="15" customHeight="1" x14ac:dyDescent="0.25">
      <c r="A2566" s="24">
        <v>42927</v>
      </c>
      <c r="B2566" s="9" t="s">
        <v>14</v>
      </c>
      <c r="C2566" s="9">
        <v>30</v>
      </c>
      <c r="D2566" s="9" t="s">
        <v>11</v>
      </c>
      <c r="E2566" s="19">
        <v>36200</v>
      </c>
      <c r="F2566" s="19">
        <v>36100</v>
      </c>
      <c r="G2566" s="9">
        <v>0</v>
      </c>
      <c r="H2566" s="15">
        <v>0</v>
      </c>
      <c r="I2566" s="8">
        <f t="shared" si="2298"/>
        <v>3000</v>
      </c>
      <c r="J2566" s="8">
        <v>0</v>
      </c>
      <c r="K2566" s="8">
        <v>0</v>
      </c>
      <c r="L2566" s="8">
        <f t="shared" si="2295"/>
        <v>100</v>
      </c>
      <c r="M2566" s="8">
        <f t="shared" si="2296"/>
        <v>3000</v>
      </c>
    </row>
    <row r="2567" spans="1:13" ht="15" customHeight="1" x14ac:dyDescent="0.25">
      <c r="A2567" s="24">
        <v>42927</v>
      </c>
      <c r="B2567" s="9" t="s">
        <v>21</v>
      </c>
      <c r="C2567" s="9">
        <v>250</v>
      </c>
      <c r="D2567" s="9" t="s">
        <v>10</v>
      </c>
      <c r="E2567" s="19">
        <v>580</v>
      </c>
      <c r="F2567" s="19">
        <v>584</v>
      </c>
      <c r="G2567" s="9">
        <v>0</v>
      </c>
      <c r="H2567" s="15">
        <v>0</v>
      </c>
      <c r="I2567" s="8">
        <f t="shared" ref="I2567:I2598" si="2299">(IF(D2567="SELL",E2567-F2567,IF(D2567="BUY",F2567-E2567)))*C2567</f>
        <v>1000</v>
      </c>
      <c r="J2567" s="8">
        <v>0</v>
      </c>
      <c r="K2567" s="8">
        <v>0</v>
      </c>
      <c r="L2567" s="8">
        <f t="shared" ref="L2567:L2630" si="2300">(J2567+I2567+K2567)/C2567</f>
        <v>4</v>
      </c>
      <c r="M2567" s="8">
        <f t="shared" ref="M2567:M2630" si="2301">L2567*C2567</f>
        <v>1000</v>
      </c>
    </row>
    <row r="2568" spans="1:13" ht="15" customHeight="1" x14ac:dyDescent="0.25">
      <c r="A2568" s="24">
        <v>42927</v>
      </c>
      <c r="B2568" s="9" t="s">
        <v>19</v>
      </c>
      <c r="C2568" s="9">
        <v>100</v>
      </c>
      <c r="D2568" s="9" t="s">
        <v>11</v>
      </c>
      <c r="E2568" s="19">
        <v>27725</v>
      </c>
      <c r="F2568" s="19">
        <v>27690</v>
      </c>
      <c r="G2568" s="9">
        <v>0</v>
      </c>
      <c r="H2568" s="15">
        <v>0</v>
      </c>
      <c r="I2568" s="8">
        <f t="shared" si="2299"/>
        <v>3500</v>
      </c>
      <c r="J2568" s="8">
        <v>0</v>
      </c>
      <c r="K2568" s="8">
        <v>0</v>
      </c>
      <c r="L2568" s="8">
        <f t="shared" si="2300"/>
        <v>35</v>
      </c>
      <c r="M2568" s="8">
        <f t="shared" si="2301"/>
        <v>3500</v>
      </c>
    </row>
    <row r="2569" spans="1:13" ht="15" customHeight="1" x14ac:dyDescent="0.25">
      <c r="A2569" s="24">
        <v>42926</v>
      </c>
      <c r="B2569" s="9" t="s">
        <v>19</v>
      </c>
      <c r="C2569" s="9">
        <v>100</v>
      </c>
      <c r="D2569" s="9" t="s">
        <v>11</v>
      </c>
      <c r="E2569" s="19">
        <v>27630</v>
      </c>
      <c r="F2569" s="19">
        <v>27738</v>
      </c>
      <c r="G2569" s="9">
        <v>0</v>
      </c>
      <c r="H2569" s="15">
        <v>0</v>
      </c>
      <c r="I2569" s="8">
        <f t="shared" si="2299"/>
        <v>-10800</v>
      </c>
      <c r="J2569" s="8">
        <v>0</v>
      </c>
      <c r="K2569" s="8">
        <v>0</v>
      </c>
      <c r="L2569" s="8">
        <f t="shared" si="2300"/>
        <v>-108</v>
      </c>
      <c r="M2569" s="8">
        <f t="shared" si="2301"/>
        <v>-10800</v>
      </c>
    </row>
    <row r="2570" spans="1:13" ht="15" customHeight="1" x14ac:dyDescent="0.25">
      <c r="A2570" s="24">
        <v>42926</v>
      </c>
      <c r="B2570" s="9" t="s">
        <v>16</v>
      </c>
      <c r="C2570" s="9">
        <v>250</v>
      </c>
      <c r="D2570" s="9" t="s">
        <v>11</v>
      </c>
      <c r="E2570" s="19">
        <v>2860</v>
      </c>
      <c r="F2570" s="19">
        <v>2845</v>
      </c>
      <c r="G2570" s="9">
        <v>2825</v>
      </c>
      <c r="H2570" s="15">
        <v>0</v>
      </c>
      <c r="I2570" s="8">
        <f t="shared" si="2299"/>
        <v>3750</v>
      </c>
      <c r="J2570" s="8">
        <f>(IF(D2570="SELL",IF(G2570="",0,F2570-G2570),IF(D2570="BUY",IF(G2570="",0,G2570-F2570))))*C2570</f>
        <v>5000</v>
      </c>
      <c r="K2570" s="2">
        <v>0</v>
      </c>
      <c r="L2570" s="8">
        <f t="shared" si="2300"/>
        <v>35</v>
      </c>
      <c r="M2570" s="8">
        <f t="shared" si="2301"/>
        <v>8750</v>
      </c>
    </row>
    <row r="2571" spans="1:13" ht="15" customHeight="1" x14ac:dyDescent="0.25">
      <c r="A2571" s="24">
        <v>42926</v>
      </c>
      <c r="B2571" s="9" t="s">
        <v>20</v>
      </c>
      <c r="C2571" s="9">
        <v>5000</v>
      </c>
      <c r="D2571" s="9" t="s">
        <v>10</v>
      </c>
      <c r="E2571" s="19">
        <v>187</v>
      </c>
      <c r="F2571" s="19">
        <v>188</v>
      </c>
      <c r="G2571" s="9">
        <v>189</v>
      </c>
      <c r="H2571" s="15">
        <v>0</v>
      </c>
      <c r="I2571" s="8">
        <f t="shared" si="2299"/>
        <v>5000</v>
      </c>
      <c r="J2571" s="8">
        <f>(IF(D2571="SELL",IF(G2571="",0,F2571-G2571),IF(D2571="BUY",IF(G2571="",0,G2571-F2571))))*C2571</f>
        <v>5000</v>
      </c>
      <c r="K2571" s="8">
        <v>0</v>
      </c>
      <c r="L2571" s="8">
        <f t="shared" si="2300"/>
        <v>2</v>
      </c>
      <c r="M2571" s="8">
        <f t="shared" si="2301"/>
        <v>10000</v>
      </c>
    </row>
    <row r="2572" spans="1:13" ht="15" customHeight="1" x14ac:dyDescent="0.25">
      <c r="A2572" s="24">
        <v>42926</v>
      </c>
      <c r="B2572" s="9" t="s">
        <v>21</v>
      </c>
      <c r="C2572" s="9">
        <v>250</v>
      </c>
      <c r="D2572" s="9" t="s">
        <v>11</v>
      </c>
      <c r="E2572" s="19">
        <v>582.70000000000005</v>
      </c>
      <c r="F2572" s="19">
        <v>579</v>
      </c>
      <c r="G2572" s="9">
        <v>575</v>
      </c>
      <c r="H2572" s="15">
        <v>0</v>
      </c>
      <c r="I2572" s="8">
        <f t="shared" si="2299"/>
        <v>925.00000000001137</v>
      </c>
      <c r="J2572" s="8">
        <f>(IF(D2572="SELL",IF(G2572="",0,F2572-G2572),IF(D2572="BUY",IF(G2572="",0,G2572-F2572))))*C2572</f>
        <v>1000</v>
      </c>
      <c r="K2572" s="8">
        <v>0</v>
      </c>
      <c r="L2572" s="8">
        <f t="shared" si="2300"/>
        <v>7.7000000000000455</v>
      </c>
      <c r="M2572" s="8">
        <f t="shared" si="2301"/>
        <v>1925.0000000000114</v>
      </c>
    </row>
    <row r="2573" spans="1:13" ht="15" customHeight="1" x14ac:dyDescent="0.25">
      <c r="A2573" s="24">
        <v>42923</v>
      </c>
      <c r="B2573" s="9" t="s">
        <v>16</v>
      </c>
      <c r="C2573" s="9">
        <v>250</v>
      </c>
      <c r="D2573" s="9" t="s">
        <v>11</v>
      </c>
      <c r="E2573" s="19">
        <v>2916</v>
      </c>
      <c r="F2573" s="19">
        <v>2901</v>
      </c>
      <c r="G2573" s="9">
        <v>2875</v>
      </c>
      <c r="H2573" s="15">
        <v>0</v>
      </c>
      <c r="I2573" s="8">
        <f t="shared" si="2299"/>
        <v>3750</v>
      </c>
      <c r="J2573" s="8">
        <f>(IF(D2573="SELL",IF(G2573="",0,F2573-G2573),IF(D2573="BUY",IF(G2573="",0,G2573-F2573))))*C2573</f>
        <v>6500</v>
      </c>
      <c r="K2573" s="2">
        <v>0</v>
      </c>
      <c r="L2573" s="8">
        <f t="shared" si="2300"/>
        <v>41</v>
      </c>
      <c r="M2573" s="8">
        <f t="shared" si="2301"/>
        <v>10250</v>
      </c>
    </row>
    <row r="2574" spans="1:13" ht="15" customHeight="1" x14ac:dyDescent="0.25">
      <c r="A2574" s="24">
        <v>42923</v>
      </c>
      <c r="B2574" s="9" t="s">
        <v>18</v>
      </c>
      <c r="C2574" s="9">
        <v>1000</v>
      </c>
      <c r="D2574" s="9" t="s">
        <v>11</v>
      </c>
      <c r="E2574" s="19">
        <v>381.7</v>
      </c>
      <c r="F2574" s="19">
        <v>381.7</v>
      </c>
      <c r="G2574" s="9">
        <v>0</v>
      </c>
      <c r="H2574" s="15">
        <v>0</v>
      </c>
      <c r="I2574" s="8">
        <f t="shared" si="2299"/>
        <v>0</v>
      </c>
      <c r="J2574" s="8">
        <v>0</v>
      </c>
      <c r="K2574" s="2">
        <v>0</v>
      </c>
      <c r="L2574" s="8">
        <f t="shared" si="2300"/>
        <v>0</v>
      </c>
      <c r="M2574" s="8">
        <f t="shared" si="2301"/>
        <v>0</v>
      </c>
    </row>
    <row r="2575" spans="1:13" ht="15" customHeight="1" x14ac:dyDescent="0.25">
      <c r="A2575" s="24">
        <v>42893</v>
      </c>
      <c r="B2575" s="9" t="s">
        <v>15</v>
      </c>
      <c r="C2575" s="9">
        <v>5000</v>
      </c>
      <c r="D2575" s="9" t="s">
        <v>11</v>
      </c>
      <c r="E2575" s="19">
        <v>147.5</v>
      </c>
      <c r="F2575" s="19">
        <v>148.6</v>
      </c>
      <c r="G2575" s="9">
        <v>0</v>
      </c>
      <c r="H2575" s="15">
        <v>0</v>
      </c>
      <c r="I2575" s="8">
        <f t="shared" si="2299"/>
        <v>-5499.9999999999718</v>
      </c>
      <c r="J2575" s="8">
        <v>0</v>
      </c>
      <c r="K2575" s="8">
        <v>0</v>
      </c>
      <c r="L2575" s="8">
        <f t="shared" si="2300"/>
        <v>-1.0999999999999943</v>
      </c>
      <c r="M2575" s="8">
        <f t="shared" si="2301"/>
        <v>-5499.9999999999718</v>
      </c>
    </row>
    <row r="2576" spans="1:13" ht="15" customHeight="1" x14ac:dyDescent="0.25">
      <c r="A2576" s="24">
        <v>42923</v>
      </c>
      <c r="B2576" s="9" t="s">
        <v>19</v>
      </c>
      <c r="C2576" s="9">
        <v>100</v>
      </c>
      <c r="D2576" s="9" t="s">
        <v>11</v>
      </c>
      <c r="E2576" s="19">
        <v>28042</v>
      </c>
      <c r="F2576" s="19">
        <v>28000</v>
      </c>
      <c r="G2576" s="9">
        <v>0</v>
      </c>
      <c r="H2576" s="15">
        <v>0</v>
      </c>
      <c r="I2576" s="8">
        <f t="shared" si="2299"/>
        <v>4200</v>
      </c>
      <c r="J2576" s="8">
        <v>0</v>
      </c>
      <c r="K2576" s="8">
        <v>0</v>
      </c>
      <c r="L2576" s="8">
        <f t="shared" si="2300"/>
        <v>42</v>
      </c>
      <c r="M2576" s="8">
        <f t="shared" si="2301"/>
        <v>4200</v>
      </c>
    </row>
    <row r="2577" spans="1:13" ht="15" customHeight="1" x14ac:dyDescent="0.25">
      <c r="A2577" s="24">
        <v>42922</v>
      </c>
      <c r="B2577" s="9" t="s">
        <v>16</v>
      </c>
      <c r="C2577" s="9">
        <v>250</v>
      </c>
      <c r="D2577" s="9" t="s">
        <v>10</v>
      </c>
      <c r="E2577" s="19">
        <v>2960</v>
      </c>
      <c r="F2577" s="19">
        <v>2975</v>
      </c>
      <c r="G2577" s="9">
        <v>2995</v>
      </c>
      <c r="H2577" s="15">
        <v>3024</v>
      </c>
      <c r="I2577" s="8">
        <f t="shared" si="2299"/>
        <v>3750</v>
      </c>
      <c r="J2577" s="8">
        <f>(IF(D2577="SELL",IF(G2577="",0,F2577-G2577),IF(D2577="BUY",IF(G2577="",0,G2577-F2577))))*C2577</f>
        <v>5000</v>
      </c>
      <c r="K2577" s="2">
        <f>(IF(D2577="SELL",IF(H2577="",0,G2577-H2577),IF(D2577="BUY",IF(H2577="",0,(H2577-G2577)))))*C2577</f>
        <v>7250</v>
      </c>
      <c r="L2577" s="8">
        <f t="shared" si="2300"/>
        <v>64</v>
      </c>
      <c r="M2577" s="8">
        <f t="shared" si="2301"/>
        <v>16000</v>
      </c>
    </row>
    <row r="2578" spans="1:13" ht="15" customHeight="1" x14ac:dyDescent="0.25">
      <c r="A2578" s="24">
        <v>42922</v>
      </c>
      <c r="B2578" s="9" t="s">
        <v>20</v>
      </c>
      <c r="C2578" s="9">
        <v>5000</v>
      </c>
      <c r="D2578" s="9" t="s">
        <v>10</v>
      </c>
      <c r="E2578" s="19">
        <v>186.1</v>
      </c>
      <c r="F2578" s="19">
        <v>187</v>
      </c>
      <c r="G2578" s="9">
        <v>0</v>
      </c>
      <c r="H2578" s="15">
        <v>0</v>
      </c>
      <c r="I2578" s="8">
        <f t="shared" si="2299"/>
        <v>4500.0000000000282</v>
      </c>
      <c r="J2578" s="8">
        <v>0</v>
      </c>
      <c r="K2578" s="8">
        <v>0</v>
      </c>
      <c r="L2578" s="8">
        <f t="shared" si="2300"/>
        <v>0.90000000000000568</v>
      </c>
      <c r="M2578" s="8">
        <f t="shared" si="2301"/>
        <v>4500.0000000000282</v>
      </c>
    </row>
    <row r="2579" spans="1:13" ht="15" customHeight="1" x14ac:dyDescent="0.25">
      <c r="A2579" s="24">
        <v>42892</v>
      </c>
      <c r="B2579" s="9" t="s">
        <v>15</v>
      </c>
      <c r="C2579" s="9">
        <v>5000</v>
      </c>
      <c r="D2579" s="9" t="s">
        <v>11</v>
      </c>
      <c r="E2579" s="19">
        <v>146</v>
      </c>
      <c r="F2579" s="19">
        <v>147.5</v>
      </c>
      <c r="G2579" s="9">
        <v>0</v>
      </c>
      <c r="H2579" s="15">
        <v>0</v>
      </c>
      <c r="I2579" s="8">
        <f t="shared" si="2299"/>
        <v>-7500</v>
      </c>
      <c r="J2579" s="8">
        <v>0</v>
      </c>
      <c r="K2579" s="8">
        <v>0</v>
      </c>
      <c r="L2579" s="8">
        <f t="shared" si="2300"/>
        <v>-1.5</v>
      </c>
      <c r="M2579" s="8">
        <f t="shared" si="2301"/>
        <v>-7500</v>
      </c>
    </row>
    <row r="2580" spans="1:13" ht="15" customHeight="1" x14ac:dyDescent="0.25">
      <c r="A2580" s="24">
        <v>42922</v>
      </c>
      <c r="B2580" s="9" t="s">
        <v>18</v>
      </c>
      <c r="C2580" s="9">
        <v>1000</v>
      </c>
      <c r="D2580" s="9" t="s">
        <v>11</v>
      </c>
      <c r="E2580" s="19">
        <v>181.4</v>
      </c>
      <c r="F2580" s="19">
        <v>183</v>
      </c>
      <c r="G2580" s="9">
        <v>0</v>
      </c>
      <c r="H2580" s="15">
        <v>0</v>
      </c>
      <c r="I2580" s="8">
        <f t="shared" si="2299"/>
        <v>-1599.9999999999943</v>
      </c>
      <c r="J2580" s="8">
        <v>0</v>
      </c>
      <c r="K2580" s="2">
        <v>0</v>
      </c>
      <c r="L2580" s="8">
        <f t="shared" si="2300"/>
        <v>-1.5999999999999943</v>
      </c>
      <c r="M2580" s="8">
        <f t="shared" si="2301"/>
        <v>-1599.9999999999943</v>
      </c>
    </row>
    <row r="2581" spans="1:13" ht="15" customHeight="1" x14ac:dyDescent="0.25">
      <c r="A2581" s="24">
        <v>42922</v>
      </c>
      <c r="B2581" s="9" t="s">
        <v>17</v>
      </c>
      <c r="C2581" s="9">
        <v>5000</v>
      </c>
      <c r="D2581" s="9" t="s">
        <v>11</v>
      </c>
      <c r="E2581" s="19">
        <v>179.1</v>
      </c>
      <c r="F2581" s="19">
        <v>178.6</v>
      </c>
      <c r="G2581" s="9">
        <v>0</v>
      </c>
      <c r="H2581" s="15">
        <v>0</v>
      </c>
      <c r="I2581" s="8">
        <f t="shared" si="2299"/>
        <v>2500</v>
      </c>
      <c r="J2581" s="8">
        <v>0</v>
      </c>
      <c r="K2581" s="2">
        <v>0</v>
      </c>
      <c r="L2581" s="8">
        <f t="shared" si="2300"/>
        <v>0.5</v>
      </c>
      <c r="M2581" s="8">
        <f t="shared" si="2301"/>
        <v>2500</v>
      </c>
    </row>
    <row r="2582" spans="1:13" ht="15" customHeight="1" x14ac:dyDescent="0.25">
      <c r="A2582" s="24">
        <v>42921</v>
      </c>
      <c r="B2582" s="9" t="s">
        <v>17</v>
      </c>
      <c r="C2582" s="9">
        <v>5000</v>
      </c>
      <c r="D2582" s="9" t="s">
        <v>11</v>
      </c>
      <c r="E2582" s="19">
        <v>180.45</v>
      </c>
      <c r="F2582" s="19">
        <v>180.45</v>
      </c>
      <c r="G2582" s="9">
        <v>0</v>
      </c>
      <c r="H2582" s="15">
        <v>0</v>
      </c>
      <c r="I2582" s="8">
        <f t="shared" si="2299"/>
        <v>0</v>
      </c>
      <c r="J2582" s="8">
        <v>0</v>
      </c>
      <c r="K2582" s="2">
        <v>0</v>
      </c>
      <c r="L2582" s="8">
        <f t="shared" si="2300"/>
        <v>0</v>
      </c>
      <c r="M2582" s="8">
        <f t="shared" si="2301"/>
        <v>0</v>
      </c>
    </row>
    <row r="2583" spans="1:13" ht="15" customHeight="1" x14ac:dyDescent="0.25">
      <c r="A2583" s="24">
        <v>42921</v>
      </c>
      <c r="B2583" s="9" t="s">
        <v>20</v>
      </c>
      <c r="C2583" s="9">
        <v>5000</v>
      </c>
      <c r="D2583" s="9" t="s">
        <v>11</v>
      </c>
      <c r="E2583" s="19">
        <v>194</v>
      </c>
      <c r="F2583" s="19">
        <v>195.5</v>
      </c>
      <c r="G2583" s="9">
        <v>0</v>
      </c>
      <c r="H2583" s="15">
        <v>0</v>
      </c>
      <c r="I2583" s="8">
        <f t="shared" si="2299"/>
        <v>-7500</v>
      </c>
      <c r="J2583" s="8">
        <v>0</v>
      </c>
      <c r="K2583" s="8">
        <v>0</v>
      </c>
      <c r="L2583" s="8">
        <f t="shared" si="2300"/>
        <v>-1.5</v>
      </c>
      <c r="M2583" s="8">
        <f t="shared" si="2301"/>
        <v>-7500</v>
      </c>
    </row>
    <row r="2584" spans="1:13" ht="15" customHeight="1" x14ac:dyDescent="0.25">
      <c r="A2584" s="24">
        <v>42921</v>
      </c>
      <c r="B2584" s="9" t="s">
        <v>16</v>
      </c>
      <c r="C2584" s="9">
        <v>250</v>
      </c>
      <c r="D2584" s="9" t="s">
        <v>11</v>
      </c>
      <c r="E2584" s="19">
        <v>3050</v>
      </c>
      <c r="F2584" s="19">
        <v>3035</v>
      </c>
      <c r="G2584" s="9">
        <v>3005</v>
      </c>
      <c r="H2584" s="15">
        <v>0</v>
      </c>
      <c r="I2584" s="8">
        <f t="shared" si="2299"/>
        <v>3750</v>
      </c>
      <c r="J2584" s="8">
        <f>(IF(D2584="SELL",IF(G2584="",0,F2584-G2584),IF(D2584="BUY",IF(G2584="",0,G2584-F2584))))*C2584</f>
        <v>7500</v>
      </c>
      <c r="K2584" s="2">
        <v>0</v>
      </c>
      <c r="L2584" s="8">
        <f t="shared" si="2300"/>
        <v>45</v>
      </c>
      <c r="M2584" s="8">
        <f t="shared" si="2301"/>
        <v>11250</v>
      </c>
    </row>
    <row r="2585" spans="1:13" ht="15" customHeight="1" x14ac:dyDescent="0.25">
      <c r="A2585" s="24">
        <v>42921</v>
      </c>
      <c r="B2585" s="9" t="s">
        <v>19</v>
      </c>
      <c r="C2585" s="9">
        <v>100</v>
      </c>
      <c r="D2585" s="9" t="s">
        <v>10</v>
      </c>
      <c r="E2585" s="19">
        <v>28180</v>
      </c>
      <c r="F2585" s="19">
        <v>28180</v>
      </c>
      <c r="G2585" s="9">
        <v>0</v>
      </c>
      <c r="H2585" s="15">
        <v>0</v>
      </c>
      <c r="I2585" s="8">
        <f t="shared" si="2299"/>
        <v>0</v>
      </c>
      <c r="J2585" s="8">
        <v>0</v>
      </c>
      <c r="K2585" s="8">
        <v>0</v>
      </c>
      <c r="L2585" s="8">
        <f t="shared" si="2300"/>
        <v>0</v>
      </c>
      <c r="M2585" s="8">
        <f t="shared" si="2301"/>
        <v>0</v>
      </c>
    </row>
    <row r="2586" spans="1:13" ht="15" customHeight="1" x14ac:dyDescent="0.25">
      <c r="A2586" s="24">
        <v>42920</v>
      </c>
      <c r="B2586" s="9" t="s">
        <v>16</v>
      </c>
      <c r="C2586" s="9">
        <v>250</v>
      </c>
      <c r="D2586" s="9" t="s">
        <v>10</v>
      </c>
      <c r="E2586" s="19">
        <v>3048</v>
      </c>
      <c r="F2586" s="19">
        <v>3064</v>
      </c>
      <c r="G2586" s="9">
        <v>0</v>
      </c>
      <c r="H2586" s="15">
        <v>0</v>
      </c>
      <c r="I2586" s="8">
        <f t="shared" si="2299"/>
        <v>4000</v>
      </c>
      <c r="J2586" s="8">
        <v>0</v>
      </c>
      <c r="K2586" s="2">
        <v>0</v>
      </c>
      <c r="L2586" s="8">
        <f t="shared" si="2300"/>
        <v>16</v>
      </c>
      <c r="M2586" s="8">
        <f t="shared" si="2301"/>
        <v>4000</v>
      </c>
    </row>
    <row r="2587" spans="1:13" ht="15" customHeight="1" x14ac:dyDescent="0.25">
      <c r="A2587" s="24">
        <v>42920</v>
      </c>
      <c r="B2587" s="9" t="s">
        <v>18</v>
      </c>
      <c r="C2587" s="9">
        <v>1000</v>
      </c>
      <c r="D2587" s="9" t="s">
        <v>11</v>
      </c>
      <c r="E2587" s="19">
        <v>385.6</v>
      </c>
      <c r="F2587" s="19">
        <v>384.5</v>
      </c>
      <c r="G2587" s="9">
        <v>0</v>
      </c>
      <c r="H2587" s="15">
        <v>0</v>
      </c>
      <c r="I2587" s="8">
        <f t="shared" si="2299"/>
        <v>1100.0000000000227</v>
      </c>
      <c r="J2587" s="8">
        <v>0</v>
      </c>
      <c r="K2587" s="2">
        <v>0</v>
      </c>
      <c r="L2587" s="8">
        <f t="shared" si="2300"/>
        <v>1.1000000000000227</v>
      </c>
      <c r="M2587" s="8">
        <f t="shared" si="2301"/>
        <v>1100.0000000000227</v>
      </c>
    </row>
    <row r="2588" spans="1:13" ht="15" customHeight="1" x14ac:dyDescent="0.25">
      <c r="A2588" s="24">
        <v>42920</v>
      </c>
      <c r="B2588" s="9" t="s">
        <v>17</v>
      </c>
      <c r="C2588" s="9">
        <v>5000</v>
      </c>
      <c r="D2588" s="9" t="s">
        <v>11</v>
      </c>
      <c r="E2588" s="19">
        <v>180.8</v>
      </c>
      <c r="F2588" s="19">
        <v>180.3</v>
      </c>
      <c r="G2588" s="9">
        <v>179.7</v>
      </c>
      <c r="H2588" s="15">
        <v>0</v>
      </c>
      <c r="I2588" s="8">
        <f t="shared" si="2299"/>
        <v>2500</v>
      </c>
      <c r="J2588" s="8">
        <f>(IF(D2588="SELL",IF(G2588="",0,F2588-G2588),IF(D2588="BUY",IF(G2588="",0,G2588-F2588))))*C2588</f>
        <v>3000.0000000001137</v>
      </c>
      <c r="K2588" s="2">
        <v>0</v>
      </c>
      <c r="L2588" s="8">
        <f t="shared" si="2300"/>
        <v>1.1000000000000227</v>
      </c>
      <c r="M2588" s="8">
        <f t="shared" si="2301"/>
        <v>5500.0000000001137</v>
      </c>
    </row>
    <row r="2589" spans="1:13" ht="15" customHeight="1" x14ac:dyDescent="0.25">
      <c r="A2589" s="24">
        <v>42920</v>
      </c>
      <c r="B2589" s="9" t="s">
        <v>19</v>
      </c>
      <c r="C2589" s="9">
        <v>100</v>
      </c>
      <c r="D2589" s="9" t="s">
        <v>10</v>
      </c>
      <c r="E2589" s="19">
        <v>28080</v>
      </c>
      <c r="F2589" s="19">
        <v>28120</v>
      </c>
      <c r="G2589" s="9">
        <v>28165</v>
      </c>
      <c r="H2589" s="15">
        <v>0</v>
      </c>
      <c r="I2589" s="8">
        <f t="shared" si="2299"/>
        <v>4000</v>
      </c>
      <c r="J2589" s="8">
        <f>(IF(D2589="SELL",IF(G2589="",0,F2589-G2589),IF(D2589="BUY",IF(G2589="",0,G2589-F2589))))*C2589</f>
        <v>4500</v>
      </c>
      <c r="K2589" s="8">
        <v>0</v>
      </c>
      <c r="L2589" s="8">
        <f t="shared" si="2300"/>
        <v>85</v>
      </c>
      <c r="M2589" s="8">
        <f t="shared" si="2301"/>
        <v>8500</v>
      </c>
    </row>
    <row r="2590" spans="1:13" ht="15" customHeight="1" x14ac:dyDescent="0.25">
      <c r="A2590" s="24">
        <v>42919</v>
      </c>
      <c r="B2590" s="9" t="s">
        <v>19</v>
      </c>
      <c r="C2590" s="9">
        <v>100</v>
      </c>
      <c r="D2590" s="9" t="s">
        <v>11</v>
      </c>
      <c r="E2590" s="19">
        <v>28356</v>
      </c>
      <c r="F2590" s="19">
        <v>28356</v>
      </c>
      <c r="G2590" s="9">
        <v>0</v>
      </c>
      <c r="H2590" s="15">
        <v>0</v>
      </c>
      <c r="I2590" s="8">
        <f t="shared" si="2299"/>
        <v>0</v>
      </c>
      <c r="J2590" s="8">
        <v>0</v>
      </c>
      <c r="K2590" s="8">
        <v>0</v>
      </c>
      <c r="L2590" s="8">
        <f t="shared" si="2300"/>
        <v>0</v>
      </c>
      <c r="M2590" s="8">
        <f t="shared" si="2301"/>
        <v>0</v>
      </c>
    </row>
    <row r="2591" spans="1:13" ht="15" customHeight="1" x14ac:dyDescent="0.25">
      <c r="A2591" s="24">
        <v>42919</v>
      </c>
      <c r="B2591" s="9" t="s">
        <v>17</v>
      </c>
      <c r="C2591" s="9">
        <v>5000</v>
      </c>
      <c r="D2591" s="9" t="s">
        <v>10</v>
      </c>
      <c r="E2591" s="19">
        <v>179.9</v>
      </c>
      <c r="F2591" s="19">
        <v>180.4</v>
      </c>
      <c r="G2591" s="9">
        <v>181</v>
      </c>
      <c r="H2591" s="15">
        <v>0</v>
      </c>
      <c r="I2591" s="8">
        <f t="shared" si="2299"/>
        <v>2500</v>
      </c>
      <c r="J2591" s="8">
        <f>(IF(D2591="SELL",IF(G2591="",0,F2591-G2591),IF(D2591="BUY",IF(G2591="",0,G2591-F2591))))*C2591</f>
        <v>2999.9999999999718</v>
      </c>
      <c r="K2591" s="2">
        <v>0</v>
      </c>
      <c r="L2591" s="8">
        <f t="shared" si="2300"/>
        <v>1.0999999999999943</v>
      </c>
      <c r="M2591" s="8">
        <f t="shared" si="2301"/>
        <v>5499.9999999999718</v>
      </c>
    </row>
    <row r="2592" spans="1:13" ht="15" customHeight="1" x14ac:dyDescent="0.25">
      <c r="A2592" s="24">
        <v>42919</v>
      </c>
      <c r="B2592" s="9" t="s">
        <v>16</v>
      </c>
      <c r="C2592" s="9">
        <v>250</v>
      </c>
      <c r="D2592" s="9" t="s">
        <v>10</v>
      </c>
      <c r="E2592" s="19">
        <v>2942</v>
      </c>
      <c r="F2592" s="19">
        <v>2942</v>
      </c>
      <c r="G2592" s="9">
        <v>0</v>
      </c>
      <c r="H2592" s="15">
        <v>0</v>
      </c>
      <c r="I2592" s="8">
        <f t="shared" si="2299"/>
        <v>0</v>
      </c>
      <c r="J2592" s="8">
        <v>0</v>
      </c>
      <c r="K2592" s="2">
        <v>0</v>
      </c>
      <c r="L2592" s="8">
        <f t="shared" si="2300"/>
        <v>0</v>
      </c>
      <c r="M2592" s="8">
        <f t="shared" si="2301"/>
        <v>0</v>
      </c>
    </row>
    <row r="2593" spans="1:13" ht="15" customHeight="1" x14ac:dyDescent="0.25">
      <c r="A2593" s="24">
        <v>42919</v>
      </c>
      <c r="B2593" s="9" t="s">
        <v>21</v>
      </c>
      <c r="C2593" s="9">
        <v>250</v>
      </c>
      <c r="D2593" s="9" t="s">
        <v>11</v>
      </c>
      <c r="E2593" s="19">
        <v>610.4</v>
      </c>
      <c r="F2593" s="19">
        <v>610.4</v>
      </c>
      <c r="G2593" s="9">
        <v>0</v>
      </c>
      <c r="H2593" s="15">
        <v>0</v>
      </c>
      <c r="I2593" s="8">
        <f t="shared" si="2299"/>
        <v>0</v>
      </c>
      <c r="J2593" s="8">
        <v>0</v>
      </c>
      <c r="K2593" s="8">
        <v>0</v>
      </c>
      <c r="L2593" s="8">
        <f t="shared" si="2300"/>
        <v>0</v>
      </c>
      <c r="M2593" s="8">
        <f t="shared" si="2301"/>
        <v>0</v>
      </c>
    </row>
    <row r="2594" spans="1:13" ht="15" customHeight="1" x14ac:dyDescent="0.25">
      <c r="A2594" s="24">
        <v>42916</v>
      </c>
      <c r="B2594" s="9" t="s">
        <v>17</v>
      </c>
      <c r="C2594" s="9">
        <v>5000</v>
      </c>
      <c r="D2594" s="9" t="s">
        <v>10</v>
      </c>
      <c r="E2594" s="19">
        <v>179</v>
      </c>
      <c r="F2594" s="19">
        <v>178</v>
      </c>
      <c r="G2594" s="9">
        <v>0</v>
      </c>
      <c r="H2594" s="15">
        <v>0</v>
      </c>
      <c r="I2594" s="8">
        <f t="shared" si="2299"/>
        <v>-5000</v>
      </c>
      <c r="J2594" s="8">
        <v>0</v>
      </c>
      <c r="K2594" s="2">
        <v>0</v>
      </c>
      <c r="L2594" s="8">
        <f t="shared" si="2300"/>
        <v>-1</v>
      </c>
      <c r="M2594" s="8">
        <f t="shared" si="2301"/>
        <v>-5000</v>
      </c>
    </row>
    <row r="2595" spans="1:13" ht="15" customHeight="1" x14ac:dyDescent="0.25">
      <c r="A2595" s="24">
        <v>42916</v>
      </c>
      <c r="B2595" s="9" t="s">
        <v>16</v>
      </c>
      <c r="C2595" s="9">
        <v>250</v>
      </c>
      <c r="D2595" s="9" t="s">
        <v>10</v>
      </c>
      <c r="E2595" s="19">
        <v>2942</v>
      </c>
      <c r="F2595" s="19">
        <v>2942</v>
      </c>
      <c r="G2595" s="9">
        <v>0</v>
      </c>
      <c r="H2595" s="15">
        <v>0</v>
      </c>
      <c r="I2595" s="8">
        <f t="shared" si="2299"/>
        <v>0</v>
      </c>
      <c r="J2595" s="8">
        <v>0</v>
      </c>
      <c r="K2595" s="2">
        <v>0</v>
      </c>
      <c r="L2595" s="8">
        <f t="shared" si="2300"/>
        <v>0</v>
      </c>
      <c r="M2595" s="8">
        <f t="shared" si="2301"/>
        <v>0</v>
      </c>
    </row>
    <row r="2596" spans="1:13" ht="15" customHeight="1" x14ac:dyDescent="0.25">
      <c r="A2596" s="24">
        <v>42916</v>
      </c>
      <c r="B2596" s="9" t="s">
        <v>18</v>
      </c>
      <c r="C2596" s="9">
        <v>1000</v>
      </c>
      <c r="D2596" s="9" t="s">
        <v>10</v>
      </c>
      <c r="E2596" s="19">
        <v>384</v>
      </c>
      <c r="F2596" s="19">
        <v>385</v>
      </c>
      <c r="G2596" s="9">
        <v>0</v>
      </c>
      <c r="H2596" s="15">
        <v>0</v>
      </c>
      <c r="I2596" s="8">
        <f t="shared" si="2299"/>
        <v>1000</v>
      </c>
      <c r="J2596" s="8">
        <v>0</v>
      </c>
      <c r="K2596" s="2">
        <v>0</v>
      </c>
      <c r="L2596" s="8">
        <f t="shared" si="2300"/>
        <v>1</v>
      </c>
      <c r="M2596" s="8">
        <f t="shared" si="2301"/>
        <v>1000</v>
      </c>
    </row>
    <row r="2597" spans="1:13" ht="15" customHeight="1" x14ac:dyDescent="0.25">
      <c r="A2597" s="24">
        <v>42916</v>
      </c>
      <c r="B2597" s="9" t="s">
        <v>19</v>
      </c>
      <c r="C2597" s="9">
        <v>100</v>
      </c>
      <c r="D2597" s="9" t="s">
        <v>11</v>
      </c>
      <c r="E2597" s="19">
        <v>28580</v>
      </c>
      <c r="F2597" s="19">
        <v>28520</v>
      </c>
      <c r="G2597" s="9">
        <v>0</v>
      </c>
      <c r="H2597" s="15">
        <v>0</v>
      </c>
      <c r="I2597" s="8">
        <f t="shared" si="2299"/>
        <v>6000</v>
      </c>
      <c r="J2597" s="8">
        <v>0</v>
      </c>
      <c r="K2597" s="8">
        <v>0</v>
      </c>
      <c r="L2597" s="8">
        <f t="shared" si="2300"/>
        <v>60</v>
      </c>
      <c r="M2597" s="8">
        <f t="shared" si="2301"/>
        <v>6000</v>
      </c>
    </row>
    <row r="2598" spans="1:13" ht="15" customHeight="1" x14ac:dyDescent="0.25">
      <c r="A2598" s="24">
        <v>42915</v>
      </c>
      <c r="B2598" s="9" t="s">
        <v>19</v>
      </c>
      <c r="C2598" s="9">
        <v>100</v>
      </c>
      <c r="D2598" s="9" t="s">
        <v>11</v>
      </c>
      <c r="E2598" s="19">
        <v>28500</v>
      </c>
      <c r="F2598" s="19">
        <v>28500</v>
      </c>
      <c r="G2598" s="9">
        <v>0</v>
      </c>
      <c r="H2598" s="15">
        <v>0</v>
      </c>
      <c r="I2598" s="8">
        <f t="shared" si="2299"/>
        <v>0</v>
      </c>
      <c r="J2598" s="8">
        <v>0</v>
      </c>
      <c r="K2598" s="8">
        <v>0</v>
      </c>
      <c r="L2598" s="8">
        <f t="shared" si="2300"/>
        <v>0</v>
      </c>
      <c r="M2598" s="8">
        <f t="shared" si="2301"/>
        <v>0</v>
      </c>
    </row>
    <row r="2599" spans="1:13" ht="15" customHeight="1" x14ac:dyDescent="0.25">
      <c r="A2599" s="24">
        <v>42915</v>
      </c>
      <c r="B2599" s="9" t="s">
        <v>14</v>
      </c>
      <c r="C2599" s="9">
        <v>30</v>
      </c>
      <c r="D2599" s="9" t="s">
        <v>10</v>
      </c>
      <c r="E2599" s="19">
        <v>38900</v>
      </c>
      <c r="F2599" s="19">
        <v>38750</v>
      </c>
      <c r="G2599" s="9">
        <v>0</v>
      </c>
      <c r="H2599" s="15">
        <v>0</v>
      </c>
      <c r="I2599" s="8">
        <f t="shared" ref="I2599:I2625" si="2302">(IF(D2599="SELL",E2599-F2599,IF(D2599="BUY",F2599-E2599)))*C2599</f>
        <v>-4500</v>
      </c>
      <c r="J2599" s="8">
        <v>0</v>
      </c>
      <c r="K2599" s="8">
        <v>0</v>
      </c>
      <c r="L2599" s="8">
        <f t="shared" si="2300"/>
        <v>-150</v>
      </c>
      <c r="M2599" s="8">
        <f t="shared" si="2301"/>
        <v>-4500</v>
      </c>
    </row>
    <row r="2600" spans="1:13" ht="15" customHeight="1" x14ac:dyDescent="0.25">
      <c r="A2600" s="24">
        <v>42915</v>
      </c>
      <c r="B2600" s="9" t="s">
        <v>16</v>
      </c>
      <c r="C2600" s="9">
        <v>250</v>
      </c>
      <c r="D2600" s="9" t="s">
        <v>10</v>
      </c>
      <c r="E2600" s="19">
        <v>2919</v>
      </c>
      <c r="F2600" s="19">
        <v>2934</v>
      </c>
      <c r="G2600" s="9">
        <v>0</v>
      </c>
      <c r="H2600" s="15">
        <v>0</v>
      </c>
      <c r="I2600" s="8">
        <f t="shared" si="2302"/>
        <v>3750</v>
      </c>
      <c r="J2600" s="8">
        <v>0</v>
      </c>
      <c r="K2600" s="8">
        <v>0</v>
      </c>
      <c r="L2600" s="8">
        <f t="shared" si="2300"/>
        <v>15</v>
      </c>
      <c r="M2600" s="8">
        <f t="shared" si="2301"/>
        <v>3750</v>
      </c>
    </row>
    <row r="2601" spans="1:13" ht="15" customHeight="1" x14ac:dyDescent="0.25">
      <c r="A2601" s="24">
        <v>42915</v>
      </c>
      <c r="B2601" s="9" t="s">
        <v>17</v>
      </c>
      <c r="C2601" s="9">
        <v>5000</v>
      </c>
      <c r="D2601" s="9" t="s">
        <v>10</v>
      </c>
      <c r="E2601" s="19">
        <v>177.5</v>
      </c>
      <c r="F2601" s="19">
        <v>178</v>
      </c>
      <c r="G2601" s="9">
        <v>178.6</v>
      </c>
      <c r="H2601" s="15">
        <v>0</v>
      </c>
      <c r="I2601" s="8">
        <f t="shared" si="2302"/>
        <v>2500</v>
      </c>
      <c r="J2601" s="8">
        <f>(IF(D2601="SELL",IF(G2601="",0,F2601-G2601),IF(D2601="BUY",IF(G2601="",0,G2601-F2601))))*C2601</f>
        <v>2999.9999999999718</v>
      </c>
      <c r="K2601" s="2">
        <v>0</v>
      </c>
      <c r="L2601" s="8">
        <f t="shared" si="2300"/>
        <v>1.0999999999999943</v>
      </c>
      <c r="M2601" s="8">
        <f t="shared" si="2301"/>
        <v>5499.9999999999718</v>
      </c>
    </row>
    <row r="2602" spans="1:13" ht="15" customHeight="1" x14ac:dyDescent="0.25">
      <c r="A2602" s="24">
        <v>42915</v>
      </c>
      <c r="B2602" s="9" t="s">
        <v>18</v>
      </c>
      <c r="C2602" s="9">
        <v>1000</v>
      </c>
      <c r="D2602" s="9" t="s">
        <v>10</v>
      </c>
      <c r="E2602" s="19">
        <v>381.3</v>
      </c>
      <c r="F2602" s="19">
        <v>382.2</v>
      </c>
      <c r="G2602" s="9">
        <v>0</v>
      </c>
      <c r="H2602" s="15">
        <v>0</v>
      </c>
      <c r="I2602" s="8">
        <f t="shared" si="2302"/>
        <v>899.99999999997726</v>
      </c>
      <c r="J2602" s="8">
        <v>0</v>
      </c>
      <c r="K2602" s="2">
        <v>0</v>
      </c>
      <c r="L2602" s="8">
        <f t="shared" si="2300"/>
        <v>0.89999999999997726</v>
      </c>
      <c r="M2602" s="8">
        <f t="shared" si="2301"/>
        <v>899.99999999997726</v>
      </c>
    </row>
    <row r="2603" spans="1:13" ht="15" customHeight="1" x14ac:dyDescent="0.25">
      <c r="A2603" s="24">
        <v>42914</v>
      </c>
      <c r="B2603" s="9" t="s">
        <v>19</v>
      </c>
      <c r="C2603" s="9">
        <v>100</v>
      </c>
      <c r="D2603" s="9" t="s">
        <v>11</v>
      </c>
      <c r="E2603" s="19">
        <v>28620</v>
      </c>
      <c r="F2603" s="19">
        <v>28550</v>
      </c>
      <c r="G2603" s="9">
        <v>0</v>
      </c>
      <c r="H2603" s="15">
        <v>0</v>
      </c>
      <c r="I2603" s="8">
        <f t="shared" si="2302"/>
        <v>7000</v>
      </c>
      <c r="J2603" s="8">
        <v>0</v>
      </c>
      <c r="K2603" s="8">
        <v>0</v>
      </c>
      <c r="L2603" s="8">
        <f t="shared" si="2300"/>
        <v>70</v>
      </c>
      <c r="M2603" s="8">
        <f t="shared" si="2301"/>
        <v>7000</v>
      </c>
    </row>
    <row r="2604" spans="1:13" ht="15" customHeight="1" x14ac:dyDescent="0.25">
      <c r="A2604" s="24">
        <v>42914</v>
      </c>
      <c r="B2604" s="9" t="s">
        <v>17</v>
      </c>
      <c r="C2604" s="9">
        <v>5000</v>
      </c>
      <c r="D2604" s="9" t="s">
        <v>11</v>
      </c>
      <c r="E2604" s="19">
        <v>178.2</v>
      </c>
      <c r="F2604" s="19">
        <v>177.6</v>
      </c>
      <c r="G2604" s="9">
        <v>176.6</v>
      </c>
      <c r="H2604" s="15">
        <v>0</v>
      </c>
      <c r="I2604" s="8">
        <f t="shared" si="2302"/>
        <v>2999.9999999999718</v>
      </c>
      <c r="J2604" s="8">
        <f>(IF(D2604="SELL",IF(G2604="",0,F2604-G2604),IF(D2604="BUY",IF(G2604="",0,G2604-F2604))))*C2604</f>
        <v>5000</v>
      </c>
      <c r="K2604" s="2">
        <v>0</v>
      </c>
      <c r="L2604" s="8">
        <f t="shared" si="2300"/>
        <v>1.5999999999999943</v>
      </c>
      <c r="M2604" s="8">
        <f t="shared" si="2301"/>
        <v>7999.9999999999718</v>
      </c>
    </row>
    <row r="2605" spans="1:13" ht="15" customHeight="1" x14ac:dyDescent="0.25">
      <c r="A2605" s="24">
        <v>42914</v>
      </c>
      <c r="B2605" s="9" t="s">
        <v>18</v>
      </c>
      <c r="C2605" s="9">
        <v>1000</v>
      </c>
      <c r="D2605" s="9" t="s">
        <v>10</v>
      </c>
      <c r="E2605" s="19">
        <v>376.5</v>
      </c>
      <c r="F2605" s="19">
        <v>376.5</v>
      </c>
      <c r="G2605" s="9">
        <v>0</v>
      </c>
      <c r="H2605" s="15">
        <v>0</v>
      </c>
      <c r="I2605" s="8">
        <f t="shared" si="2302"/>
        <v>0</v>
      </c>
      <c r="J2605" s="8">
        <v>0</v>
      </c>
      <c r="K2605" s="2">
        <v>0</v>
      </c>
      <c r="L2605" s="8">
        <f t="shared" si="2300"/>
        <v>0</v>
      </c>
      <c r="M2605" s="8">
        <f t="shared" si="2301"/>
        <v>0</v>
      </c>
    </row>
    <row r="2606" spans="1:13" ht="15" customHeight="1" x14ac:dyDescent="0.25">
      <c r="A2606" s="24">
        <v>42914</v>
      </c>
      <c r="B2606" s="9" t="s">
        <v>14</v>
      </c>
      <c r="C2606" s="9">
        <v>30</v>
      </c>
      <c r="D2606" s="9" t="s">
        <v>10</v>
      </c>
      <c r="E2606" s="19">
        <v>38730</v>
      </c>
      <c r="F2606" s="19">
        <v>38730</v>
      </c>
      <c r="G2606" s="9">
        <v>0</v>
      </c>
      <c r="H2606" s="15">
        <v>0</v>
      </c>
      <c r="I2606" s="8">
        <f t="shared" si="2302"/>
        <v>0</v>
      </c>
      <c r="J2606" s="8">
        <v>0</v>
      </c>
      <c r="K2606" s="8">
        <v>0</v>
      </c>
      <c r="L2606" s="8">
        <f t="shared" si="2300"/>
        <v>0</v>
      </c>
      <c r="M2606" s="8">
        <f t="shared" si="2301"/>
        <v>0</v>
      </c>
    </row>
    <row r="2607" spans="1:13" ht="15" customHeight="1" x14ac:dyDescent="0.25">
      <c r="A2607" s="24">
        <v>42914</v>
      </c>
      <c r="B2607" s="9" t="s">
        <v>17</v>
      </c>
      <c r="C2607" s="9">
        <v>5000</v>
      </c>
      <c r="D2607" s="9" t="s">
        <v>11</v>
      </c>
      <c r="E2607" s="19">
        <v>177</v>
      </c>
      <c r="F2607" s="19">
        <v>178.1</v>
      </c>
      <c r="G2607" s="9">
        <v>0</v>
      </c>
      <c r="H2607" s="15">
        <v>0</v>
      </c>
      <c r="I2607" s="8">
        <f t="shared" si="2302"/>
        <v>-5499.9999999999718</v>
      </c>
      <c r="J2607" s="8">
        <v>0</v>
      </c>
      <c r="K2607" s="2">
        <f>(IF(D2607="SELL",IF(H2607="",0,G2607-H2607),IF(D2607="BUY",IF(H2607="",0,(H2607-G2607)))))*C2607</f>
        <v>0</v>
      </c>
      <c r="L2607" s="8">
        <f t="shared" si="2300"/>
        <v>-1.0999999999999943</v>
      </c>
      <c r="M2607" s="8">
        <f t="shared" si="2301"/>
        <v>-5499.9999999999718</v>
      </c>
    </row>
    <row r="2608" spans="1:13" ht="15" customHeight="1" x14ac:dyDescent="0.25">
      <c r="A2608" s="24">
        <v>42913</v>
      </c>
      <c r="B2608" s="9" t="s">
        <v>14</v>
      </c>
      <c r="C2608" s="9">
        <v>30</v>
      </c>
      <c r="D2608" s="9" t="s">
        <v>10</v>
      </c>
      <c r="E2608" s="19">
        <v>38390</v>
      </c>
      <c r="F2608" s="19">
        <v>38490</v>
      </c>
      <c r="G2608" s="9">
        <v>0</v>
      </c>
      <c r="H2608" s="15">
        <v>0</v>
      </c>
      <c r="I2608" s="8">
        <f t="shared" si="2302"/>
        <v>3000</v>
      </c>
      <c r="J2608" s="8">
        <v>0</v>
      </c>
      <c r="K2608" s="8">
        <v>0</v>
      </c>
      <c r="L2608" s="8">
        <f t="shared" si="2300"/>
        <v>100</v>
      </c>
      <c r="M2608" s="8">
        <f t="shared" si="2301"/>
        <v>3000</v>
      </c>
    </row>
    <row r="2609" spans="1:13" ht="15" customHeight="1" x14ac:dyDescent="0.25">
      <c r="A2609" s="24">
        <v>42913</v>
      </c>
      <c r="B2609" s="9" t="s">
        <v>18</v>
      </c>
      <c r="C2609" s="9">
        <v>1000</v>
      </c>
      <c r="D2609" s="9" t="s">
        <v>10</v>
      </c>
      <c r="E2609" s="19">
        <v>374.9</v>
      </c>
      <c r="F2609" s="19">
        <v>375.9</v>
      </c>
      <c r="G2609" s="9">
        <v>377</v>
      </c>
      <c r="H2609" s="15">
        <v>0</v>
      </c>
      <c r="I2609" s="8">
        <f t="shared" si="2302"/>
        <v>1000</v>
      </c>
      <c r="J2609" s="8">
        <f>(IF(D2609="SELL",IF(G2609="",0,F2609-G2609),IF(D2609="BUY",IF(G2609="",0,G2609-F2609))))*C2609</f>
        <v>1100.0000000000227</v>
      </c>
      <c r="K2609" s="2">
        <v>0</v>
      </c>
      <c r="L2609" s="8">
        <f t="shared" si="2300"/>
        <v>2.1000000000000227</v>
      </c>
      <c r="M2609" s="8">
        <f t="shared" si="2301"/>
        <v>2100.0000000000227</v>
      </c>
    </row>
    <row r="2610" spans="1:13" ht="15" customHeight="1" x14ac:dyDescent="0.25">
      <c r="A2610" s="24">
        <v>42913</v>
      </c>
      <c r="B2610" s="9" t="s">
        <v>19</v>
      </c>
      <c r="C2610" s="9">
        <v>100</v>
      </c>
      <c r="D2610" s="9" t="s">
        <v>10</v>
      </c>
      <c r="E2610" s="19">
        <v>28575</v>
      </c>
      <c r="F2610" s="19">
        <v>28610</v>
      </c>
      <c r="G2610" s="9">
        <v>0</v>
      </c>
      <c r="H2610" s="15">
        <v>0</v>
      </c>
      <c r="I2610" s="8">
        <f t="shared" si="2302"/>
        <v>3500</v>
      </c>
      <c r="J2610" s="8">
        <v>0</v>
      </c>
      <c r="K2610" s="8">
        <v>0</v>
      </c>
      <c r="L2610" s="8">
        <f t="shared" si="2300"/>
        <v>35</v>
      </c>
      <c r="M2610" s="8">
        <f t="shared" si="2301"/>
        <v>3500</v>
      </c>
    </row>
    <row r="2611" spans="1:13" ht="15" customHeight="1" x14ac:dyDescent="0.25">
      <c r="A2611" s="24">
        <v>42913</v>
      </c>
      <c r="B2611" s="9" t="s">
        <v>17</v>
      </c>
      <c r="C2611" s="9">
        <v>5000</v>
      </c>
      <c r="D2611" s="9" t="s">
        <v>10</v>
      </c>
      <c r="E2611" s="19">
        <v>175.5</v>
      </c>
      <c r="F2611" s="19">
        <v>176.05</v>
      </c>
      <c r="G2611" s="9">
        <v>176.6</v>
      </c>
      <c r="H2611" s="15">
        <v>177.2</v>
      </c>
      <c r="I2611" s="8">
        <f t="shared" si="2302"/>
        <v>2750.0000000000568</v>
      </c>
      <c r="J2611" s="8">
        <f>(IF(D2611="SELL",IF(G2611="",0,F2611-G2611),IF(D2611="BUY",IF(G2611="",0,G2611-F2611))))*C2611</f>
        <v>2749.9999999999145</v>
      </c>
      <c r="K2611" s="2">
        <f>(IF(D2611="SELL",IF(H2611="",0,G2611-H2611),IF(D2611="BUY",IF(H2611="",0,(H2611-G2611)))))*C2611</f>
        <v>2999.9999999999718</v>
      </c>
      <c r="L2611" s="8">
        <f t="shared" si="2300"/>
        <v>1.6999999999999884</v>
      </c>
      <c r="M2611" s="8">
        <f t="shared" si="2301"/>
        <v>8499.9999999999418</v>
      </c>
    </row>
    <row r="2612" spans="1:13" ht="15" customHeight="1" x14ac:dyDescent="0.25">
      <c r="A2612" s="24">
        <v>42913</v>
      </c>
      <c r="B2612" s="9" t="s">
        <v>16</v>
      </c>
      <c r="C2612" s="9">
        <v>250</v>
      </c>
      <c r="D2612" s="9" t="s">
        <v>10</v>
      </c>
      <c r="E2612" s="19">
        <v>2812</v>
      </c>
      <c r="F2612" s="19">
        <v>2843</v>
      </c>
      <c r="G2612" s="9">
        <v>2870</v>
      </c>
      <c r="H2612" s="15">
        <v>0</v>
      </c>
      <c r="I2612" s="8">
        <f t="shared" si="2302"/>
        <v>7750</v>
      </c>
      <c r="J2612" s="8">
        <f>(IF(D2612="SELL",IF(G2612="",0,F2612-G2612),IF(D2612="BUY",IF(G2612="",0,G2612-F2612))))*C2612</f>
        <v>6750</v>
      </c>
      <c r="K2612" s="8">
        <v>0</v>
      </c>
      <c r="L2612" s="8">
        <f t="shared" si="2300"/>
        <v>58</v>
      </c>
      <c r="M2612" s="8">
        <f t="shared" si="2301"/>
        <v>14500</v>
      </c>
    </row>
    <row r="2613" spans="1:13" ht="15" customHeight="1" x14ac:dyDescent="0.25">
      <c r="A2613" s="24">
        <v>42908</v>
      </c>
      <c r="B2613" s="9" t="s">
        <v>18</v>
      </c>
      <c r="C2613" s="9">
        <v>1000</v>
      </c>
      <c r="D2613" s="9" t="s">
        <v>10</v>
      </c>
      <c r="E2613" s="19">
        <v>367.1</v>
      </c>
      <c r="F2613" s="19">
        <v>367.1</v>
      </c>
      <c r="G2613" s="9">
        <v>0</v>
      </c>
      <c r="H2613" s="15">
        <v>0</v>
      </c>
      <c r="I2613" s="8">
        <f t="shared" si="2302"/>
        <v>0</v>
      </c>
      <c r="J2613" s="8">
        <v>0</v>
      </c>
      <c r="K2613" s="2">
        <v>0</v>
      </c>
      <c r="L2613" s="8">
        <f t="shared" si="2300"/>
        <v>0</v>
      </c>
      <c r="M2613" s="8">
        <f t="shared" si="2301"/>
        <v>0</v>
      </c>
    </row>
    <row r="2614" spans="1:13" ht="15" customHeight="1" x14ac:dyDescent="0.25">
      <c r="A2614" s="24">
        <v>42907</v>
      </c>
      <c r="B2614" s="9" t="s">
        <v>18</v>
      </c>
      <c r="C2614" s="9">
        <v>1000</v>
      </c>
      <c r="D2614" s="9" t="s">
        <v>10</v>
      </c>
      <c r="E2614" s="19">
        <v>368.4</v>
      </c>
      <c r="F2614" s="19">
        <v>369.4</v>
      </c>
      <c r="G2614" s="9">
        <v>0</v>
      </c>
      <c r="H2614" s="15">
        <v>0</v>
      </c>
      <c r="I2614" s="8">
        <f t="shared" si="2302"/>
        <v>1000</v>
      </c>
      <c r="J2614" s="8">
        <v>0</v>
      </c>
      <c r="K2614" s="2">
        <v>0</v>
      </c>
      <c r="L2614" s="8">
        <f t="shared" si="2300"/>
        <v>1</v>
      </c>
      <c r="M2614" s="8">
        <f t="shared" si="2301"/>
        <v>1000</v>
      </c>
    </row>
    <row r="2615" spans="1:13" ht="15" customHeight="1" x14ac:dyDescent="0.25">
      <c r="A2615" s="24">
        <v>42907</v>
      </c>
      <c r="B2615" s="9" t="s">
        <v>17</v>
      </c>
      <c r="C2615" s="9">
        <v>5000</v>
      </c>
      <c r="D2615" s="9" t="s">
        <v>10</v>
      </c>
      <c r="E2615" s="19">
        <v>167</v>
      </c>
      <c r="F2615" s="19">
        <v>167.5</v>
      </c>
      <c r="G2615" s="9">
        <v>168</v>
      </c>
      <c r="H2615" s="15">
        <v>168.7</v>
      </c>
      <c r="I2615" s="8">
        <f t="shared" si="2302"/>
        <v>2500</v>
      </c>
      <c r="J2615" s="8">
        <f>(IF(D2615="SELL",IF(G2615="",0,F2615-G2615),IF(D2615="BUY",IF(G2615="",0,G2615-F2615))))*C2615</f>
        <v>2500</v>
      </c>
      <c r="K2615" s="2">
        <v>0</v>
      </c>
      <c r="L2615" s="8">
        <f t="shared" si="2300"/>
        <v>1</v>
      </c>
      <c r="M2615" s="8">
        <f t="shared" si="2301"/>
        <v>5000</v>
      </c>
    </row>
    <row r="2616" spans="1:13" ht="15" customHeight="1" x14ac:dyDescent="0.25">
      <c r="A2616" s="24">
        <v>42907</v>
      </c>
      <c r="B2616" s="9" t="s">
        <v>19</v>
      </c>
      <c r="C2616" s="9">
        <v>100</v>
      </c>
      <c r="D2616" s="9" t="s">
        <v>10</v>
      </c>
      <c r="E2616" s="19">
        <v>28620</v>
      </c>
      <c r="F2616" s="19">
        <v>28560</v>
      </c>
      <c r="G2616" s="9">
        <v>0</v>
      </c>
      <c r="H2616" s="15">
        <v>0</v>
      </c>
      <c r="I2616" s="8">
        <f t="shared" si="2302"/>
        <v>-6000</v>
      </c>
      <c r="J2616" s="8">
        <v>0</v>
      </c>
      <c r="K2616" s="8">
        <v>0</v>
      </c>
      <c r="L2616" s="8">
        <f t="shared" si="2300"/>
        <v>-60</v>
      </c>
      <c r="M2616" s="8">
        <f t="shared" si="2301"/>
        <v>-6000</v>
      </c>
    </row>
    <row r="2617" spans="1:13" ht="15" customHeight="1" x14ac:dyDescent="0.25">
      <c r="A2617" s="24">
        <v>42906</v>
      </c>
      <c r="B2617" s="9" t="s">
        <v>16</v>
      </c>
      <c r="C2617" s="9">
        <v>250</v>
      </c>
      <c r="D2617" s="9" t="s">
        <v>10</v>
      </c>
      <c r="E2617" s="19">
        <v>2878</v>
      </c>
      <c r="F2617" s="19">
        <v>2850</v>
      </c>
      <c r="G2617" s="9">
        <v>0</v>
      </c>
      <c r="H2617" s="15">
        <v>0</v>
      </c>
      <c r="I2617" s="8">
        <f t="shared" si="2302"/>
        <v>-7000</v>
      </c>
      <c r="J2617" s="8">
        <v>0</v>
      </c>
      <c r="K2617" s="8">
        <v>0</v>
      </c>
      <c r="L2617" s="8">
        <f t="shared" si="2300"/>
        <v>-28</v>
      </c>
      <c r="M2617" s="8">
        <f t="shared" si="2301"/>
        <v>-7000</v>
      </c>
    </row>
    <row r="2618" spans="1:13" ht="15" customHeight="1" x14ac:dyDescent="0.25">
      <c r="A2618" s="24">
        <v>42906</v>
      </c>
      <c r="B2618" s="9" t="s">
        <v>21</v>
      </c>
      <c r="C2618" s="9">
        <v>250</v>
      </c>
      <c r="D2618" s="9" t="s">
        <v>11</v>
      </c>
      <c r="E2618" s="19">
        <v>580.5</v>
      </c>
      <c r="F2618" s="19">
        <v>580.5</v>
      </c>
      <c r="G2618" s="9">
        <v>0</v>
      </c>
      <c r="H2618" s="15">
        <v>0</v>
      </c>
      <c r="I2618" s="8">
        <f t="shared" si="2302"/>
        <v>0</v>
      </c>
      <c r="J2618" s="8">
        <v>0</v>
      </c>
      <c r="K2618" s="8">
        <v>0</v>
      </c>
      <c r="L2618" s="8">
        <f t="shared" si="2300"/>
        <v>0</v>
      </c>
      <c r="M2618" s="8">
        <f t="shared" si="2301"/>
        <v>0</v>
      </c>
    </row>
    <row r="2619" spans="1:13" ht="15" customHeight="1" x14ac:dyDescent="0.25">
      <c r="A2619" s="24">
        <v>42906</v>
      </c>
      <c r="B2619" s="9" t="s">
        <v>18</v>
      </c>
      <c r="C2619" s="9">
        <v>1000</v>
      </c>
      <c r="D2619" s="9" t="s">
        <v>11</v>
      </c>
      <c r="E2619" s="19">
        <v>367.5</v>
      </c>
      <c r="F2619" s="19">
        <v>367.5</v>
      </c>
      <c r="G2619" s="9">
        <v>0</v>
      </c>
      <c r="H2619" s="15">
        <v>0</v>
      </c>
      <c r="I2619" s="8">
        <f t="shared" si="2302"/>
        <v>0</v>
      </c>
      <c r="J2619" s="8">
        <v>0</v>
      </c>
      <c r="K2619" s="2">
        <v>0</v>
      </c>
      <c r="L2619" s="8">
        <f t="shared" si="2300"/>
        <v>0</v>
      </c>
      <c r="M2619" s="8">
        <f t="shared" si="2301"/>
        <v>0</v>
      </c>
    </row>
    <row r="2620" spans="1:13" ht="15" customHeight="1" x14ac:dyDescent="0.25">
      <c r="A2620" s="24">
        <v>42905</v>
      </c>
      <c r="B2620" s="9" t="s">
        <v>18</v>
      </c>
      <c r="C2620" s="9">
        <v>1000</v>
      </c>
      <c r="D2620" s="9" t="s">
        <v>10</v>
      </c>
      <c r="E2620" s="19">
        <v>366.2</v>
      </c>
      <c r="F2620" s="19">
        <v>367.7</v>
      </c>
      <c r="G2620" s="9">
        <v>369</v>
      </c>
      <c r="H2620" s="15">
        <v>0</v>
      </c>
      <c r="I2620" s="8">
        <f t="shared" si="2302"/>
        <v>1500</v>
      </c>
      <c r="J2620" s="8">
        <f>(IF(D2620="SELL",IF(G2620="",0,F2620-G2620),IF(D2620="BUY",IF(G2620="",0,G2620-F2620))))*C2620</f>
        <v>1300.0000000000114</v>
      </c>
      <c r="K2620" s="2">
        <v>0</v>
      </c>
      <c r="L2620" s="8">
        <f t="shared" si="2300"/>
        <v>2.8000000000000114</v>
      </c>
      <c r="M2620" s="8">
        <f t="shared" si="2301"/>
        <v>2800.0000000000114</v>
      </c>
    </row>
    <row r="2621" spans="1:13" ht="15" customHeight="1" x14ac:dyDescent="0.25">
      <c r="A2621" s="24">
        <v>42905</v>
      </c>
      <c r="B2621" s="9" t="s">
        <v>16</v>
      </c>
      <c r="C2621" s="9">
        <v>100</v>
      </c>
      <c r="D2621" s="9" t="s">
        <v>11</v>
      </c>
      <c r="E2621" s="19">
        <v>2878</v>
      </c>
      <c r="F2621" s="19">
        <v>2899</v>
      </c>
      <c r="G2621" s="9">
        <v>0</v>
      </c>
      <c r="H2621" s="15">
        <v>0</v>
      </c>
      <c r="I2621" s="8">
        <f t="shared" si="2302"/>
        <v>-2100</v>
      </c>
      <c r="J2621" s="8">
        <v>0</v>
      </c>
      <c r="K2621" s="2">
        <f>(IF(D2621="SELL",IF(H2621="",0,G2621-H2621),IF(D2621="BUY",IF(H2621="",0,(H2621-G2621)))))*C2621</f>
        <v>0</v>
      </c>
      <c r="L2621" s="8">
        <f t="shared" si="2300"/>
        <v>-21</v>
      </c>
      <c r="M2621" s="8">
        <f t="shared" si="2301"/>
        <v>-2100</v>
      </c>
    </row>
    <row r="2622" spans="1:13" ht="15" customHeight="1" x14ac:dyDescent="0.25">
      <c r="A2622" s="24">
        <v>42905</v>
      </c>
      <c r="B2622" s="9" t="s">
        <v>17</v>
      </c>
      <c r="C2622" s="9">
        <v>5000</v>
      </c>
      <c r="D2622" s="9" t="s">
        <v>10</v>
      </c>
      <c r="E2622" s="19">
        <v>163.19999999999999</v>
      </c>
      <c r="F2622" s="19">
        <v>163.69999999999999</v>
      </c>
      <c r="G2622" s="9">
        <v>164.1</v>
      </c>
      <c r="H2622" s="15">
        <v>0</v>
      </c>
      <c r="I2622" s="8">
        <f t="shared" si="2302"/>
        <v>2500</v>
      </c>
      <c r="J2622" s="8">
        <f>(IF(D2622="SELL",IF(G2622="",0,F2622-G2622),IF(D2622="BUY",IF(G2622="",0,G2622-F2622))))*C2622</f>
        <v>2000.0000000000284</v>
      </c>
      <c r="K2622" s="2">
        <v>0</v>
      </c>
      <c r="L2622" s="8">
        <f t="shared" si="2300"/>
        <v>0.90000000000000568</v>
      </c>
      <c r="M2622" s="8">
        <f t="shared" si="2301"/>
        <v>4500.0000000000282</v>
      </c>
    </row>
    <row r="2623" spans="1:13" ht="15" customHeight="1" x14ac:dyDescent="0.25">
      <c r="A2623" s="24">
        <v>42905</v>
      </c>
      <c r="B2623" s="9" t="s">
        <v>19</v>
      </c>
      <c r="C2623" s="9">
        <v>100</v>
      </c>
      <c r="D2623" s="9" t="s">
        <v>11</v>
      </c>
      <c r="E2623" s="19">
        <v>28638</v>
      </c>
      <c r="F2623" s="19">
        <v>28600</v>
      </c>
      <c r="G2623" s="9">
        <v>0</v>
      </c>
      <c r="H2623" s="15">
        <v>0</v>
      </c>
      <c r="I2623" s="8">
        <f t="shared" si="2302"/>
        <v>3800</v>
      </c>
      <c r="J2623" s="8">
        <v>0</v>
      </c>
      <c r="K2623" s="8">
        <v>0</v>
      </c>
      <c r="L2623" s="8">
        <f t="shared" si="2300"/>
        <v>38</v>
      </c>
      <c r="M2623" s="8">
        <f t="shared" si="2301"/>
        <v>3800</v>
      </c>
    </row>
    <row r="2624" spans="1:13" ht="15" customHeight="1" x14ac:dyDescent="0.25">
      <c r="A2624" s="24">
        <v>42902</v>
      </c>
      <c r="B2624" s="9" t="s">
        <v>20</v>
      </c>
      <c r="C2624" s="9">
        <v>5000</v>
      </c>
      <c r="D2624" s="9" t="s">
        <v>10</v>
      </c>
      <c r="E2624" s="19">
        <v>198</v>
      </c>
      <c r="F2624" s="19">
        <v>198.9</v>
      </c>
      <c r="G2624" s="9">
        <v>0</v>
      </c>
      <c r="H2624" s="15">
        <v>0</v>
      </c>
      <c r="I2624" s="8">
        <f t="shared" si="2302"/>
        <v>4500.0000000000282</v>
      </c>
      <c r="J2624" s="8">
        <v>0</v>
      </c>
      <c r="K2624" s="8">
        <v>0</v>
      </c>
      <c r="L2624" s="8">
        <f t="shared" si="2300"/>
        <v>0.90000000000000568</v>
      </c>
      <c r="M2624" s="8">
        <f t="shared" si="2301"/>
        <v>4500.0000000000282</v>
      </c>
    </row>
    <row r="2625" spans="1:13" ht="15" customHeight="1" x14ac:dyDescent="0.25">
      <c r="A2625" s="24">
        <v>42902</v>
      </c>
      <c r="B2625" s="9" t="s">
        <v>21</v>
      </c>
      <c r="C2625" s="9">
        <v>250</v>
      </c>
      <c r="D2625" s="9" t="s">
        <v>10</v>
      </c>
      <c r="E2625" s="19">
        <v>576.29999999999995</v>
      </c>
      <c r="F2625" s="19">
        <v>576.29999999999995</v>
      </c>
      <c r="G2625" s="9">
        <v>0</v>
      </c>
      <c r="H2625" s="15">
        <v>0</v>
      </c>
      <c r="I2625" s="8">
        <f t="shared" si="2302"/>
        <v>0</v>
      </c>
      <c r="J2625" s="8">
        <v>0</v>
      </c>
      <c r="K2625" s="8">
        <v>0</v>
      </c>
      <c r="L2625" s="8">
        <f t="shared" si="2300"/>
        <v>0</v>
      </c>
      <c r="M2625" s="8">
        <f t="shared" si="2301"/>
        <v>0</v>
      </c>
    </row>
    <row r="2626" spans="1:13" ht="15" customHeight="1" x14ac:dyDescent="0.25">
      <c r="A2626" s="24">
        <v>42902</v>
      </c>
      <c r="B2626" s="9" t="s">
        <v>17</v>
      </c>
      <c r="C2626" s="9">
        <v>5000</v>
      </c>
      <c r="D2626" s="9" t="s">
        <v>10</v>
      </c>
      <c r="E2626" s="19">
        <v>163.1</v>
      </c>
      <c r="F2626" s="19">
        <v>0</v>
      </c>
      <c r="G2626" s="9">
        <v>0</v>
      </c>
      <c r="H2626" s="15">
        <v>0</v>
      </c>
      <c r="I2626" s="8">
        <v>0</v>
      </c>
      <c r="J2626" s="8">
        <v>0</v>
      </c>
      <c r="K2626" s="2">
        <v>0</v>
      </c>
      <c r="L2626" s="8">
        <f t="shared" si="2300"/>
        <v>0</v>
      </c>
      <c r="M2626" s="8">
        <f t="shared" si="2301"/>
        <v>0</v>
      </c>
    </row>
    <row r="2627" spans="1:13" ht="15" customHeight="1" x14ac:dyDescent="0.25">
      <c r="A2627" s="24">
        <v>42901</v>
      </c>
      <c r="B2627" s="9" t="s">
        <v>20</v>
      </c>
      <c r="C2627" s="9">
        <v>5000</v>
      </c>
      <c r="D2627" s="9" t="s">
        <v>10</v>
      </c>
      <c r="E2627" s="19">
        <v>195.6</v>
      </c>
      <c r="F2627" s="19">
        <v>196.5</v>
      </c>
      <c r="G2627" s="9">
        <v>197.6</v>
      </c>
      <c r="H2627" s="15">
        <v>0</v>
      </c>
      <c r="I2627" s="8">
        <f t="shared" ref="I2627:I2658" si="2303">(IF(D2627="SELL",E2627-F2627,IF(D2627="BUY",F2627-E2627)))*C2627</f>
        <v>4500.0000000000282</v>
      </c>
      <c r="J2627" s="8">
        <f t="shared" ref="J2627:J2632" si="2304">(IF(D2627="SELL",IF(G2627="",0,F2627-G2627),IF(D2627="BUY",IF(G2627="",0,G2627-F2627))))*C2627</f>
        <v>5499.9999999999718</v>
      </c>
      <c r="K2627" s="8">
        <v>0</v>
      </c>
      <c r="L2627" s="8">
        <f t="shared" si="2300"/>
        <v>2</v>
      </c>
      <c r="M2627" s="8">
        <f t="shared" si="2301"/>
        <v>10000</v>
      </c>
    </row>
    <row r="2628" spans="1:13" ht="15" customHeight="1" x14ac:dyDescent="0.25">
      <c r="A2628" s="24">
        <v>42901</v>
      </c>
      <c r="B2628" s="9" t="s">
        <v>15</v>
      </c>
      <c r="C2628" s="9">
        <v>5000</v>
      </c>
      <c r="D2628" s="9" t="s">
        <v>10</v>
      </c>
      <c r="E2628" s="19">
        <v>134.55000000000001</v>
      </c>
      <c r="F2628" s="19">
        <v>135</v>
      </c>
      <c r="G2628" s="9">
        <v>135.6</v>
      </c>
      <c r="H2628" s="15">
        <v>0</v>
      </c>
      <c r="I2628" s="8">
        <f t="shared" si="2303"/>
        <v>2249.9999999999432</v>
      </c>
      <c r="J2628" s="8">
        <f t="shared" si="2304"/>
        <v>2999.9999999999718</v>
      </c>
      <c r="K2628" s="8">
        <v>0</v>
      </c>
      <c r="L2628" s="8">
        <f t="shared" si="2300"/>
        <v>1.0499999999999829</v>
      </c>
      <c r="M2628" s="8">
        <f t="shared" si="2301"/>
        <v>5249.9999999999145</v>
      </c>
    </row>
    <row r="2629" spans="1:13" ht="15" customHeight="1" x14ac:dyDescent="0.25">
      <c r="A2629" s="24">
        <v>42901</v>
      </c>
      <c r="B2629" s="9" t="s">
        <v>14</v>
      </c>
      <c r="C2629" s="9">
        <v>30</v>
      </c>
      <c r="D2629" s="9" t="s">
        <v>11</v>
      </c>
      <c r="E2629" s="19">
        <v>38990</v>
      </c>
      <c r="F2629" s="19">
        <v>38900</v>
      </c>
      <c r="G2629" s="9">
        <v>38780</v>
      </c>
      <c r="H2629" s="15">
        <v>0</v>
      </c>
      <c r="I2629" s="8">
        <f t="shared" si="2303"/>
        <v>2700</v>
      </c>
      <c r="J2629" s="8">
        <f t="shared" si="2304"/>
        <v>3600</v>
      </c>
      <c r="K2629" s="8">
        <v>0</v>
      </c>
      <c r="L2629" s="8">
        <f t="shared" si="2300"/>
        <v>210</v>
      </c>
      <c r="M2629" s="8">
        <f t="shared" si="2301"/>
        <v>6300</v>
      </c>
    </row>
    <row r="2630" spans="1:13" ht="15" customHeight="1" x14ac:dyDescent="0.25">
      <c r="A2630" s="24">
        <v>42901</v>
      </c>
      <c r="B2630" s="9" t="s">
        <v>16</v>
      </c>
      <c r="C2630" s="9">
        <v>100</v>
      </c>
      <c r="D2630" s="9" t="s">
        <v>10</v>
      </c>
      <c r="E2630" s="19">
        <v>2878</v>
      </c>
      <c r="F2630" s="19">
        <v>2955</v>
      </c>
      <c r="G2630" s="9">
        <v>0</v>
      </c>
      <c r="H2630" s="15">
        <v>0</v>
      </c>
      <c r="I2630" s="8">
        <f t="shared" si="2303"/>
        <v>7700</v>
      </c>
      <c r="J2630" s="8">
        <v>0</v>
      </c>
      <c r="K2630" s="2">
        <f>(IF(D2630="SELL",IF(H2630="",0,G2630-H2630),IF(D2630="BUY",IF(H2630="",0,(H2630-G2630)))))*C2630</f>
        <v>0</v>
      </c>
      <c r="L2630" s="8">
        <f t="shared" si="2300"/>
        <v>77</v>
      </c>
      <c r="M2630" s="8">
        <f t="shared" si="2301"/>
        <v>7700</v>
      </c>
    </row>
    <row r="2631" spans="1:13" ht="15" customHeight="1" x14ac:dyDescent="0.25">
      <c r="A2631" s="24">
        <v>42901</v>
      </c>
      <c r="B2631" s="9" t="s">
        <v>17</v>
      </c>
      <c r="C2631" s="9">
        <v>5000</v>
      </c>
      <c r="D2631" s="9" t="s">
        <v>10</v>
      </c>
      <c r="E2631" s="19">
        <v>160</v>
      </c>
      <c r="F2631" s="19">
        <v>160.5</v>
      </c>
      <c r="G2631" s="9">
        <v>161.1</v>
      </c>
      <c r="H2631" s="15">
        <v>0</v>
      </c>
      <c r="I2631" s="8">
        <f t="shared" si="2303"/>
        <v>2500</v>
      </c>
      <c r="J2631" s="8">
        <f t="shared" si="2304"/>
        <v>2999.9999999999718</v>
      </c>
      <c r="K2631" s="2">
        <v>0</v>
      </c>
      <c r="L2631" s="8">
        <f t="shared" ref="L2631:L2694" si="2305">(J2631+I2631+K2631)/C2631</f>
        <v>1.0999999999999943</v>
      </c>
      <c r="M2631" s="8">
        <f t="shared" ref="M2631:M2694" si="2306">L2631*C2631</f>
        <v>5499.9999999999718</v>
      </c>
    </row>
    <row r="2632" spans="1:13" ht="15" customHeight="1" x14ac:dyDescent="0.25">
      <c r="A2632" s="24">
        <v>42901</v>
      </c>
      <c r="B2632" s="9" t="s">
        <v>19</v>
      </c>
      <c r="C2632" s="9">
        <v>100</v>
      </c>
      <c r="D2632" s="9" t="s">
        <v>11</v>
      </c>
      <c r="E2632" s="19">
        <v>28890</v>
      </c>
      <c r="F2632" s="19">
        <v>28850</v>
      </c>
      <c r="G2632" s="9">
        <v>28805</v>
      </c>
      <c r="H2632" s="15">
        <v>0</v>
      </c>
      <c r="I2632" s="8">
        <f t="shared" si="2303"/>
        <v>4000</v>
      </c>
      <c r="J2632" s="8">
        <f t="shared" si="2304"/>
        <v>4500</v>
      </c>
      <c r="K2632" s="8">
        <v>0</v>
      </c>
      <c r="L2632" s="8">
        <f t="shared" si="2305"/>
        <v>85</v>
      </c>
      <c r="M2632" s="8">
        <f t="shared" si="2306"/>
        <v>8500</v>
      </c>
    </row>
    <row r="2633" spans="1:13" ht="15" customHeight="1" x14ac:dyDescent="0.25">
      <c r="A2633" s="24">
        <v>42900</v>
      </c>
      <c r="B2633" s="9" t="s">
        <v>18</v>
      </c>
      <c r="C2633" s="9">
        <v>1000</v>
      </c>
      <c r="D2633" s="9" t="s">
        <v>10</v>
      </c>
      <c r="E2633" s="19">
        <v>369.9</v>
      </c>
      <c r="F2633" s="19">
        <v>369.9</v>
      </c>
      <c r="G2633" s="9">
        <v>0</v>
      </c>
      <c r="H2633" s="15">
        <v>0</v>
      </c>
      <c r="I2633" s="8">
        <f t="shared" si="2303"/>
        <v>0</v>
      </c>
      <c r="J2633" s="8">
        <v>0</v>
      </c>
      <c r="K2633" s="2">
        <f>(IF(D2633="SELL",IF(H2633="",0,G2633-H2633),IF(D2633="BUY",IF(H2633="",0,(H2633-G2633)))))*C2633</f>
        <v>0</v>
      </c>
      <c r="L2633" s="8">
        <f t="shared" si="2305"/>
        <v>0</v>
      </c>
      <c r="M2633" s="8">
        <f t="shared" si="2306"/>
        <v>0</v>
      </c>
    </row>
    <row r="2634" spans="1:13" ht="15" customHeight="1" x14ac:dyDescent="0.25">
      <c r="A2634" s="24">
        <v>42900</v>
      </c>
      <c r="B2634" s="9" t="s">
        <v>21</v>
      </c>
      <c r="C2634" s="9">
        <v>250</v>
      </c>
      <c r="D2634" s="9" t="s">
        <v>10</v>
      </c>
      <c r="E2634" s="19">
        <v>570.5</v>
      </c>
      <c r="F2634" s="19">
        <v>570.5</v>
      </c>
      <c r="G2634" s="9">
        <v>0</v>
      </c>
      <c r="H2634" s="15">
        <v>0</v>
      </c>
      <c r="I2634" s="8">
        <f t="shared" si="2303"/>
        <v>0</v>
      </c>
      <c r="J2634" s="8">
        <v>0</v>
      </c>
      <c r="K2634" s="8">
        <v>0</v>
      </c>
      <c r="L2634" s="8">
        <f t="shared" si="2305"/>
        <v>0</v>
      </c>
      <c r="M2634" s="8">
        <f t="shared" si="2306"/>
        <v>0</v>
      </c>
    </row>
    <row r="2635" spans="1:13" ht="15" customHeight="1" x14ac:dyDescent="0.25">
      <c r="A2635" s="24">
        <v>42900</v>
      </c>
      <c r="B2635" s="9" t="s">
        <v>17</v>
      </c>
      <c r="C2635" s="9">
        <v>5000</v>
      </c>
      <c r="D2635" s="9" t="s">
        <v>10</v>
      </c>
      <c r="E2635" s="19">
        <v>159.5</v>
      </c>
      <c r="F2635" s="19">
        <v>160</v>
      </c>
      <c r="G2635" s="9">
        <v>0</v>
      </c>
      <c r="H2635" s="15">
        <v>0</v>
      </c>
      <c r="I2635" s="8">
        <f t="shared" si="2303"/>
        <v>2500</v>
      </c>
      <c r="J2635" s="8">
        <v>0</v>
      </c>
      <c r="K2635" s="2">
        <f>(IF(D2635="SELL",IF(H2635="",0,G2635-H2635),IF(D2635="BUY",IF(H2635="",0,(H2635-G2635)))))*C2635</f>
        <v>0</v>
      </c>
      <c r="L2635" s="8">
        <f t="shared" si="2305"/>
        <v>0.5</v>
      </c>
      <c r="M2635" s="8">
        <f t="shared" si="2306"/>
        <v>2500</v>
      </c>
    </row>
    <row r="2636" spans="1:13" ht="15" customHeight="1" x14ac:dyDescent="0.25">
      <c r="A2636" s="24">
        <v>42899</v>
      </c>
      <c r="B2636" s="9" t="s">
        <v>19</v>
      </c>
      <c r="C2636" s="9">
        <v>100</v>
      </c>
      <c r="D2636" s="9" t="s">
        <v>11</v>
      </c>
      <c r="E2636" s="19">
        <v>28870</v>
      </c>
      <c r="F2636" s="19">
        <v>28870</v>
      </c>
      <c r="G2636" s="9">
        <v>0</v>
      </c>
      <c r="H2636" s="15">
        <v>0</v>
      </c>
      <c r="I2636" s="8">
        <f t="shared" si="2303"/>
        <v>0</v>
      </c>
      <c r="J2636" s="8">
        <v>0</v>
      </c>
      <c r="K2636" s="8">
        <v>0</v>
      </c>
      <c r="L2636" s="8">
        <f t="shared" si="2305"/>
        <v>0</v>
      </c>
      <c r="M2636" s="8">
        <f t="shared" si="2306"/>
        <v>0</v>
      </c>
    </row>
    <row r="2637" spans="1:13" ht="15" customHeight="1" x14ac:dyDescent="0.25">
      <c r="A2637" s="24">
        <v>42899</v>
      </c>
      <c r="B2637" s="9" t="s">
        <v>17</v>
      </c>
      <c r="C2637" s="9">
        <v>5000</v>
      </c>
      <c r="D2637" s="9" t="s">
        <v>11</v>
      </c>
      <c r="E2637" s="19">
        <v>157.9</v>
      </c>
      <c r="F2637" s="19">
        <v>157.5</v>
      </c>
      <c r="G2637" s="9">
        <v>0</v>
      </c>
      <c r="H2637" s="15">
        <v>0</v>
      </c>
      <c r="I2637" s="8">
        <f t="shared" si="2303"/>
        <v>2000.0000000000284</v>
      </c>
      <c r="J2637" s="8">
        <v>0</v>
      </c>
      <c r="K2637" s="2">
        <f>(IF(D2637="SELL",IF(H2637="",0,G2637-H2637),IF(D2637="BUY",IF(H2637="",0,(H2637-G2637)))))*C2637</f>
        <v>0</v>
      </c>
      <c r="L2637" s="8">
        <f t="shared" si="2305"/>
        <v>0.40000000000000568</v>
      </c>
      <c r="M2637" s="8">
        <f t="shared" si="2306"/>
        <v>2000.0000000000284</v>
      </c>
    </row>
    <row r="2638" spans="1:13" ht="15" customHeight="1" x14ac:dyDescent="0.25">
      <c r="A2638" s="24">
        <v>42895</v>
      </c>
      <c r="B2638" s="9" t="s">
        <v>16</v>
      </c>
      <c r="C2638" s="9">
        <v>100</v>
      </c>
      <c r="D2638" s="9" t="s">
        <v>10</v>
      </c>
      <c r="E2638" s="19">
        <v>2955</v>
      </c>
      <c r="F2638" s="19">
        <v>2955</v>
      </c>
      <c r="G2638" s="9">
        <v>0</v>
      </c>
      <c r="H2638" s="15">
        <v>0</v>
      </c>
      <c r="I2638" s="8">
        <f t="shared" si="2303"/>
        <v>0</v>
      </c>
      <c r="J2638" s="8">
        <v>0</v>
      </c>
      <c r="K2638" s="2">
        <f>(IF(D2638="SELL",IF(H2638="",0,G2638-H2638),IF(D2638="BUY",IF(H2638="",0,(H2638-G2638)))))*C2638</f>
        <v>0</v>
      </c>
      <c r="L2638" s="8">
        <f t="shared" si="2305"/>
        <v>0</v>
      </c>
      <c r="M2638" s="8">
        <f t="shared" si="2306"/>
        <v>0</v>
      </c>
    </row>
    <row r="2639" spans="1:13" ht="15" customHeight="1" x14ac:dyDescent="0.25">
      <c r="A2639" s="24">
        <v>42895</v>
      </c>
      <c r="B2639" s="9" t="s">
        <v>17</v>
      </c>
      <c r="C2639" s="9">
        <v>5000</v>
      </c>
      <c r="D2639" s="9" t="s">
        <v>10</v>
      </c>
      <c r="E2639" s="19">
        <v>160</v>
      </c>
      <c r="F2639" s="19">
        <v>160</v>
      </c>
      <c r="G2639" s="9">
        <v>0</v>
      </c>
      <c r="H2639" s="15">
        <v>0</v>
      </c>
      <c r="I2639" s="8">
        <f t="shared" si="2303"/>
        <v>0</v>
      </c>
      <c r="J2639" s="8">
        <v>0</v>
      </c>
      <c r="K2639" s="2">
        <f>(IF(D2639="SELL",IF(H2639="",0,G2639-H2639),IF(D2639="BUY",IF(H2639="",0,(H2639-G2639)))))*C2639</f>
        <v>0</v>
      </c>
      <c r="L2639" s="8">
        <f t="shared" si="2305"/>
        <v>0</v>
      </c>
      <c r="M2639" s="8">
        <f t="shared" si="2306"/>
        <v>0</v>
      </c>
    </row>
    <row r="2640" spans="1:13" ht="15" customHeight="1" x14ac:dyDescent="0.25">
      <c r="A2640" s="24">
        <v>42895</v>
      </c>
      <c r="B2640" s="9" t="s">
        <v>18</v>
      </c>
      <c r="C2640" s="9">
        <v>1000</v>
      </c>
      <c r="D2640" s="9" t="s">
        <v>10</v>
      </c>
      <c r="E2640" s="19">
        <v>369.9</v>
      </c>
      <c r="F2640" s="19">
        <v>371</v>
      </c>
      <c r="G2640" s="9">
        <v>372</v>
      </c>
      <c r="H2640" s="15">
        <v>374</v>
      </c>
      <c r="I2640" s="8">
        <f t="shared" si="2303"/>
        <v>1100.0000000000227</v>
      </c>
      <c r="J2640" s="8">
        <f>(IF(D2640="SELL",IF(G2640="",0,F2640-G2640),IF(D2640="BUY",IF(G2640="",0,G2640-F2640))))*C2640</f>
        <v>1000</v>
      </c>
      <c r="K2640" s="2">
        <f>(IF(D2640="SELL",IF(H2640="",0,G2640-H2640),IF(D2640="BUY",IF(H2640="",0,(H2640-G2640)))))*C2640</f>
        <v>2000</v>
      </c>
      <c r="L2640" s="8">
        <f t="shared" si="2305"/>
        <v>4.1000000000000227</v>
      </c>
      <c r="M2640" s="8">
        <f t="shared" si="2306"/>
        <v>4100.0000000000227</v>
      </c>
    </row>
    <row r="2641" spans="1:13" ht="15" customHeight="1" x14ac:dyDescent="0.25">
      <c r="A2641" s="24">
        <v>42895</v>
      </c>
      <c r="B2641" s="9" t="s">
        <v>21</v>
      </c>
      <c r="C2641" s="9">
        <v>250</v>
      </c>
      <c r="D2641" s="9" t="s">
        <v>10</v>
      </c>
      <c r="E2641" s="19">
        <v>567.5</v>
      </c>
      <c r="F2641" s="19">
        <v>567.5</v>
      </c>
      <c r="G2641" s="9">
        <v>0</v>
      </c>
      <c r="H2641" s="15">
        <v>0</v>
      </c>
      <c r="I2641" s="8">
        <f t="shared" si="2303"/>
        <v>0</v>
      </c>
      <c r="J2641" s="8">
        <v>0</v>
      </c>
      <c r="K2641" s="8">
        <v>0</v>
      </c>
      <c r="L2641" s="8">
        <f t="shared" si="2305"/>
        <v>0</v>
      </c>
      <c r="M2641" s="8">
        <f t="shared" si="2306"/>
        <v>0</v>
      </c>
    </row>
    <row r="2642" spans="1:13" ht="15" customHeight="1" x14ac:dyDescent="0.25">
      <c r="A2642" s="24">
        <v>42894</v>
      </c>
      <c r="B2642" s="9" t="s">
        <v>17</v>
      </c>
      <c r="C2642" s="9">
        <v>5000</v>
      </c>
      <c r="D2642" s="9" t="s">
        <v>10</v>
      </c>
      <c r="E2642" s="19">
        <v>158.69999999999999</v>
      </c>
      <c r="F2642" s="19">
        <v>157.5</v>
      </c>
      <c r="G2642" s="9">
        <v>0</v>
      </c>
      <c r="H2642" s="15">
        <v>0</v>
      </c>
      <c r="I2642" s="8">
        <f t="shared" si="2303"/>
        <v>-5999.9999999999436</v>
      </c>
      <c r="J2642" s="8">
        <v>0</v>
      </c>
      <c r="K2642" s="2">
        <f>(IF(D2642="SELL",IF(H2642="",0,G2642-H2642),IF(D2642="BUY",IF(H2642="",0,(H2642-G2642)))))*C2642</f>
        <v>0</v>
      </c>
      <c r="L2642" s="8">
        <f t="shared" si="2305"/>
        <v>-1.1999999999999886</v>
      </c>
      <c r="M2642" s="8">
        <f t="shared" si="2306"/>
        <v>-5999.9999999999436</v>
      </c>
    </row>
    <row r="2643" spans="1:13" ht="15" customHeight="1" x14ac:dyDescent="0.25">
      <c r="A2643" s="24">
        <v>42893</v>
      </c>
      <c r="B2643" s="9" t="s">
        <v>19</v>
      </c>
      <c r="C2643" s="9">
        <v>100</v>
      </c>
      <c r="D2643" s="9" t="s">
        <v>11</v>
      </c>
      <c r="E2643" s="19">
        <v>29500</v>
      </c>
      <c r="F2643" s="19">
        <v>29450</v>
      </c>
      <c r="G2643" s="9">
        <v>29390</v>
      </c>
      <c r="H2643" s="15">
        <v>0</v>
      </c>
      <c r="I2643" s="8">
        <f t="shared" si="2303"/>
        <v>5000</v>
      </c>
      <c r="J2643" s="8">
        <f>(IF(D2643="SELL",IF(G2643="",0,F2643-G2643),IF(D2643="BUY",IF(G2643="",0,G2643-F2643))))*C2643</f>
        <v>6000</v>
      </c>
      <c r="K2643" s="8">
        <v>0</v>
      </c>
      <c r="L2643" s="8">
        <f t="shared" si="2305"/>
        <v>110</v>
      </c>
      <c r="M2643" s="8">
        <f t="shared" si="2306"/>
        <v>11000</v>
      </c>
    </row>
    <row r="2644" spans="1:13" ht="15" customHeight="1" x14ac:dyDescent="0.25">
      <c r="A2644" s="24">
        <v>42892</v>
      </c>
      <c r="B2644" s="9" t="s">
        <v>17</v>
      </c>
      <c r="C2644" s="9">
        <v>5000</v>
      </c>
      <c r="D2644" s="9" t="s">
        <v>11</v>
      </c>
      <c r="E2644" s="19">
        <v>161.5</v>
      </c>
      <c r="F2644" s="19">
        <v>161.5</v>
      </c>
      <c r="G2644" s="9">
        <v>0</v>
      </c>
      <c r="H2644" s="15">
        <v>0</v>
      </c>
      <c r="I2644" s="8">
        <f t="shared" si="2303"/>
        <v>0</v>
      </c>
      <c r="J2644" s="8">
        <v>0</v>
      </c>
      <c r="K2644" s="2">
        <f>(IF(D2644="SELL",IF(H2644="",0,G2644-H2644),IF(D2644="BUY",IF(H2644="",0,(H2644-G2644)))))*C2644</f>
        <v>0</v>
      </c>
      <c r="L2644" s="8">
        <f t="shared" si="2305"/>
        <v>0</v>
      </c>
      <c r="M2644" s="8">
        <f t="shared" si="2306"/>
        <v>0</v>
      </c>
    </row>
    <row r="2645" spans="1:13" ht="15" customHeight="1" x14ac:dyDescent="0.25">
      <c r="A2645" s="24">
        <v>42892</v>
      </c>
      <c r="B2645" s="9" t="s">
        <v>16</v>
      </c>
      <c r="C2645" s="9">
        <v>100</v>
      </c>
      <c r="D2645" s="9" t="s">
        <v>11</v>
      </c>
      <c r="E2645" s="19">
        <v>3040</v>
      </c>
      <c r="F2645" s="19">
        <v>3070</v>
      </c>
      <c r="G2645" s="9">
        <v>0</v>
      </c>
      <c r="H2645" s="15">
        <v>0</v>
      </c>
      <c r="I2645" s="8">
        <f t="shared" si="2303"/>
        <v>-3000</v>
      </c>
      <c r="J2645" s="8">
        <v>0</v>
      </c>
      <c r="K2645" s="2">
        <f>(IF(D2645="SELL",IF(H2645="",0,G2645-H2645),IF(D2645="BUY",IF(H2645="",0,(H2645-G2645)))))*C2645</f>
        <v>0</v>
      </c>
      <c r="L2645" s="8">
        <f t="shared" si="2305"/>
        <v>-30</v>
      </c>
      <c r="M2645" s="8">
        <f t="shared" si="2306"/>
        <v>-3000</v>
      </c>
    </row>
    <row r="2646" spans="1:13" ht="15" customHeight="1" x14ac:dyDescent="0.25">
      <c r="A2646" s="24">
        <v>42892</v>
      </c>
      <c r="B2646" s="9" t="s">
        <v>21</v>
      </c>
      <c r="C2646" s="9">
        <v>250</v>
      </c>
      <c r="D2646" s="9" t="s">
        <v>10</v>
      </c>
      <c r="E2646" s="19">
        <v>573.70000000000005</v>
      </c>
      <c r="F2646" s="19">
        <v>575.5</v>
      </c>
      <c r="G2646" s="9">
        <v>0</v>
      </c>
      <c r="H2646" s="15">
        <v>0</v>
      </c>
      <c r="I2646" s="8">
        <f t="shared" si="2303"/>
        <v>449.99999999998863</v>
      </c>
      <c r="J2646" s="8">
        <v>0</v>
      </c>
      <c r="K2646" s="8">
        <v>0</v>
      </c>
      <c r="L2646" s="8">
        <f t="shared" si="2305"/>
        <v>1.7999999999999545</v>
      </c>
      <c r="M2646" s="8">
        <f t="shared" si="2306"/>
        <v>449.99999999998863</v>
      </c>
    </row>
    <row r="2647" spans="1:13" ht="15" customHeight="1" x14ac:dyDescent="0.25">
      <c r="A2647" s="24">
        <v>42892</v>
      </c>
      <c r="B2647" s="9" t="s">
        <v>19</v>
      </c>
      <c r="C2647" s="9">
        <v>100</v>
      </c>
      <c r="D2647" s="9" t="s">
        <v>10</v>
      </c>
      <c r="E2647" s="19">
        <v>29300</v>
      </c>
      <c r="F2647" s="19">
        <v>29340</v>
      </c>
      <c r="G2647" s="9">
        <v>29380</v>
      </c>
      <c r="H2647" s="15">
        <v>0</v>
      </c>
      <c r="I2647" s="8">
        <f t="shared" si="2303"/>
        <v>4000</v>
      </c>
      <c r="J2647" s="8">
        <f>(IF(D2647="SELL",IF(G2647="",0,F2647-G2647),IF(D2647="BUY",IF(G2647="",0,G2647-F2647))))*C2647</f>
        <v>4000</v>
      </c>
      <c r="K2647" s="8">
        <v>0</v>
      </c>
      <c r="L2647" s="8">
        <f t="shared" si="2305"/>
        <v>80</v>
      </c>
      <c r="M2647" s="8">
        <f t="shared" si="2306"/>
        <v>8000</v>
      </c>
    </row>
    <row r="2648" spans="1:13" ht="15" customHeight="1" x14ac:dyDescent="0.25">
      <c r="A2648" s="24">
        <v>42891</v>
      </c>
      <c r="B2648" s="9" t="s">
        <v>21</v>
      </c>
      <c r="C2648" s="9">
        <v>250</v>
      </c>
      <c r="D2648" s="9" t="s">
        <v>10</v>
      </c>
      <c r="E2648" s="19">
        <v>575.5</v>
      </c>
      <c r="F2648" s="19">
        <v>575.5</v>
      </c>
      <c r="G2648" s="9">
        <v>0</v>
      </c>
      <c r="H2648" s="15">
        <v>0</v>
      </c>
      <c r="I2648" s="8">
        <f t="shared" si="2303"/>
        <v>0</v>
      </c>
      <c r="J2648" s="8">
        <v>0</v>
      </c>
      <c r="K2648" s="8">
        <v>0</v>
      </c>
      <c r="L2648" s="8">
        <f t="shared" si="2305"/>
        <v>0</v>
      </c>
      <c r="M2648" s="8">
        <f t="shared" si="2306"/>
        <v>0</v>
      </c>
    </row>
    <row r="2649" spans="1:13" ht="15" customHeight="1" x14ac:dyDescent="0.25">
      <c r="A2649" s="24">
        <v>42891</v>
      </c>
      <c r="B2649" s="9" t="s">
        <v>18</v>
      </c>
      <c r="C2649" s="9">
        <v>1000</v>
      </c>
      <c r="D2649" s="9" t="s">
        <v>11</v>
      </c>
      <c r="E2649" s="19">
        <v>365</v>
      </c>
      <c r="F2649" s="19">
        <v>364</v>
      </c>
      <c r="G2649" s="9">
        <v>362.5</v>
      </c>
      <c r="H2649" s="15">
        <v>0</v>
      </c>
      <c r="I2649" s="8">
        <f t="shared" si="2303"/>
        <v>1000</v>
      </c>
      <c r="J2649" s="8">
        <f>(IF(D2649="SELL",IF(G2649="",0,F2649-G2649),IF(D2649="BUY",IF(G2649="",0,G2649-F2649))))*C2649</f>
        <v>1500</v>
      </c>
      <c r="K2649" s="8">
        <v>0</v>
      </c>
      <c r="L2649" s="8">
        <f t="shared" si="2305"/>
        <v>2.5</v>
      </c>
      <c r="M2649" s="8">
        <f t="shared" si="2306"/>
        <v>2500</v>
      </c>
    </row>
    <row r="2650" spans="1:13" ht="15" customHeight="1" x14ac:dyDescent="0.25">
      <c r="A2650" s="24">
        <v>42860</v>
      </c>
      <c r="B2650" s="9" t="s">
        <v>19</v>
      </c>
      <c r="C2650" s="9">
        <v>100</v>
      </c>
      <c r="D2650" s="9" t="s">
        <v>10</v>
      </c>
      <c r="E2650" s="19">
        <v>29210</v>
      </c>
      <c r="F2650" s="19">
        <v>29210</v>
      </c>
      <c r="G2650" s="9">
        <v>0</v>
      </c>
      <c r="H2650" s="15">
        <v>0</v>
      </c>
      <c r="I2650" s="8">
        <f t="shared" si="2303"/>
        <v>0</v>
      </c>
      <c r="J2650" s="8">
        <v>0</v>
      </c>
      <c r="K2650" s="8">
        <v>0</v>
      </c>
      <c r="L2650" s="8">
        <f t="shared" si="2305"/>
        <v>0</v>
      </c>
      <c r="M2650" s="8">
        <f t="shared" si="2306"/>
        <v>0</v>
      </c>
    </row>
    <row r="2651" spans="1:13" ht="15" customHeight="1" x14ac:dyDescent="0.25">
      <c r="A2651" s="24">
        <v>42859</v>
      </c>
      <c r="B2651" s="9" t="s">
        <v>20</v>
      </c>
      <c r="C2651" s="9">
        <v>1250</v>
      </c>
      <c r="D2651" s="9" t="s">
        <v>10</v>
      </c>
      <c r="E2651" s="19">
        <v>196</v>
      </c>
      <c r="F2651" s="19">
        <v>196</v>
      </c>
      <c r="G2651" s="9">
        <v>0</v>
      </c>
      <c r="H2651" s="15">
        <v>0</v>
      </c>
      <c r="I2651" s="8">
        <f t="shared" si="2303"/>
        <v>0</v>
      </c>
      <c r="J2651" s="8">
        <v>0</v>
      </c>
      <c r="K2651" s="8">
        <v>0</v>
      </c>
      <c r="L2651" s="8">
        <f t="shared" si="2305"/>
        <v>0</v>
      </c>
      <c r="M2651" s="8">
        <f t="shared" si="2306"/>
        <v>0</v>
      </c>
    </row>
    <row r="2652" spans="1:13" ht="15" customHeight="1" x14ac:dyDescent="0.25">
      <c r="A2652" s="24">
        <v>42890</v>
      </c>
      <c r="B2652" s="9" t="s">
        <v>16</v>
      </c>
      <c r="C2652" s="9">
        <v>100</v>
      </c>
      <c r="D2652" s="9" t="s">
        <v>10</v>
      </c>
      <c r="E2652" s="19">
        <v>3113</v>
      </c>
      <c r="F2652" s="19">
        <v>3080</v>
      </c>
      <c r="G2652" s="9">
        <v>0</v>
      </c>
      <c r="H2652" s="15">
        <v>0</v>
      </c>
      <c r="I2652" s="8">
        <f t="shared" si="2303"/>
        <v>-3300</v>
      </c>
      <c r="J2652" s="8">
        <v>0</v>
      </c>
      <c r="K2652" s="2">
        <f>(IF(D2652="SELL",IF(H2652="",0,G2652-H2652),IF(D2652="BUY",IF(H2652="",0,(H2652-G2652)))))*C2652</f>
        <v>0</v>
      </c>
      <c r="L2652" s="8">
        <f t="shared" si="2305"/>
        <v>-33</v>
      </c>
      <c r="M2652" s="8">
        <f t="shared" si="2306"/>
        <v>-3300</v>
      </c>
    </row>
    <row r="2653" spans="1:13" ht="15" customHeight="1" x14ac:dyDescent="0.25">
      <c r="A2653" s="24">
        <v>42888</v>
      </c>
      <c r="B2653" s="9" t="s">
        <v>15</v>
      </c>
      <c r="C2653" s="9">
        <v>5000</v>
      </c>
      <c r="D2653" s="9" t="s">
        <v>11</v>
      </c>
      <c r="E2653" s="19">
        <v>134</v>
      </c>
      <c r="F2653" s="19">
        <v>133.9</v>
      </c>
      <c r="G2653" s="9">
        <v>0</v>
      </c>
      <c r="H2653" s="15">
        <v>0</v>
      </c>
      <c r="I2653" s="8">
        <f t="shared" si="2303"/>
        <v>499.99999999997158</v>
      </c>
      <c r="J2653" s="8">
        <v>0</v>
      </c>
      <c r="K2653" s="8">
        <v>0</v>
      </c>
      <c r="L2653" s="8">
        <f t="shared" si="2305"/>
        <v>9.9999999999994316E-2</v>
      </c>
      <c r="M2653" s="8">
        <f t="shared" si="2306"/>
        <v>499.99999999997158</v>
      </c>
    </row>
    <row r="2654" spans="1:13" ht="15" customHeight="1" x14ac:dyDescent="0.25">
      <c r="A2654" s="24">
        <v>42888</v>
      </c>
      <c r="B2654" s="9" t="s">
        <v>17</v>
      </c>
      <c r="C2654" s="9">
        <v>5000</v>
      </c>
      <c r="D2654" s="9" t="s">
        <v>11</v>
      </c>
      <c r="E2654" s="19">
        <v>163</v>
      </c>
      <c r="F2654" s="19">
        <v>162.5</v>
      </c>
      <c r="G2654" s="9">
        <v>0</v>
      </c>
      <c r="H2654" s="15">
        <v>0</v>
      </c>
      <c r="I2654" s="8">
        <f t="shared" si="2303"/>
        <v>2500</v>
      </c>
      <c r="J2654" s="8">
        <v>0</v>
      </c>
      <c r="K2654" s="2">
        <f>(IF(D2654="SELL",IF(H2654="",0,G2654-H2654),IF(D2654="BUY",IF(H2654="",0,(H2654-G2654)))))*C2654</f>
        <v>0</v>
      </c>
      <c r="L2654" s="8">
        <f t="shared" si="2305"/>
        <v>0.5</v>
      </c>
      <c r="M2654" s="8">
        <f t="shared" si="2306"/>
        <v>2500</v>
      </c>
    </row>
    <row r="2655" spans="1:13" ht="15" customHeight="1" x14ac:dyDescent="0.25">
      <c r="A2655" s="24">
        <v>42888</v>
      </c>
      <c r="B2655" s="9" t="s">
        <v>18</v>
      </c>
      <c r="C2655" s="9">
        <v>1000</v>
      </c>
      <c r="D2655" s="9" t="s">
        <v>11</v>
      </c>
      <c r="E2655" s="19">
        <v>364.5</v>
      </c>
      <c r="F2655" s="19">
        <v>363.5</v>
      </c>
      <c r="G2655" s="9">
        <v>0</v>
      </c>
      <c r="H2655" s="15">
        <v>0</v>
      </c>
      <c r="I2655" s="8">
        <f t="shared" si="2303"/>
        <v>1000</v>
      </c>
      <c r="J2655" s="8">
        <v>0</v>
      </c>
      <c r="K2655" s="8">
        <v>0</v>
      </c>
      <c r="L2655" s="8">
        <f t="shared" si="2305"/>
        <v>1</v>
      </c>
      <c r="M2655" s="8">
        <f t="shared" si="2306"/>
        <v>1000</v>
      </c>
    </row>
    <row r="2656" spans="1:13" ht="15" customHeight="1" x14ac:dyDescent="0.25">
      <c r="A2656" s="24">
        <v>42888</v>
      </c>
      <c r="B2656" s="9" t="s">
        <v>26</v>
      </c>
      <c r="C2656" s="9">
        <v>360</v>
      </c>
      <c r="D2656" s="9" t="s">
        <v>10</v>
      </c>
      <c r="E2656" s="19">
        <v>936</v>
      </c>
      <c r="F2656" s="19">
        <v>928</v>
      </c>
      <c r="G2656" s="9">
        <v>0</v>
      </c>
      <c r="H2656" s="15">
        <v>0</v>
      </c>
      <c r="I2656" s="8">
        <f t="shared" si="2303"/>
        <v>-2880</v>
      </c>
      <c r="J2656" s="8">
        <v>0</v>
      </c>
      <c r="K2656" s="2">
        <f>(IF(D2656="SELL",IF(H2656="",0,G2656-H2656),IF(D2656="BUY",IF(H2656="",0,(H2656-G2656)))))*C2656</f>
        <v>0</v>
      </c>
      <c r="L2656" s="8">
        <f t="shared" si="2305"/>
        <v>-8</v>
      </c>
      <c r="M2656" s="8">
        <f t="shared" si="2306"/>
        <v>-2880</v>
      </c>
    </row>
    <row r="2657" spans="1:13" ht="15" customHeight="1" x14ac:dyDescent="0.25">
      <c r="A2657" s="24">
        <v>42888</v>
      </c>
      <c r="B2657" s="9" t="s">
        <v>16</v>
      </c>
      <c r="C2657" s="9">
        <v>100</v>
      </c>
      <c r="D2657" s="9" t="s">
        <v>11</v>
      </c>
      <c r="E2657" s="19">
        <v>3100</v>
      </c>
      <c r="F2657" s="19">
        <v>3080</v>
      </c>
      <c r="G2657" s="9">
        <v>3060</v>
      </c>
      <c r="H2657" s="15">
        <v>3021</v>
      </c>
      <c r="I2657" s="8">
        <f t="shared" si="2303"/>
        <v>2000</v>
      </c>
      <c r="J2657" s="8">
        <f>(IF(D2657="SELL",IF(G2657="",0,F2657-G2657),IF(D2657="BUY",IF(G2657="",0,G2657-F2657))))*C2657</f>
        <v>2000</v>
      </c>
      <c r="K2657" s="2">
        <f>(IF(D2657="SELL",IF(H2657="",0,G2657-H2657),IF(D2657="BUY",IF(H2657="",0,(H2657-G2657)))))*C2657</f>
        <v>3900</v>
      </c>
      <c r="L2657" s="8">
        <f t="shared" si="2305"/>
        <v>79</v>
      </c>
      <c r="M2657" s="8">
        <f t="shared" si="2306"/>
        <v>7900</v>
      </c>
    </row>
    <row r="2658" spans="1:13" ht="15" customHeight="1" x14ac:dyDescent="0.25">
      <c r="A2658" s="24">
        <v>42888</v>
      </c>
      <c r="B2658" s="9" t="s">
        <v>21</v>
      </c>
      <c r="C2658" s="9">
        <v>250</v>
      </c>
      <c r="D2658" s="9" t="s">
        <v>11</v>
      </c>
      <c r="E2658" s="19">
        <v>569</v>
      </c>
      <c r="F2658" s="19">
        <v>565</v>
      </c>
      <c r="G2658" s="9">
        <v>0</v>
      </c>
      <c r="H2658" s="15">
        <v>0</v>
      </c>
      <c r="I2658" s="8">
        <f t="shared" si="2303"/>
        <v>1000</v>
      </c>
      <c r="J2658" s="8">
        <v>0</v>
      </c>
      <c r="K2658" s="8">
        <v>0</v>
      </c>
      <c r="L2658" s="8">
        <f t="shared" si="2305"/>
        <v>4</v>
      </c>
      <c r="M2658" s="8">
        <f t="shared" si="2306"/>
        <v>1000</v>
      </c>
    </row>
    <row r="2659" spans="1:13" ht="15" customHeight="1" x14ac:dyDescent="0.25">
      <c r="A2659" s="24">
        <v>42887</v>
      </c>
      <c r="B2659" s="9" t="s">
        <v>21</v>
      </c>
      <c r="C2659" s="9">
        <v>250</v>
      </c>
      <c r="D2659" s="9" t="s">
        <v>10</v>
      </c>
      <c r="E2659" s="19">
        <v>573</v>
      </c>
      <c r="F2659" s="19">
        <v>573</v>
      </c>
      <c r="G2659" s="9">
        <v>0</v>
      </c>
      <c r="H2659" s="15">
        <v>0</v>
      </c>
      <c r="I2659" s="8">
        <f t="shared" ref="I2659:I2694" si="2307">(IF(D2659="SELL",E2659-F2659,IF(D2659="BUY",F2659-E2659)))*C2659</f>
        <v>0</v>
      </c>
      <c r="J2659" s="8">
        <v>0</v>
      </c>
      <c r="K2659" s="8">
        <v>0</v>
      </c>
      <c r="L2659" s="8">
        <f t="shared" si="2305"/>
        <v>0</v>
      </c>
      <c r="M2659" s="8">
        <f t="shared" si="2306"/>
        <v>0</v>
      </c>
    </row>
    <row r="2660" spans="1:13" ht="15" customHeight="1" x14ac:dyDescent="0.25">
      <c r="A2660" s="24">
        <v>42887</v>
      </c>
      <c r="B2660" s="9" t="s">
        <v>19</v>
      </c>
      <c r="C2660" s="9">
        <v>250</v>
      </c>
      <c r="D2660" s="9" t="s">
        <v>10</v>
      </c>
      <c r="E2660" s="19">
        <v>28960</v>
      </c>
      <c r="F2660" s="19">
        <v>28960</v>
      </c>
      <c r="G2660" s="9">
        <v>0</v>
      </c>
      <c r="H2660" s="15">
        <v>0</v>
      </c>
      <c r="I2660" s="8">
        <f t="shared" si="2307"/>
        <v>0</v>
      </c>
      <c r="J2660" s="8">
        <v>0</v>
      </c>
      <c r="K2660" s="8">
        <v>0</v>
      </c>
      <c r="L2660" s="8">
        <f t="shared" si="2305"/>
        <v>0</v>
      </c>
      <c r="M2660" s="8">
        <f t="shared" si="2306"/>
        <v>0</v>
      </c>
    </row>
    <row r="2661" spans="1:13" ht="15" customHeight="1" x14ac:dyDescent="0.25">
      <c r="A2661" s="24">
        <v>42887</v>
      </c>
      <c r="B2661" s="9" t="s">
        <v>18</v>
      </c>
      <c r="C2661" s="9">
        <v>1000</v>
      </c>
      <c r="D2661" s="9" t="s">
        <v>11</v>
      </c>
      <c r="E2661" s="19">
        <v>367.2</v>
      </c>
      <c r="F2661" s="19">
        <v>367.2</v>
      </c>
      <c r="G2661" s="9">
        <v>0</v>
      </c>
      <c r="H2661" s="15">
        <v>0</v>
      </c>
      <c r="I2661" s="8">
        <f t="shared" si="2307"/>
        <v>0</v>
      </c>
      <c r="J2661" s="8">
        <v>0</v>
      </c>
      <c r="K2661" s="8">
        <v>0</v>
      </c>
      <c r="L2661" s="8">
        <f t="shared" si="2305"/>
        <v>0</v>
      </c>
      <c r="M2661" s="8">
        <f t="shared" si="2306"/>
        <v>0</v>
      </c>
    </row>
    <row r="2662" spans="1:13" ht="15" customHeight="1" x14ac:dyDescent="0.25">
      <c r="A2662" s="24">
        <v>42887</v>
      </c>
      <c r="B2662" s="9" t="s">
        <v>17</v>
      </c>
      <c r="C2662" s="9">
        <v>5000</v>
      </c>
      <c r="D2662" s="9" t="s">
        <v>11</v>
      </c>
      <c r="E2662" s="19">
        <v>167.3</v>
      </c>
      <c r="F2662" s="19">
        <v>166.8</v>
      </c>
      <c r="G2662" s="9">
        <v>166.1</v>
      </c>
      <c r="H2662" s="15">
        <v>165.4</v>
      </c>
      <c r="I2662" s="8">
        <f t="shared" si="2307"/>
        <v>2500</v>
      </c>
      <c r="J2662" s="8">
        <f>(IF(D2662="SELL",IF(G2662="",0,F2662-G2662),IF(D2662="BUY",IF(G2662="",0,G2662-F2662))))*C2662</f>
        <v>3500.0000000000855</v>
      </c>
      <c r="K2662" s="2">
        <f>(IF(D2662="SELL",IF(H2662="",0,G2662-H2662),IF(D2662="BUY",IF(H2662="",0,(H2662-G2662)))))*C2662</f>
        <v>3499.9999999999432</v>
      </c>
      <c r="L2662" s="8">
        <f t="shared" si="2305"/>
        <v>1.9000000000000059</v>
      </c>
      <c r="M2662" s="8">
        <f t="shared" si="2306"/>
        <v>9500.0000000000291</v>
      </c>
    </row>
    <row r="2663" spans="1:13" ht="15" customHeight="1" x14ac:dyDescent="0.25">
      <c r="A2663" s="24">
        <v>42887</v>
      </c>
      <c r="B2663" s="9" t="s">
        <v>16</v>
      </c>
      <c r="C2663" s="9">
        <v>100</v>
      </c>
      <c r="D2663" s="9" t="s">
        <v>11</v>
      </c>
      <c r="E2663" s="19">
        <v>3155</v>
      </c>
      <c r="F2663" s="19">
        <v>3130</v>
      </c>
      <c r="G2663" s="9">
        <v>0</v>
      </c>
      <c r="H2663" s="15">
        <v>0</v>
      </c>
      <c r="I2663" s="8">
        <f t="shared" si="2307"/>
        <v>2500</v>
      </c>
      <c r="J2663" s="8">
        <v>0</v>
      </c>
      <c r="K2663" s="2">
        <v>0</v>
      </c>
      <c r="L2663" s="8">
        <f t="shared" si="2305"/>
        <v>25</v>
      </c>
      <c r="M2663" s="8">
        <f t="shared" si="2306"/>
        <v>2500</v>
      </c>
    </row>
    <row r="2664" spans="1:13" ht="15" customHeight="1" x14ac:dyDescent="0.25">
      <c r="A2664" s="24">
        <v>42886</v>
      </c>
      <c r="B2664" s="9" t="s">
        <v>18</v>
      </c>
      <c r="C2664" s="9">
        <v>1000</v>
      </c>
      <c r="D2664" s="9" t="s">
        <v>11</v>
      </c>
      <c r="E2664" s="19">
        <v>368.5</v>
      </c>
      <c r="F2664" s="19">
        <v>367</v>
      </c>
      <c r="G2664" s="9">
        <v>0</v>
      </c>
      <c r="H2664" s="15">
        <v>0</v>
      </c>
      <c r="I2664" s="8">
        <f t="shared" si="2307"/>
        <v>1500</v>
      </c>
      <c r="J2664" s="8">
        <v>0</v>
      </c>
      <c r="K2664" s="8">
        <v>0</v>
      </c>
      <c r="L2664" s="8">
        <f t="shared" si="2305"/>
        <v>1.5</v>
      </c>
      <c r="M2664" s="8">
        <f t="shared" si="2306"/>
        <v>1500</v>
      </c>
    </row>
    <row r="2665" spans="1:13" ht="15" customHeight="1" x14ac:dyDescent="0.25">
      <c r="A2665" s="24">
        <v>42885</v>
      </c>
      <c r="B2665" s="9" t="s">
        <v>16</v>
      </c>
      <c r="C2665" s="9">
        <v>100</v>
      </c>
      <c r="D2665" s="9" t="s">
        <v>10</v>
      </c>
      <c r="E2665" s="19">
        <v>3210</v>
      </c>
      <c r="F2665" s="19">
        <v>3210</v>
      </c>
      <c r="G2665" s="9">
        <v>0</v>
      </c>
      <c r="H2665" s="15">
        <v>0</v>
      </c>
      <c r="I2665" s="8">
        <f t="shared" si="2307"/>
        <v>0</v>
      </c>
      <c r="J2665" s="8">
        <v>0</v>
      </c>
      <c r="K2665" s="2">
        <v>0</v>
      </c>
      <c r="L2665" s="8">
        <f t="shared" si="2305"/>
        <v>0</v>
      </c>
      <c r="M2665" s="8">
        <f t="shared" si="2306"/>
        <v>0</v>
      </c>
    </row>
    <row r="2666" spans="1:13" ht="15" customHeight="1" x14ac:dyDescent="0.25">
      <c r="A2666" s="24">
        <v>42885</v>
      </c>
      <c r="B2666" s="9" t="s">
        <v>26</v>
      </c>
      <c r="C2666" s="9">
        <v>360</v>
      </c>
      <c r="D2666" s="9" t="s">
        <v>10</v>
      </c>
      <c r="E2666" s="19">
        <v>1000</v>
      </c>
      <c r="F2666" s="19">
        <v>1000</v>
      </c>
      <c r="G2666" s="9">
        <v>0</v>
      </c>
      <c r="H2666" s="15">
        <v>0</v>
      </c>
      <c r="I2666" s="8">
        <f t="shared" si="2307"/>
        <v>0</v>
      </c>
      <c r="J2666" s="8">
        <v>0</v>
      </c>
      <c r="K2666" s="2">
        <f>(IF(D2666="SELL",IF(H2666="",0,G2666-H2666),IF(D2666="BUY",IF(H2666="",0,(H2666-G2666)))))*C2666</f>
        <v>0</v>
      </c>
      <c r="L2666" s="8">
        <f t="shared" si="2305"/>
        <v>0</v>
      </c>
      <c r="M2666" s="8">
        <f t="shared" si="2306"/>
        <v>0</v>
      </c>
    </row>
    <row r="2667" spans="1:13" ht="15" customHeight="1" x14ac:dyDescent="0.25">
      <c r="A2667" s="24">
        <v>42885</v>
      </c>
      <c r="B2667" s="9" t="s">
        <v>17</v>
      </c>
      <c r="C2667" s="9">
        <v>5000</v>
      </c>
      <c r="D2667" s="9" t="s">
        <v>10</v>
      </c>
      <c r="E2667" s="19">
        <v>170</v>
      </c>
      <c r="F2667" s="19">
        <v>170.5</v>
      </c>
      <c r="G2667" s="9">
        <v>0</v>
      </c>
      <c r="H2667" s="15">
        <v>0</v>
      </c>
      <c r="I2667" s="8">
        <f t="shared" si="2307"/>
        <v>2500</v>
      </c>
      <c r="J2667" s="8">
        <v>0</v>
      </c>
      <c r="K2667" s="2">
        <f>(IF(D2667="SELL",IF(H2667="",0,G2667-H2667),IF(D2667="BUY",IF(H2667="",0,(H2667-G2667)))))*C2667</f>
        <v>0</v>
      </c>
      <c r="L2667" s="8">
        <f t="shared" si="2305"/>
        <v>0.5</v>
      </c>
      <c r="M2667" s="8">
        <f t="shared" si="2306"/>
        <v>2500</v>
      </c>
    </row>
    <row r="2668" spans="1:13" ht="15" customHeight="1" x14ac:dyDescent="0.25">
      <c r="A2668" s="24">
        <v>42881</v>
      </c>
      <c r="B2668" s="9" t="s">
        <v>16</v>
      </c>
      <c r="C2668" s="9">
        <v>100</v>
      </c>
      <c r="D2668" s="9" t="s">
        <v>10</v>
      </c>
      <c r="E2668" s="19">
        <v>3178</v>
      </c>
      <c r="F2668" s="19">
        <v>3178</v>
      </c>
      <c r="G2668" s="9">
        <v>0</v>
      </c>
      <c r="H2668" s="15">
        <v>0</v>
      </c>
      <c r="I2668" s="8">
        <f t="shared" si="2307"/>
        <v>0</v>
      </c>
      <c r="J2668" s="8">
        <v>0</v>
      </c>
      <c r="K2668" s="2">
        <v>0</v>
      </c>
      <c r="L2668" s="8">
        <f t="shared" si="2305"/>
        <v>0</v>
      </c>
      <c r="M2668" s="8">
        <f t="shared" si="2306"/>
        <v>0</v>
      </c>
    </row>
    <row r="2669" spans="1:13" ht="15" customHeight="1" x14ac:dyDescent="0.25">
      <c r="A2669" s="24">
        <v>42881</v>
      </c>
      <c r="B2669" s="9" t="s">
        <v>19</v>
      </c>
      <c r="C2669" s="9">
        <v>100</v>
      </c>
      <c r="D2669" s="9" t="s">
        <v>10</v>
      </c>
      <c r="E2669" s="19">
        <v>28800</v>
      </c>
      <c r="F2669" s="19">
        <v>28840</v>
      </c>
      <c r="G2669" s="9">
        <v>0</v>
      </c>
      <c r="H2669" s="15">
        <v>0</v>
      </c>
      <c r="I2669" s="8">
        <f t="shared" si="2307"/>
        <v>4000</v>
      </c>
      <c r="J2669" s="8">
        <v>0</v>
      </c>
      <c r="K2669" s="8">
        <v>0</v>
      </c>
      <c r="L2669" s="8">
        <f t="shared" si="2305"/>
        <v>40</v>
      </c>
      <c r="M2669" s="8">
        <f t="shared" si="2306"/>
        <v>4000</v>
      </c>
    </row>
    <row r="2670" spans="1:13" ht="15" customHeight="1" x14ac:dyDescent="0.25">
      <c r="A2670" s="24">
        <v>42881</v>
      </c>
      <c r="B2670" s="9" t="s">
        <v>18</v>
      </c>
      <c r="C2670" s="9">
        <v>1000</v>
      </c>
      <c r="D2670" s="9" t="s">
        <v>10</v>
      </c>
      <c r="E2670" s="19">
        <v>372.15</v>
      </c>
      <c r="F2670" s="19">
        <v>370</v>
      </c>
      <c r="G2670" s="9">
        <v>0</v>
      </c>
      <c r="H2670" s="15">
        <v>0</v>
      </c>
      <c r="I2670" s="8">
        <f t="shared" si="2307"/>
        <v>-2149.9999999999773</v>
      </c>
      <c r="J2670" s="8">
        <v>0</v>
      </c>
      <c r="K2670" s="8">
        <v>0</v>
      </c>
      <c r="L2670" s="8">
        <f t="shared" si="2305"/>
        <v>-2.1499999999999773</v>
      </c>
      <c r="M2670" s="8">
        <f t="shared" si="2306"/>
        <v>-2149.9999999999773</v>
      </c>
    </row>
    <row r="2671" spans="1:13" ht="15" customHeight="1" x14ac:dyDescent="0.25">
      <c r="A2671" s="24">
        <v>42881</v>
      </c>
      <c r="B2671" s="9" t="s">
        <v>17</v>
      </c>
      <c r="C2671" s="9">
        <v>5000</v>
      </c>
      <c r="D2671" s="9" t="s">
        <v>10</v>
      </c>
      <c r="E2671" s="19">
        <v>170.3</v>
      </c>
      <c r="F2671" s="19">
        <v>170.3</v>
      </c>
      <c r="G2671" s="9">
        <v>0</v>
      </c>
      <c r="H2671" s="15">
        <v>0</v>
      </c>
      <c r="I2671" s="8">
        <f t="shared" si="2307"/>
        <v>0</v>
      </c>
      <c r="J2671" s="8">
        <v>0</v>
      </c>
      <c r="K2671" s="8">
        <v>0</v>
      </c>
      <c r="L2671" s="8">
        <f t="shared" si="2305"/>
        <v>0</v>
      </c>
      <c r="M2671" s="8">
        <f t="shared" si="2306"/>
        <v>0</v>
      </c>
    </row>
    <row r="2672" spans="1:13" ht="15" customHeight="1" x14ac:dyDescent="0.25">
      <c r="A2672" s="24">
        <v>42880</v>
      </c>
      <c r="B2672" s="9" t="s">
        <v>19</v>
      </c>
      <c r="C2672" s="9">
        <v>100</v>
      </c>
      <c r="D2672" s="9" t="s">
        <v>10</v>
      </c>
      <c r="E2672" s="19">
        <v>28725</v>
      </c>
      <c r="F2672" s="19">
        <v>28725</v>
      </c>
      <c r="G2672" s="9">
        <v>0</v>
      </c>
      <c r="H2672" s="15">
        <v>0</v>
      </c>
      <c r="I2672" s="8">
        <f t="shared" si="2307"/>
        <v>0</v>
      </c>
      <c r="J2672" s="8">
        <v>0</v>
      </c>
      <c r="K2672" s="8">
        <v>0</v>
      </c>
      <c r="L2672" s="8">
        <f t="shared" si="2305"/>
        <v>0</v>
      </c>
      <c r="M2672" s="8">
        <f t="shared" si="2306"/>
        <v>0</v>
      </c>
    </row>
    <row r="2673" spans="1:13" ht="15" customHeight="1" x14ac:dyDescent="0.25">
      <c r="A2673" s="24">
        <v>42880</v>
      </c>
      <c r="B2673" s="9" t="s">
        <v>22</v>
      </c>
      <c r="C2673" s="9">
        <v>500</v>
      </c>
      <c r="D2673" s="9" t="s">
        <v>11</v>
      </c>
      <c r="E2673" s="19">
        <v>126.2</v>
      </c>
      <c r="F2673" s="19">
        <v>126.2</v>
      </c>
      <c r="G2673" s="9">
        <v>0</v>
      </c>
      <c r="H2673" s="15">
        <v>0</v>
      </c>
      <c r="I2673" s="8">
        <f t="shared" si="2307"/>
        <v>0</v>
      </c>
      <c r="J2673" s="8">
        <v>0</v>
      </c>
      <c r="K2673" s="2">
        <v>0</v>
      </c>
      <c r="L2673" s="8">
        <f t="shared" si="2305"/>
        <v>0</v>
      </c>
      <c r="M2673" s="8">
        <f t="shared" si="2306"/>
        <v>0</v>
      </c>
    </row>
    <row r="2674" spans="1:13" ht="15" customHeight="1" x14ac:dyDescent="0.25">
      <c r="A2674" s="24">
        <v>42880</v>
      </c>
      <c r="B2674" s="9" t="s">
        <v>16</v>
      </c>
      <c r="C2674" s="9">
        <v>100</v>
      </c>
      <c r="D2674" s="9" t="s">
        <v>10</v>
      </c>
      <c r="E2674" s="19">
        <v>3350</v>
      </c>
      <c r="F2674" s="19">
        <v>3310</v>
      </c>
      <c r="G2674" s="9">
        <v>0</v>
      </c>
      <c r="H2674" s="15">
        <v>0</v>
      </c>
      <c r="I2674" s="8">
        <f t="shared" si="2307"/>
        <v>-4000</v>
      </c>
      <c r="J2674" s="8">
        <v>0</v>
      </c>
      <c r="K2674" s="2">
        <v>0</v>
      </c>
      <c r="L2674" s="8">
        <f t="shared" si="2305"/>
        <v>-40</v>
      </c>
      <c r="M2674" s="8">
        <f t="shared" si="2306"/>
        <v>-4000</v>
      </c>
    </row>
    <row r="2675" spans="1:13" ht="15" customHeight="1" x14ac:dyDescent="0.25">
      <c r="A2675" s="24">
        <v>42879</v>
      </c>
      <c r="B2675" s="9" t="s">
        <v>16</v>
      </c>
      <c r="C2675" s="9">
        <v>100</v>
      </c>
      <c r="D2675" s="9" t="s">
        <v>10</v>
      </c>
      <c r="E2675" s="19">
        <v>3355</v>
      </c>
      <c r="F2675" s="19">
        <v>3380</v>
      </c>
      <c r="G2675" s="9">
        <v>3410</v>
      </c>
      <c r="H2675" s="15">
        <v>0</v>
      </c>
      <c r="I2675" s="8">
        <f t="shared" si="2307"/>
        <v>2500</v>
      </c>
      <c r="J2675" s="8">
        <f>(IF(D2675="SELL",IF(G2675="",0,F2675-G2675),IF(D2675="BUY",IF(G2675="",0,G2675-F2675))))*C2675</f>
        <v>3000</v>
      </c>
      <c r="K2675" s="2">
        <v>0</v>
      </c>
      <c r="L2675" s="8">
        <f t="shared" si="2305"/>
        <v>55</v>
      </c>
      <c r="M2675" s="8">
        <f t="shared" si="2306"/>
        <v>5500</v>
      </c>
    </row>
    <row r="2676" spans="1:13" ht="15" customHeight="1" x14ac:dyDescent="0.25">
      <c r="A2676" s="24">
        <v>42878</v>
      </c>
      <c r="B2676" s="9" t="s">
        <v>16</v>
      </c>
      <c r="C2676" s="9">
        <v>100</v>
      </c>
      <c r="D2676" s="9" t="s">
        <v>11</v>
      </c>
      <c r="E2676" s="19">
        <v>3310</v>
      </c>
      <c r="F2676" s="19">
        <v>3290</v>
      </c>
      <c r="G2676" s="9">
        <v>0</v>
      </c>
      <c r="H2676" s="15">
        <v>0</v>
      </c>
      <c r="I2676" s="8">
        <f t="shared" si="2307"/>
        <v>2000</v>
      </c>
      <c r="J2676" s="8">
        <v>0</v>
      </c>
      <c r="K2676" s="2">
        <v>0</v>
      </c>
      <c r="L2676" s="8">
        <f t="shared" si="2305"/>
        <v>20</v>
      </c>
      <c r="M2676" s="8">
        <f t="shared" si="2306"/>
        <v>2000</v>
      </c>
    </row>
    <row r="2677" spans="1:13" ht="15" customHeight="1" x14ac:dyDescent="0.25">
      <c r="A2677" s="24">
        <v>42878</v>
      </c>
      <c r="B2677" s="9" t="s">
        <v>18</v>
      </c>
      <c r="C2677" s="9">
        <v>1000</v>
      </c>
      <c r="D2677" s="9" t="s">
        <v>11</v>
      </c>
      <c r="E2677" s="19">
        <v>370</v>
      </c>
      <c r="F2677" s="19">
        <v>375</v>
      </c>
      <c r="G2677" s="9">
        <v>0</v>
      </c>
      <c r="H2677" s="15">
        <v>0</v>
      </c>
      <c r="I2677" s="8">
        <f t="shared" si="2307"/>
        <v>-5000</v>
      </c>
      <c r="J2677" s="8">
        <v>0</v>
      </c>
      <c r="K2677" s="8">
        <v>0</v>
      </c>
      <c r="L2677" s="8">
        <f t="shared" si="2305"/>
        <v>-5</v>
      </c>
      <c r="M2677" s="8">
        <f t="shared" si="2306"/>
        <v>-5000</v>
      </c>
    </row>
    <row r="2678" spans="1:13" ht="15" customHeight="1" x14ac:dyDescent="0.25">
      <c r="A2678" s="24">
        <v>42878</v>
      </c>
      <c r="B2678" s="9" t="s">
        <v>17</v>
      </c>
      <c r="C2678" s="9">
        <v>5000</v>
      </c>
      <c r="D2678" s="9" t="s">
        <v>10</v>
      </c>
      <c r="E2678" s="19">
        <v>171.3</v>
      </c>
      <c r="F2678" s="19">
        <v>170.7</v>
      </c>
      <c r="G2678" s="9">
        <v>0</v>
      </c>
      <c r="H2678" s="15">
        <v>0</v>
      </c>
      <c r="I2678" s="8">
        <f t="shared" si="2307"/>
        <v>-3000.0000000001137</v>
      </c>
      <c r="J2678" s="8">
        <v>0</v>
      </c>
      <c r="K2678" s="8">
        <v>0</v>
      </c>
      <c r="L2678" s="8">
        <f t="shared" si="2305"/>
        <v>-0.60000000000002274</v>
      </c>
      <c r="M2678" s="8">
        <f t="shared" si="2306"/>
        <v>-3000.0000000001137</v>
      </c>
    </row>
    <row r="2679" spans="1:13" ht="15" customHeight="1" x14ac:dyDescent="0.25">
      <c r="A2679" s="24">
        <v>42878</v>
      </c>
      <c r="B2679" s="9" t="s">
        <v>19</v>
      </c>
      <c r="C2679" s="9">
        <v>100</v>
      </c>
      <c r="D2679" s="9" t="s">
        <v>10</v>
      </c>
      <c r="E2679" s="19">
        <v>28870</v>
      </c>
      <c r="F2679" s="19">
        <v>28910</v>
      </c>
      <c r="G2679" s="9">
        <v>0</v>
      </c>
      <c r="H2679" s="15">
        <v>0</v>
      </c>
      <c r="I2679" s="8">
        <f t="shared" si="2307"/>
        <v>4000</v>
      </c>
      <c r="J2679" s="8">
        <v>0</v>
      </c>
      <c r="K2679" s="8">
        <v>0</v>
      </c>
      <c r="L2679" s="8">
        <f t="shared" si="2305"/>
        <v>40</v>
      </c>
      <c r="M2679" s="8">
        <f t="shared" si="2306"/>
        <v>4000</v>
      </c>
    </row>
    <row r="2680" spans="1:13" ht="15" customHeight="1" x14ac:dyDescent="0.25">
      <c r="A2680" s="24">
        <v>42877</v>
      </c>
      <c r="B2680" s="9" t="s">
        <v>14</v>
      </c>
      <c r="C2680" s="9">
        <v>30</v>
      </c>
      <c r="D2680" s="9" t="s">
        <v>10</v>
      </c>
      <c r="E2680" s="19">
        <v>39100</v>
      </c>
      <c r="F2680" s="19">
        <v>39250</v>
      </c>
      <c r="G2680" s="9">
        <v>0</v>
      </c>
      <c r="H2680" s="15">
        <v>0</v>
      </c>
      <c r="I2680" s="8">
        <f t="shared" si="2307"/>
        <v>4500</v>
      </c>
      <c r="J2680" s="8">
        <v>0</v>
      </c>
      <c r="K2680" s="8">
        <v>0</v>
      </c>
      <c r="L2680" s="8">
        <f t="shared" si="2305"/>
        <v>150</v>
      </c>
      <c r="M2680" s="8">
        <f t="shared" si="2306"/>
        <v>4500</v>
      </c>
    </row>
    <row r="2681" spans="1:13" ht="15" customHeight="1" x14ac:dyDescent="0.25">
      <c r="A2681" s="24">
        <v>42877</v>
      </c>
      <c r="B2681" s="9" t="s">
        <v>16</v>
      </c>
      <c r="C2681" s="9">
        <v>100</v>
      </c>
      <c r="D2681" s="9" t="s">
        <v>10</v>
      </c>
      <c r="E2681" s="19">
        <v>3310</v>
      </c>
      <c r="F2681" s="19">
        <v>3310</v>
      </c>
      <c r="G2681" s="9">
        <v>0</v>
      </c>
      <c r="H2681" s="15">
        <v>0</v>
      </c>
      <c r="I2681" s="8">
        <f t="shared" si="2307"/>
        <v>0</v>
      </c>
      <c r="J2681" s="8">
        <v>0</v>
      </c>
      <c r="K2681" s="2">
        <v>0</v>
      </c>
      <c r="L2681" s="8">
        <f t="shared" si="2305"/>
        <v>0</v>
      </c>
      <c r="M2681" s="8">
        <f t="shared" si="2306"/>
        <v>0</v>
      </c>
    </row>
    <row r="2682" spans="1:13" ht="15" customHeight="1" x14ac:dyDescent="0.25">
      <c r="A2682" s="24">
        <v>42877</v>
      </c>
      <c r="B2682" s="9" t="s">
        <v>17</v>
      </c>
      <c r="C2682" s="9">
        <v>5000</v>
      </c>
      <c r="D2682" s="9" t="s">
        <v>10</v>
      </c>
      <c r="E2682" s="19">
        <v>169.4</v>
      </c>
      <c r="F2682" s="19">
        <v>169.4</v>
      </c>
      <c r="G2682" s="9">
        <v>0</v>
      </c>
      <c r="H2682" s="15">
        <v>0</v>
      </c>
      <c r="I2682" s="8">
        <f t="shared" si="2307"/>
        <v>0</v>
      </c>
      <c r="J2682" s="8">
        <v>0</v>
      </c>
      <c r="K2682" s="2">
        <v>0</v>
      </c>
      <c r="L2682" s="8">
        <f t="shared" si="2305"/>
        <v>0</v>
      </c>
      <c r="M2682" s="8">
        <f t="shared" si="2306"/>
        <v>0</v>
      </c>
    </row>
    <row r="2683" spans="1:13" ht="15" customHeight="1" x14ac:dyDescent="0.25">
      <c r="A2683" s="24">
        <v>42874</v>
      </c>
      <c r="B2683" s="9" t="s">
        <v>16</v>
      </c>
      <c r="C2683" s="9">
        <v>100</v>
      </c>
      <c r="D2683" s="9" t="s">
        <v>10</v>
      </c>
      <c r="E2683" s="19">
        <v>3250</v>
      </c>
      <c r="F2683" s="19">
        <v>3275</v>
      </c>
      <c r="G2683" s="9">
        <v>3300</v>
      </c>
      <c r="H2683" s="15">
        <v>0</v>
      </c>
      <c r="I2683" s="8">
        <f t="shared" si="2307"/>
        <v>2500</v>
      </c>
      <c r="J2683" s="8">
        <f>(IF(D2683="SELL",IF(G2683="",0,F2683-G2683),IF(D2683="BUY",IF(G2683="",0,G2683-F2683))))*C2683</f>
        <v>2500</v>
      </c>
      <c r="K2683" s="2">
        <v>0</v>
      </c>
      <c r="L2683" s="8">
        <f t="shared" si="2305"/>
        <v>50</v>
      </c>
      <c r="M2683" s="8">
        <f t="shared" si="2306"/>
        <v>5000</v>
      </c>
    </row>
    <row r="2684" spans="1:13" ht="15" customHeight="1" x14ac:dyDescent="0.25">
      <c r="A2684" s="24">
        <v>42874</v>
      </c>
      <c r="B2684" s="9" t="s">
        <v>17</v>
      </c>
      <c r="C2684" s="9">
        <v>5000</v>
      </c>
      <c r="D2684" s="9" t="s">
        <v>10</v>
      </c>
      <c r="E2684" s="19">
        <v>164.1</v>
      </c>
      <c r="F2684" s="19">
        <v>164.6</v>
      </c>
      <c r="G2684" s="9">
        <v>165.4</v>
      </c>
      <c r="H2684" s="15">
        <v>166.9</v>
      </c>
      <c r="I2684" s="8">
        <f t="shared" si="2307"/>
        <v>2500</v>
      </c>
      <c r="J2684" s="8">
        <f>(IF(D2684="SELL",IF(G2684="",0,F2684-G2684),IF(D2684="BUY",IF(G2684="",0,G2684-F2684))))*C2684</f>
        <v>4000.0000000000568</v>
      </c>
      <c r="K2684" s="2">
        <f>(IF(D2684="SELL",IF(H2684="",0,G2684-H2684),IF(D2684="BUY",IF(H2684="",0,(H2684-G2684)))))*C2684</f>
        <v>7500</v>
      </c>
      <c r="L2684" s="8">
        <f t="shared" si="2305"/>
        <v>2.8000000000000114</v>
      </c>
      <c r="M2684" s="8">
        <f t="shared" si="2306"/>
        <v>14000.000000000056</v>
      </c>
    </row>
    <row r="2685" spans="1:13" ht="15" customHeight="1" x14ac:dyDescent="0.25">
      <c r="A2685" s="24">
        <v>42874</v>
      </c>
      <c r="B2685" s="9" t="s">
        <v>18</v>
      </c>
      <c r="C2685" s="9">
        <v>1000</v>
      </c>
      <c r="D2685" s="9" t="s">
        <v>10</v>
      </c>
      <c r="E2685" s="19">
        <v>365</v>
      </c>
      <c r="F2685" s="19">
        <v>366.5</v>
      </c>
      <c r="G2685" s="9">
        <v>0</v>
      </c>
      <c r="H2685" s="15">
        <v>0</v>
      </c>
      <c r="I2685" s="8">
        <f t="shared" si="2307"/>
        <v>1500</v>
      </c>
      <c r="J2685" s="8">
        <v>0</v>
      </c>
      <c r="K2685" s="8">
        <v>0</v>
      </c>
      <c r="L2685" s="8">
        <f t="shared" si="2305"/>
        <v>1.5</v>
      </c>
      <c r="M2685" s="8">
        <f t="shared" si="2306"/>
        <v>1500</v>
      </c>
    </row>
    <row r="2686" spans="1:13" ht="15" customHeight="1" x14ac:dyDescent="0.25">
      <c r="A2686" s="24">
        <v>42874</v>
      </c>
      <c r="B2686" s="9" t="s">
        <v>19</v>
      </c>
      <c r="C2686" s="9">
        <v>100</v>
      </c>
      <c r="D2686" s="9" t="s">
        <v>11</v>
      </c>
      <c r="E2686" s="19">
        <v>28615</v>
      </c>
      <c r="F2686" s="19">
        <v>28706</v>
      </c>
      <c r="G2686" s="9">
        <v>0</v>
      </c>
      <c r="H2686" s="15">
        <v>0</v>
      </c>
      <c r="I2686" s="8">
        <f t="shared" si="2307"/>
        <v>-9100</v>
      </c>
      <c r="J2686" s="8">
        <v>0</v>
      </c>
      <c r="K2686" s="8">
        <v>0</v>
      </c>
      <c r="L2686" s="8">
        <f t="shared" si="2305"/>
        <v>-91</v>
      </c>
      <c r="M2686" s="8">
        <f t="shared" si="2306"/>
        <v>-9100</v>
      </c>
    </row>
    <row r="2687" spans="1:13" ht="15" customHeight="1" x14ac:dyDescent="0.25">
      <c r="A2687" s="24">
        <v>42873</v>
      </c>
      <c r="B2687" s="9" t="s">
        <v>22</v>
      </c>
      <c r="C2687" s="9">
        <v>500</v>
      </c>
      <c r="D2687" s="9" t="s">
        <v>10</v>
      </c>
      <c r="E2687" s="19">
        <v>123.4</v>
      </c>
      <c r="F2687" s="19">
        <v>125.5</v>
      </c>
      <c r="G2687" s="9">
        <v>0</v>
      </c>
      <c r="H2687" s="15">
        <v>0</v>
      </c>
      <c r="I2687" s="8">
        <f t="shared" si="2307"/>
        <v>1049.9999999999973</v>
      </c>
      <c r="J2687" s="8">
        <v>0</v>
      </c>
      <c r="K2687" s="8">
        <v>0</v>
      </c>
      <c r="L2687" s="8">
        <f t="shared" si="2305"/>
        <v>2.0999999999999948</v>
      </c>
      <c r="M2687" s="8">
        <f t="shared" si="2306"/>
        <v>1049.9999999999973</v>
      </c>
    </row>
    <row r="2688" spans="1:13" ht="15" customHeight="1" x14ac:dyDescent="0.25">
      <c r="A2688" s="24">
        <v>42873</v>
      </c>
      <c r="B2688" s="9" t="s">
        <v>15</v>
      </c>
      <c r="C2688" s="9">
        <v>5000</v>
      </c>
      <c r="D2688" s="9" t="s">
        <v>10</v>
      </c>
      <c r="E2688" s="19">
        <v>134.5</v>
      </c>
      <c r="F2688" s="19">
        <v>133.9</v>
      </c>
      <c r="G2688" s="9">
        <v>0</v>
      </c>
      <c r="H2688" s="15">
        <v>0</v>
      </c>
      <c r="I2688" s="8">
        <f t="shared" si="2307"/>
        <v>-2999.9999999999718</v>
      </c>
      <c r="J2688" s="8">
        <v>0</v>
      </c>
      <c r="K2688" s="8">
        <v>0</v>
      </c>
      <c r="L2688" s="8">
        <f t="shared" si="2305"/>
        <v>-0.59999999999999432</v>
      </c>
      <c r="M2688" s="8">
        <f t="shared" si="2306"/>
        <v>-2999.9999999999718</v>
      </c>
    </row>
    <row r="2689" spans="1:13" ht="15" customHeight="1" x14ac:dyDescent="0.25">
      <c r="A2689" s="24">
        <v>42873</v>
      </c>
      <c r="B2689" s="9" t="s">
        <v>19</v>
      </c>
      <c r="C2689" s="9">
        <v>100</v>
      </c>
      <c r="D2689" s="9" t="s">
        <v>10</v>
      </c>
      <c r="E2689" s="19">
        <v>28710</v>
      </c>
      <c r="F2689" s="19">
        <v>28665</v>
      </c>
      <c r="G2689" s="9">
        <v>0</v>
      </c>
      <c r="H2689" s="15">
        <v>0</v>
      </c>
      <c r="I2689" s="8">
        <f t="shared" si="2307"/>
        <v>-4500</v>
      </c>
      <c r="J2689" s="8">
        <v>0</v>
      </c>
      <c r="K2689" s="8">
        <v>0</v>
      </c>
      <c r="L2689" s="8">
        <f t="shared" si="2305"/>
        <v>-45</v>
      </c>
      <c r="M2689" s="8">
        <f t="shared" si="2306"/>
        <v>-4500</v>
      </c>
    </row>
    <row r="2690" spans="1:13" ht="15" customHeight="1" x14ac:dyDescent="0.25">
      <c r="A2690" s="24">
        <v>42872</v>
      </c>
      <c r="B2690" s="9" t="s">
        <v>14</v>
      </c>
      <c r="C2690" s="9">
        <v>30</v>
      </c>
      <c r="D2690" s="9" t="s">
        <v>10</v>
      </c>
      <c r="E2690" s="19">
        <v>38960</v>
      </c>
      <c r="F2690" s="19">
        <v>39140</v>
      </c>
      <c r="G2690" s="9">
        <v>0</v>
      </c>
      <c r="H2690" s="15">
        <v>0</v>
      </c>
      <c r="I2690" s="8">
        <f t="shared" si="2307"/>
        <v>5400</v>
      </c>
      <c r="J2690" s="8">
        <v>0</v>
      </c>
      <c r="K2690" s="8">
        <v>0</v>
      </c>
      <c r="L2690" s="8">
        <f t="shared" si="2305"/>
        <v>180</v>
      </c>
      <c r="M2690" s="8">
        <f t="shared" si="2306"/>
        <v>5400</v>
      </c>
    </row>
    <row r="2691" spans="1:13" ht="15" customHeight="1" x14ac:dyDescent="0.25">
      <c r="A2691" s="24">
        <v>42872</v>
      </c>
      <c r="B2691" s="9" t="s">
        <v>18</v>
      </c>
      <c r="C2691" s="9">
        <v>1000</v>
      </c>
      <c r="D2691" s="9" t="s">
        <v>11</v>
      </c>
      <c r="E2691" s="19">
        <v>362.55</v>
      </c>
      <c r="F2691" s="19">
        <v>362.1</v>
      </c>
      <c r="G2691" s="9">
        <v>0</v>
      </c>
      <c r="H2691" s="15">
        <v>0</v>
      </c>
      <c r="I2691" s="8">
        <f t="shared" si="2307"/>
        <v>449.99999999998863</v>
      </c>
      <c r="J2691" s="8">
        <v>0</v>
      </c>
      <c r="K2691" s="8">
        <v>0</v>
      </c>
      <c r="L2691" s="8">
        <f t="shared" si="2305"/>
        <v>0.44999999999998863</v>
      </c>
      <c r="M2691" s="8">
        <f t="shared" si="2306"/>
        <v>449.99999999998863</v>
      </c>
    </row>
    <row r="2692" spans="1:13" ht="15" customHeight="1" x14ac:dyDescent="0.25">
      <c r="A2692" s="24">
        <v>42872</v>
      </c>
      <c r="B2692" s="9" t="s">
        <v>19</v>
      </c>
      <c r="C2692" s="9">
        <v>100</v>
      </c>
      <c r="D2692" s="9" t="s">
        <v>10</v>
      </c>
      <c r="E2692" s="19">
        <v>28220</v>
      </c>
      <c r="F2692" s="19">
        <v>28260</v>
      </c>
      <c r="G2692" s="9">
        <v>28300</v>
      </c>
      <c r="H2692" s="15">
        <v>0</v>
      </c>
      <c r="I2692" s="8">
        <f t="shared" si="2307"/>
        <v>4000</v>
      </c>
      <c r="J2692" s="8">
        <v>0</v>
      </c>
      <c r="K2692" s="8">
        <v>0</v>
      </c>
      <c r="L2692" s="8">
        <f t="shared" si="2305"/>
        <v>40</v>
      </c>
      <c r="M2692" s="8">
        <f t="shared" si="2306"/>
        <v>4000</v>
      </c>
    </row>
    <row r="2693" spans="1:13" ht="15" customHeight="1" x14ac:dyDescent="0.25">
      <c r="A2693" s="24">
        <v>42871</v>
      </c>
      <c r="B2693" s="9" t="s">
        <v>16</v>
      </c>
      <c r="C2693" s="9">
        <v>100</v>
      </c>
      <c r="D2693" s="9" t="s">
        <v>10</v>
      </c>
      <c r="E2693" s="19">
        <v>3162</v>
      </c>
      <c r="F2693" s="19">
        <v>3162</v>
      </c>
      <c r="G2693" s="9">
        <v>0</v>
      </c>
      <c r="H2693" s="15">
        <v>0</v>
      </c>
      <c r="I2693" s="8">
        <f t="shared" si="2307"/>
        <v>0</v>
      </c>
      <c r="J2693" s="8">
        <v>0</v>
      </c>
      <c r="K2693" s="8">
        <v>0</v>
      </c>
      <c r="L2693" s="8">
        <f t="shared" si="2305"/>
        <v>0</v>
      </c>
      <c r="M2693" s="8">
        <f t="shared" si="2306"/>
        <v>0</v>
      </c>
    </row>
    <row r="2694" spans="1:13" ht="15" customHeight="1" x14ac:dyDescent="0.25">
      <c r="A2694" s="24">
        <v>42871</v>
      </c>
      <c r="B2694" s="9" t="s">
        <v>17</v>
      </c>
      <c r="C2694" s="9">
        <v>5000</v>
      </c>
      <c r="D2694" s="9" t="s">
        <v>11</v>
      </c>
      <c r="E2694" s="19">
        <v>163.5</v>
      </c>
      <c r="F2694" s="19">
        <v>163</v>
      </c>
      <c r="G2694" s="9">
        <v>162.4</v>
      </c>
      <c r="H2694" s="15">
        <v>161.69999999999999</v>
      </c>
      <c r="I2694" s="8">
        <f t="shared" si="2307"/>
        <v>2500</v>
      </c>
      <c r="J2694" s="8">
        <f>(IF(D2694="SELL",IF(G2694="",0,F2694-G2694),IF(D2694="BUY",IF(G2694="",0,G2694-F2694))))*C2694</f>
        <v>2999.9999999999718</v>
      </c>
      <c r="K2694" s="2">
        <f>(IF(D2694="SELL",IF(H2694="",0,G2694-H2694),IF(D2694="BUY",IF(H2694="",0,(H2694-G2694)))))*C2694</f>
        <v>3500.0000000000855</v>
      </c>
      <c r="L2694" s="8">
        <f t="shared" si="2305"/>
        <v>1.8000000000000116</v>
      </c>
      <c r="M2694" s="8">
        <f t="shared" si="2306"/>
        <v>9000.0000000000582</v>
      </c>
    </row>
    <row r="2695" spans="1:13" ht="15" customHeight="1" x14ac:dyDescent="0.25">
      <c r="A2695" s="24">
        <v>42871</v>
      </c>
      <c r="B2695" s="9" t="s">
        <v>14</v>
      </c>
      <c r="C2695" s="9">
        <v>30</v>
      </c>
      <c r="D2695" s="9" t="s">
        <v>10</v>
      </c>
      <c r="E2695" s="19">
        <v>38700</v>
      </c>
      <c r="F2695" s="19">
        <v>38700</v>
      </c>
      <c r="G2695" s="9">
        <v>0</v>
      </c>
      <c r="H2695" s="15">
        <v>0</v>
      </c>
      <c r="I2695" s="8">
        <v>0</v>
      </c>
      <c r="J2695" s="8">
        <v>0</v>
      </c>
      <c r="K2695" s="8">
        <v>0</v>
      </c>
      <c r="L2695" s="8">
        <f t="shared" ref="L2695:L2758" si="2308">(J2695+I2695+K2695)/C2695</f>
        <v>0</v>
      </c>
      <c r="M2695" s="8">
        <f t="shared" ref="M2695:M2758" si="2309">L2695*C2695</f>
        <v>0</v>
      </c>
    </row>
    <row r="2696" spans="1:13" ht="15" customHeight="1" x14ac:dyDescent="0.25">
      <c r="A2696" s="24">
        <v>42871</v>
      </c>
      <c r="B2696" s="9" t="s">
        <v>19</v>
      </c>
      <c r="C2696" s="9">
        <v>100</v>
      </c>
      <c r="D2696" s="9" t="s">
        <v>10</v>
      </c>
      <c r="E2696" s="19">
        <v>28070</v>
      </c>
      <c r="F2696" s="19">
        <v>28110</v>
      </c>
      <c r="G2696" s="9">
        <v>0</v>
      </c>
      <c r="H2696" s="15">
        <v>0</v>
      </c>
      <c r="I2696" s="8">
        <f>(IF(D2696="SELL",E2696-F2696,IF(D2696="BUY",F2696-E2696)))*C2696</f>
        <v>4000</v>
      </c>
      <c r="J2696" s="8">
        <v>0</v>
      </c>
      <c r="K2696" s="8">
        <v>0</v>
      </c>
      <c r="L2696" s="8">
        <f t="shared" si="2308"/>
        <v>40</v>
      </c>
      <c r="M2696" s="8">
        <f t="shared" si="2309"/>
        <v>4000</v>
      </c>
    </row>
    <row r="2697" spans="1:13" ht="15" customHeight="1" x14ac:dyDescent="0.25">
      <c r="A2697" s="24">
        <v>42867</v>
      </c>
      <c r="B2697" s="9" t="s">
        <v>16</v>
      </c>
      <c r="C2697" s="9">
        <v>100</v>
      </c>
      <c r="D2697" s="9" t="s">
        <v>10</v>
      </c>
      <c r="E2697" s="19">
        <v>3085</v>
      </c>
      <c r="F2697" s="19">
        <v>3085</v>
      </c>
      <c r="G2697" s="9">
        <v>0</v>
      </c>
      <c r="H2697" s="15">
        <v>0</v>
      </c>
      <c r="I2697" s="8">
        <f>(IF(D2697="SELL",E2697-F2697,IF(D2697="BUY",F2697-E2697)))*C2697</f>
        <v>0</v>
      </c>
      <c r="J2697" s="8">
        <v>0</v>
      </c>
      <c r="K2697" s="8">
        <v>0</v>
      </c>
      <c r="L2697" s="8">
        <f t="shared" si="2308"/>
        <v>0</v>
      </c>
      <c r="M2697" s="8">
        <f t="shared" si="2309"/>
        <v>0</v>
      </c>
    </row>
    <row r="2698" spans="1:13" ht="15" customHeight="1" x14ac:dyDescent="0.25">
      <c r="A2698" s="24">
        <v>42867</v>
      </c>
      <c r="B2698" s="9" t="s">
        <v>19</v>
      </c>
      <c r="C2698" s="9">
        <v>100</v>
      </c>
      <c r="D2698" s="9" t="s">
        <v>10</v>
      </c>
      <c r="E2698" s="19">
        <v>28005</v>
      </c>
      <c r="F2698" s="19">
        <v>28040</v>
      </c>
      <c r="G2698" s="9">
        <v>0</v>
      </c>
      <c r="H2698" s="15">
        <v>0</v>
      </c>
      <c r="I2698" s="8">
        <f>(IF(D2698="SELL",E2698-F2698,IF(D2698="BUY",F2698-E2698)))*C2698</f>
        <v>3500</v>
      </c>
      <c r="J2698" s="8">
        <v>0</v>
      </c>
      <c r="K2698" s="8">
        <v>0</v>
      </c>
      <c r="L2698" s="8">
        <f t="shared" si="2308"/>
        <v>35</v>
      </c>
      <c r="M2698" s="8">
        <f t="shared" si="2309"/>
        <v>3500</v>
      </c>
    </row>
    <row r="2699" spans="1:13" ht="15" customHeight="1" x14ac:dyDescent="0.25">
      <c r="A2699" s="24">
        <v>42867</v>
      </c>
      <c r="B2699" s="9" t="s">
        <v>19</v>
      </c>
      <c r="C2699" s="9">
        <v>100</v>
      </c>
      <c r="D2699" s="9" t="s">
        <v>10</v>
      </c>
      <c r="E2699" s="19">
        <v>28005</v>
      </c>
      <c r="F2699" s="19">
        <v>28040</v>
      </c>
      <c r="G2699" s="9">
        <v>0</v>
      </c>
      <c r="H2699" s="15">
        <v>0</v>
      </c>
      <c r="I2699" s="8">
        <f>(IF(D2699="SELL",E2699-F2699,IF(D2699="BUY",F2699-E2699)))*C2699</f>
        <v>3500</v>
      </c>
      <c r="J2699" s="8">
        <v>0</v>
      </c>
      <c r="K2699" s="8">
        <v>0</v>
      </c>
      <c r="L2699" s="8">
        <f t="shared" si="2308"/>
        <v>35</v>
      </c>
      <c r="M2699" s="8">
        <f t="shared" si="2309"/>
        <v>3500</v>
      </c>
    </row>
    <row r="2700" spans="1:13" ht="15" customHeight="1" x14ac:dyDescent="0.25">
      <c r="A2700" s="24">
        <v>42866</v>
      </c>
      <c r="B2700" s="9" t="s">
        <v>19</v>
      </c>
      <c r="C2700" s="9">
        <v>100</v>
      </c>
      <c r="D2700" s="9" t="s">
        <v>10</v>
      </c>
      <c r="E2700" s="19">
        <v>27990</v>
      </c>
      <c r="F2700" s="19">
        <v>27990</v>
      </c>
      <c r="G2700" s="9">
        <v>0</v>
      </c>
      <c r="H2700" s="15">
        <v>0</v>
      </c>
      <c r="I2700" s="8">
        <v>0</v>
      </c>
      <c r="J2700" s="8">
        <v>0</v>
      </c>
      <c r="K2700" s="8">
        <v>0</v>
      </c>
      <c r="L2700" s="8">
        <f t="shared" si="2308"/>
        <v>0</v>
      </c>
      <c r="M2700" s="8">
        <f t="shared" si="2309"/>
        <v>0</v>
      </c>
    </row>
    <row r="2701" spans="1:13" ht="15" customHeight="1" x14ac:dyDescent="0.25">
      <c r="A2701" s="24">
        <v>42866</v>
      </c>
      <c r="B2701" s="9" t="s">
        <v>14</v>
      </c>
      <c r="C2701" s="9">
        <v>30</v>
      </c>
      <c r="D2701" s="9" t="s">
        <v>10</v>
      </c>
      <c r="E2701" s="19">
        <v>38100</v>
      </c>
      <c r="F2701" s="19">
        <v>28552</v>
      </c>
      <c r="G2701" s="9">
        <v>0</v>
      </c>
      <c r="H2701" s="15">
        <v>0</v>
      </c>
      <c r="I2701" s="8">
        <v>0</v>
      </c>
      <c r="J2701" s="8">
        <v>0</v>
      </c>
      <c r="K2701" s="8">
        <v>0</v>
      </c>
      <c r="L2701" s="8">
        <f t="shared" si="2308"/>
        <v>0</v>
      </c>
      <c r="M2701" s="8">
        <f t="shared" si="2309"/>
        <v>0</v>
      </c>
    </row>
    <row r="2702" spans="1:13" ht="15" customHeight="1" x14ac:dyDescent="0.25">
      <c r="A2702" s="24">
        <v>42858</v>
      </c>
      <c r="B2702" s="9" t="s">
        <v>19</v>
      </c>
      <c r="C2702" s="9">
        <v>100</v>
      </c>
      <c r="D2702" s="9" t="s">
        <v>11</v>
      </c>
      <c r="E2702" s="19">
        <v>28552</v>
      </c>
      <c r="F2702" s="19">
        <v>28552</v>
      </c>
      <c r="G2702" s="9">
        <v>0</v>
      </c>
      <c r="H2702" s="15">
        <v>0</v>
      </c>
      <c r="I2702" s="8">
        <f t="shared" ref="I2702:I2733" si="2310">(IF(D2702="SELL",E2702-F2702,IF(D2702="BUY",F2702-E2702)))*C2702</f>
        <v>0</v>
      </c>
      <c r="J2702" s="8">
        <v>0</v>
      </c>
      <c r="K2702" s="8">
        <v>0</v>
      </c>
      <c r="L2702" s="8">
        <f t="shared" si="2308"/>
        <v>0</v>
      </c>
      <c r="M2702" s="8">
        <f t="shared" si="2309"/>
        <v>0</v>
      </c>
    </row>
    <row r="2703" spans="1:13" ht="15" customHeight="1" x14ac:dyDescent="0.25">
      <c r="A2703" s="24">
        <v>42857</v>
      </c>
      <c r="B2703" s="9" t="s">
        <v>20</v>
      </c>
      <c r="C2703" s="9">
        <v>1250</v>
      </c>
      <c r="D2703" s="9" t="s">
        <v>10</v>
      </c>
      <c r="E2703" s="19">
        <v>207.8</v>
      </c>
      <c r="F2703" s="19">
        <v>207.8</v>
      </c>
      <c r="G2703" s="9">
        <v>0</v>
      </c>
      <c r="H2703" s="15">
        <v>0</v>
      </c>
      <c r="I2703" s="8">
        <f t="shared" si="2310"/>
        <v>0</v>
      </c>
      <c r="J2703" s="8">
        <v>0</v>
      </c>
      <c r="K2703" s="8">
        <v>0</v>
      </c>
      <c r="L2703" s="8">
        <f t="shared" si="2308"/>
        <v>0</v>
      </c>
      <c r="M2703" s="8">
        <f t="shared" si="2309"/>
        <v>0</v>
      </c>
    </row>
    <row r="2704" spans="1:13" ht="15" customHeight="1" x14ac:dyDescent="0.25">
      <c r="A2704" s="24">
        <v>42857</v>
      </c>
      <c r="B2704" s="9" t="s">
        <v>18</v>
      </c>
      <c r="C2704" s="9">
        <v>1000</v>
      </c>
      <c r="D2704" s="9" t="s">
        <v>11</v>
      </c>
      <c r="E2704" s="19">
        <v>375</v>
      </c>
      <c r="F2704" s="19">
        <v>375</v>
      </c>
      <c r="G2704" s="9">
        <v>0</v>
      </c>
      <c r="H2704" s="15">
        <v>0</v>
      </c>
      <c r="I2704" s="8">
        <f t="shared" si="2310"/>
        <v>0</v>
      </c>
      <c r="J2704" s="8">
        <v>0</v>
      </c>
      <c r="K2704" s="8">
        <v>0</v>
      </c>
      <c r="L2704" s="8">
        <f t="shared" si="2308"/>
        <v>0</v>
      </c>
      <c r="M2704" s="8">
        <f t="shared" si="2309"/>
        <v>0</v>
      </c>
    </row>
    <row r="2705" spans="1:13" ht="15" customHeight="1" x14ac:dyDescent="0.25">
      <c r="A2705" s="24">
        <v>42850</v>
      </c>
      <c r="B2705" s="9" t="s">
        <v>18</v>
      </c>
      <c r="C2705" s="9">
        <v>1000</v>
      </c>
      <c r="D2705" s="9" t="s">
        <v>11</v>
      </c>
      <c r="E2705" s="19">
        <v>364.3</v>
      </c>
      <c r="F2705" s="19">
        <v>364.3</v>
      </c>
      <c r="G2705" s="9">
        <v>0</v>
      </c>
      <c r="H2705" s="15">
        <v>0</v>
      </c>
      <c r="I2705" s="8">
        <f t="shared" si="2310"/>
        <v>0</v>
      </c>
      <c r="J2705" s="8">
        <v>0</v>
      </c>
      <c r="K2705" s="8">
        <v>0</v>
      </c>
      <c r="L2705" s="8">
        <f t="shared" si="2308"/>
        <v>0</v>
      </c>
      <c r="M2705" s="8">
        <f t="shared" si="2309"/>
        <v>0</v>
      </c>
    </row>
    <row r="2706" spans="1:13" ht="15" customHeight="1" x14ac:dyDescent="0.25">
      <c r="A2706" s="24">
        <v>42849</v>
      </c>
      <c r="B2706" s="9" t="s">
        <v>14</v>
      </c>
      <c r="C2706" s="9">
        <v>30</v>
      </c>
      <c r="D2706" s="9" t="s">
        <v>11</v>
      </c>
      <c r="E2706" s="19">
        <v>41100</v>
      </c>
      <c r="F2706" s="19">
        <v>41100</v>
      </c>
      <c r="G2706" s="9">
        <v>0</v>
      </c>
      <c r="H2706" s="15">
        <v>0</v>
      </c>
      <c r="I2706" s="8">
        <f t="shared" si="2310"/>
        <v>0</v>
      </c>
      <c r="J2706" s="8">
        <v>0</v>
      </c>
      <c r="K2706" s="8">
        <v>0</v>
      </c>
      <c r="L2706" s="8">
        <f t="shared" si="2308"/>
        <v>0</v>
      </c>
      <c r="M2706" s="8">
        <f t="shared" si="2309"/>
        <v>0</v>
      </c>
    </row>
    <row r="2707" spans="1:13" ht="15" customHeight="1" x14ac:dyDescent="0.25">
      <c r="A2707" s="24">
        <v>42849</v>
      </c>
      <c r="B2707" s="9" t="s">
        <v>18</v>
      </c>
      <c r="C2707" s="9">
        <v>1000</v>
      </c>
      <c r="D2707" s="9" t="s">
        <v>11</v>
      </c>
      <c r="E2707" s="19">
        <v>364</v>
      </c>
      <c r="F2707" s="19">
        <v>362.5</v>
      </c>
      <c r="G2707" s="9">
        <v>0</v>
      </c>
      <c r="H2707" s="15">
        <v>0</v>
      </c>
      <c r="I2707" s="8">
        <f t="shared" si="2310"/>
        <v>1500</v>
      </c>
      <c r="J2707" s="8">
        <v>0</v>
      </c>
      <c r="K2707" s="8">
        <v>0</v>
      </c>
      <c r="L2707" s="8">
        <f t="shared" si="2308"/>
        <v>1.5</v>
      </c>
      <c r="M2707" s="8">
        <f t="shared" si="2309"/>
        <v>1500</v>
      </c>
    </row>
    <row r="2708" spans="1:13" ht="15" customHeight="1" x14ac:dyDescent="0.25">
      <c r="A2708" s="24">
        <v>42845</v>
      </c>
      <c r="B2708" s="9" t="s">
        <v>16</v>
      </c>
      <c r="C2708" s="9">
        <v>100</v>
      </c>
      <c r="D2708" s="9" t="s">
        <v>10</v>
      </c>
      <c r="E2708" s="19">
        <v>3310</v>
      </c>
      <c r="F2708" s="19">
        <v>3310</v>
      </c>
      <c r="G2708" s="9">
        <v>363</v>
      </c>
      <c r="H2708" s="15">
        <v>0</v>
      </c>
      <c r="I2708" s="8">
        <f t="shared" si="2310"/>
        <v>0</v>
      </c>
      <c r="J2708" s="8">
        <v>0</v>
      </c>
      <c r="K2708" s="8">
        <v>0</v>
      </c>
      <c r="L2708" s="8">
        <f t="shared" si="2308"/>
        <v>0</v>
      </c>
      <c r="M2708" s="8">
        <f t="shared" si="2309"/>
        <v>0</v>
      </c>
    </row>
    <row r="2709" spans="1:13" ht="15" customHeight="1" x14ac:dyDescent="0.25">
      <c r="A2709" s="24">
        <v>42845</v>
      </c>
      <c r="B2709" s="9" t="s">
        <v>18</v>
      </c>
      <c r="C2709" s="9">
        <v>1000</v>
      </c>
      <c r="D2709" s="9" t="s">
        <v>10</v>
      </c>
      <c r="E2709" s="19">
        <v>359.6</v>
      </c>
      <c r="F2709" s="19">
        <v>361</v>
      </c>
      <c r="G2709" s="9">
        <v>363</v>
      </c>
      <c r="H2709" s="15">
        <v>0</v>
      </c>
      <c r="I2709" s="8">
        <f t="shared" si="2310"/>
        <v>1399.9999999999773</v>
      </c>
      <c r="J2709" s="8">
        <f>(IF(D2709="SELL",IF(G2709="",0,F2709-G2709),IF(D2709="BUY",IF(G2709="",0,G2709-F2709))))*C2709</f>
        <v>2000</v>
      </c>
      <c r="K2709" s="8">
        <v>0</v>
      </c>
      <c r="L2709" s="8">
        <f t="shared" si="2308"/>
        <v>3.3999999999999773</v>
      </c>
      <c r="M2709" s="8">
        <f t="shared" si="2309"/>
        <v>3399.9999999999773</v>
      </c>
    </row>
    <row r="2710" spans="1:13" ht="15" customHeight="1" x14ac:dyDescent="0.25">
      <c r="A2710" s="24">
        <v>42837</v>
      </c>
      <c r="B2710" s="9" t="s">
        <v>16</v>
      </c>
      <c r="C2710" s="9">
        <v>100</v>
      </c>
      <c r="D2710" s="9" t="s">
        <v>10</v>
      </c>
      <c r="E2710" s="19">
        <v>3397</v>
      </c>
      <c r="F2710" s="19">
        <v>3397</v>
      </c>
      <c r="G2710" s="9">
        <v>0</v>
      </c>
      <c r="H2710" s="15">
        <v>0</v>
      </c>
      <c r="I2710" s="8">
        <f t="shared" si="2310"/>
        <v>0</v>
      </c>
      <c r="J2710" s="8">
        <v>0</v>
      </c>
      <c r="K2710" s="8">
        <v>0</v>
      </c>
      <c r="L2710" s="8">
        <f t="shared" si="2308"/>
        <v>0</v>
      </c>
      <c r="M2710" s="8">
        <f t="shared" si="2309"/>
        <v>0</v>
      </c>
    </row>
    <row r="2711" spans="1:13" ht="15" customHeight="1" x14ac:dyDescent="0.25">
      <c r="A2711" s="24">
        <v>42837</v>
      </c>
      <c r="B2711" s="9" t="s">
        <v>16</v>
      </c>
      <c r="C2711" s="9">
        <v>100</v>
      </c>
      <c r="D2711" s="9" t="s">
        <v>10</v>
      </c>
      <c r="E2711" s="19">
        <v>3397</v>
      </c>
      <c r="F2711" s="19">
        <v>3397</v>
      </c>
      <c r="G2711" s="9">
        <v>0</v>
      </c>
      <c r="H2711" s="15">
        <v>0</v>
      </c>
      <c r="I2711" s="8">
        <f t="shared" si="2310"/>
        <v>0</v>
      </c>
      <c r="J2711" s="8">
        <v>0</v>
      </c>
      <c r="K2711" s="8">
        <v>0</v>
      </c>
      <c r="L2711" s="8">
        <f t="shared" si="2308"/>
        <v>0</v>
      </c>
      <c r="M2711" s="8">
        <f t="shared" si="2309"/>
        <v>0</v>
      </c>
    </row>
    <row r="2712" spans="1:13" ht="15" customHeight="1" x14ac:dyDescent="0.25">
      <c r="A2712" s="24">
        <v>42837</v>
      </c>
      <c r="B2712" s="9" t="s">
        <v>20</v>
      </c>
      <c r="C2712" s="9">
        <v>1250</v>
      </c>
      <c r="D2712" s="9" t="s">
        <v>10</v>
      </c>
      <c r="E2712" s="19">
        <v>205</v>
      </c>
      <c r="F2712" s="19">
        <v>205</v>
      </c>
      <c r="G2712" s="9">
        <v>0</v>
      </c>
      <c r="H2712" s="15">
        <v>0</v>
      </c>
      <c r="I2712" s="8">
        <f t="shared" si="2310"/>
        <v>0</v>
      </c>
      <c r="J2712" s="8">
        <v>0</v>
      </c>
      <c r="K2712" s="8">
        <v>0</v>
      </c>
      <c r="L2712" s="8">
        <f t="shared" si="2308"/>
        <v>0</v>
      </c>
      <c r="M2712" s="8">
        <f t="shared" si="2309"/>
        <v>0</v>
      </c>
    </row>
    <row r="2713" spans="1:13" ht="15" customHeight="1" x14ac:dyDescent="0.25">
      <c r="A2713" s="24">
        <v>42829</v>
      </c>
      <c r="B2713" s="9" t="s">
        <v>17</v>
      </c>
      <c r="C2713" s="9">
        <v>5000</v>
      </c>
      <c r="D2713" s="9" t="s">
        <v>10</v>
      </c>
      <c r="E2713" s="19">
        <v>174</v>
      </c>
      <c r="F2713" s="19">
        <v>174</v>
      </c>
      <c r="G2713" s="9">
        <v>0</v>
      </c>
      <c r="H2713" s="15">
        <v>0</v>
      </c>
      <c r="I2713" s="8">
        <f t="shared" si="2310"/>
        <v>0</v>
      </c>
      <c r="J2713" s="8">
        <v>0</v>
      </c>
      <c r="K2713" s="8">
        <v>0</v>
      </c>
      <c r="L2713" s="8">
        <f t="shared" si="2308"/>
        <v>0</v>
      </c>
      <c r="M2713" s="8">
        <f t="shared" si="2309"/>
        <v>0</v>
      </c>
    </row>
    <row r="2714" spans="1:13" ht="15" customHeight="1" x14ac:dyDescent="0.25">
      <c r="A2714" s="24">
        <v>42829</v>
      </c>
      <c r="B2714" s="9" t="s">
        <v>16</v>
      </c>
      <c r="C2714" s="9">
        <v>100</v>
      </c>
      <c r="D2714" s="9" t="s">
        <v>10</v>
      </c>
      <c r="E2714" s="19">
        <v>3390</v>
      </c>
      <c r="F2714" s="19">
        <v>3390</v>
      </c>
      <c r="G2714" s="9">
        <v>0</v>
      </c>
      <c r="H2714" s="15">
        <v>0</v>
      </c>
      <c r="I2714" s="8">
        <f t="shared" si="2310"/>
        <v>0</v>
      </c>
      <c r="J2714" s="8">
        <v>0</v>
      </c>
      <c r="K2714" s="8">
        <v>0</v>
      </c>
      <c r="L2714" s="8">
        <f t="shared" si="2308"/>
        <v>0</v>
      </c>
      <c r="M2714" s="8">
        <f t="shared" si="2309"/>
        <v>0</v>
      </c>
    </row>
    <row r="2715" spans="1:13" ht="15" customHeight="1" x14ac:dyDescent="0.25">
      <c r="A2715" s="24">
        <v>42830</v>
      </c>
      <c r="B2715" s="9" t="s">
        <v>15</v>
      </c>
      <c r="C2715" s="9">
        <v>5000</v>
      </c>
      <c r="D2715" s="9" t="s">
        <v>11</v>
      </c>
      <c r="E2715" s="19">
        <v>150.6</v>
      </c>
      <c r="F2715" s="19">
        <v>150.1</v>
      </c>
      <c r="G2715" s="9">
        <v>0</v>
      </c>
      <c r="H2715" s="15">
        <v>0</v>
      </c>
      <c r="I2715" s="8">
        <f t="shared" si="2310"/>
        <v>2500</v>
      </c>
      <c r="J2715" s="8">
        <v>0</v>
      </c>
      <c r="K2715" s="8">
        <v>0</v>
      </c>
      <c r="L2715" s="8">
        <f t="shared" si="2308"/>
        <v>0.5</v>
      </c>
      <c r="M2715" s="8">
        <f t="shared" si="2309"/>
        <v>2500</v>
      </c>
    </row>
    <row r="2716" spans="1:13" ht="15" customHeight="1" x14ac:dyDescent="0.25">
      <c r="A2716" s="24">
        <v>42830</v>
      </c>
      <c r="B2716" s="9" t="s">
        <v>16</v>
      </c>
      <c r="C2716" s="9">
        <v>100</v>
      </c>
      <c r="D2716" s="9" t="s">
        <v>10</v>
      </c>
      <c r="E2716" s="19">
        <v>3351</v>
      </c>
      <c r="F2716" s="19">
        <v>3351</v>
      </c>
      <c r="G2716" s="9">
        <v>0</v>
      </c>
      <c r="H2716" s="15">
        <v>0</v>
      </c>
      <c r="I2716" s="8">
        <f t="shared" si="2310"/>
        <v>0</v>
      </c>
      <c r="J2716" s="8">
        <v>0</v>
      </c>
      <c r="K2716" s="8">
        <v>0</v>
      </c>
      <c r="L2716" s="8">
        <f t="shared" si="2308"/>
        <v>0</v>
      </c>
      <c r="M2716" s="8">
        <f t="shared" si="2309"/>
        <v>0</v>
      </c>
    </row>
    <row r="2717" spans="1:13" ht="15" customHeight="1" x14ac:dyDescent="0.25">
      <c r="A2717" s="24">
        <v>42828</v>
      </c>
      <c r="B2717" s="9" t="s">
        <v>18</v>
      </c>
      <c r="C2717" s="9">
        <v>1000</v>
      </c>
      <c r="D2717" s="9" t="s">
        <v>10</v>
      </c>
      <c r="E2717" s="19">
        <v>381.7</v>
      </c>
      <c r="F2717" s="19">
        <v>381.7</v>
      </c>
      <c r="G2717" s="9">
        <v>0</v>
      </c>
      <c r="H2717" s="15">
        <v>0</v>
      </c>
      <c r="I2717" s="8">
        <f t="shared" si="2310"/>
        <v>0</v>
      </c>
      <c r="J2717" s="8">
        <v>0</v>
      </c>
      <c r="K2717" s="8">
        <v>0</v>
      </c>
      <c r="L2717" s="8">
        <f t="shared" si="2308"/>
        <v>0</v>
      </c>
      <c r="M2717" s="8">
        <f t="shared" si="2309"/>
        <v>0</v>
      </c>
    </row>
    <row r="2718" spans="1:13" ht="15" customHeight="1" x14ac:dyDescent="0.25">
      <c r="A2718" s="24">
        <v>42828</v>
      </c>
      <c r="B2718" s="9" t="s">
        <v>18</v>
      </c>
      <c r="C2718" s="9">
        <v>1000</v>
      </c>
      <c r="D2718" s="9" t="s">
        <v>10</v>
      </c>
      <c r="E2718" s="19">
        <v>381.7</v>
      </c>
      <c r="F2718" s="19">
        <v>381.7</v>
      </c>
      <c r="G2718" s="9">
        <v>0</v>
      </c>
      <c r="H2718" s="15">
        <v>0</v>
      </c>
      <c r="I2718" s="8">
        <f t="shared" si="2310"/>
        <v>0</v>
      </c>
      <c r="J2718" s="8">
        <v>0</v>
      </c>
      <c r="K2718" s="8">
        <v>0</v>
      </c>
      <c r="L2718" s="8">
        <f t="shared" si="2308"/>
        <v>0</v>
      </c>
      <c r="M2718" s="8">
        <f t="shared" si="2309"/>
        <v>0</v>
      </c>
    </row>
    <row r="2719" spans="1:13" ht="15" customHeight="1" x14ac:dyDescent="0.25">
      <c r="A2719" s="24">
        <v>42828</v>
      </c>
      <c r="B2719" s="9" t="s">
        <v>22</v>
      </c>
      <c r="C2719" s="9">
        <v>500</v>
      </c>
      <c r="D2719" s="9" t="s">
        <v>10</v>
      </c>
      <c r="E2719" s="19">
        <v>127.2</v>
      </c>
      <c r="F2719" s="19">
        <v>127.2</v>
      </c>
      <c r="G2719" s="9">
        <v>0</v>
      </c>
      <c r="H2719" s="15">
        <v>0</v>
      </c>
      <c r="I2719" s="8">
        <f t="shared" si="2310"/>
        <v>0</v>
      </c>
      <c r="J2719" s="8">
        <v>0</v>
      </c>
      <c r="K2719" s="8">
        <v>0</v>
      </c>
      <c r="L2719" s="8">
        <f t="shared" si="2308"/>
        <v>0</v>
      </c>
      <c r="M2719" s="8">
        <f t="shared" si="2309"/>
        <v>0</v>
      </c>
    </row>
    <row r="2720" spans="1:13" ht="15" customHeight="1" x14ac:dyDescent="0.25">
      <c r="A2720" s="24">
        <v>42825</v>
      </c>
      <c r="B2720" s="9" t="s">
        <v>14</v>
      </c>
      <c r="C2720" s="9">
        <v>30</v>
      </c>
      <c r="D2720" s="9" t="s">
        <v>11</v>
      </c>
      <c r="E2720" s="19">
        <v>41980</v>
      </c>
      <c r="F2720" s="19">
        <v>41980</v>
      </c>
      <c r="G2720" s="9">
        <v>0</v>
      </c>
      <c r="H2720" s="15">
        <v>0</v>
      </c>
      <c r="I2720" s="8">
        <f t="shared" si="2310"/>
        <v>0</v>
      </c>
      <c r="J2720" s="8">
        <v>0</v>
      </c>
      <c r="K2720" s="8">
        <v>0</v>
      </c>
      <c r="L2720" s="8">
        <f t="shared" si="2308"/>
        <v>0</v>
      </c>
      <c r="M2720" s="8">
        <f t="shared" si="2309"/>
        <v>0</v>
      </c>
    </row>
    <row r="2721" spans="1:13" ht="15" customHeight="1" x14ac:dyDescent="0.25">
      <c r="A2721" s="24">
        <v>42824</v>
      </c>
      <c r="B2721" s="9" t="s">
        <v>19</v>
      </c>
      <c r="C2721" s="9">
        <v>100</v>
      </c>
      <c r="D2721" s="9" t="s">
        <v>11</v>
      </c>
      <c r="E2721" s="19">
        <v>28670</v>
      </c>
      <c r="F2721" s="19">
        <v>28630</v>
      </c>
      <c r="G2721" s="9">
        <v>0</v>
      </c>
      <c r="H2721" s="15">
        <v>0</v>
      </c>
      <c r="I2721" s="8">
        <f t="shared" si="2310"/>
        <v>4000</v>
      </c>
      <c r="J2721" s="8">
        <v>0</v>
      </c>
      <c r="K2721" s="8">
        <v>0</v>
      </c>
      <c r="L2721" s="8">
        <f t="shared" si="2308"/>
        <v>40</v>
      </c>
      <c r="M2721" s="8">
        <f t="shared" si="2309"/>
        <v>4000</v>
      </c>
    </row>
    <row r="2722" spans="1:13" ht="15" customHeight="1" x14ac:dyDescent="0.25">
      <c r="A2722" s="24">
        <v>42824</v>
      </c>
      <c r="B2722" s="9" t="s">
        <v>17</v>
      </c>
      <c r="C2722" s="9">
        <v>5000</v>
      </c>
      <c r="D2722" s="9" t="s">
        <v>11</v>
      </c>
      <c r="E2722" s="19">
        <v>184</v>
      </c>
      <c r="F2722" s="19">
        <v>183.6</v>
      </c>
      <c r="G2722" s="9">
        <v>0</v>
      </c>
      <c r="H2722" s="15">
        <v>0</v>
      </c>
      <c r="I2722" s="8">
        <f t="shared" si="2310"/>
        <v>2000.0000000000284</v>
      </c>
      <c r="J2722" s="8">
        <v>0</v>
      </c>
      <c r="K2722" s="8">
        <v>0</v>
      </c>
      <c r="L2722" s="8">
        <f t="shared" si="2308"/>
        <v>0.40000000000000568</v>
      </c>
      <c r="M2722" s="8">
        <f t="shared" si="2309"/>
        <v>2000.0000000000284</v>
      </c>
    </row>
    <row r="2723" spans="1:13" ht="15" customHeight="1" x14ac:dyDescent="0.25">
      <c r="A2723" s="24">
        <v>42824</v>
      </c>
      <c r="B2723" s="9" t="s">
        <v>21</v>
      </c>
      <c r="C2723" s="9">
        <v>250</v>
      </c>
      <c r="D2723" s="9" t="s">
        <v>11</v>
      </c>
      <c r="E2723" s="19">
        <v>644</v>
      </c>
      <c r="F2723" s="19">
        <v>382</v>
      </c>
      <c r="G2723" s="9">
        <v>0</v>
      </c>
      <c r="H2723" s="15">
        <v>0</v>
      </c>
      <c r="I2723" s="8">
        <f t="shared" si="2310"/>
        <v>65500</v>
      </c>
      <c r="J2723" s="8">
        <v>0</v>
      </c>
      <c r="K2723" s="8">
        <v>0</v>
      </c>
      <c r="L2723" s="8">
        <f t="shared" si="2308"/>
        <v>262</v>
      </c>
      <c r="M2723" s="8">
        <f t="shared" si="2309"/>
        <v>65500</v>
      </c>
    </row>
    <row r="2724" spans="1:13" ht="15" customHeight="1" x14ac:dyDescent="0.25">
      <c r="A2724" s="24">
        <v>42824</v>
      </c>
      <c r="B2724" s="9" t="s">
        <v>18</v>
      </c>
      <c r="C2724" s="9">
        <v>1000</v>
      </c>
      <c r="D2724" s="9" t="s">
        <v>11</v>
      </c>
      <c r="E2724" s="19">
        <v>383.2</v>
      </c>
      <c r="F2724" s="19">
        <v>382</v>
      </c>
      <c r="G2724" s="9">
        <v>0</v>
      </c>
      <c r="H2724" s="15">
        <v>0</v>
      </c>
      <c r="I2724" s="8">
        <f t="shared" si="2310"/>
        <v>1199.9999999999886</v>
      </c>
      <c r="J2724" s="8">
        <v>0</v>
      </c>
      <c r="K2724" s="8">
        <v>0</v>
      </c>
      <c r="L2724" s="8">
        <f t="shared" si="2308"/>
        <v>1.1999999999999886</v>
      </c>
      <c r="M2724" s="8">
        <f t="shared" si="2309"/>
        <v>1199.9999999999886</v>
      </c>
    </row>
    <row r="2725" spans="1:13" ht="15" customHeight="1" x14ac:dyDescent="0.25">
      <c r="A2725" s="24">
        <v>42823</v>
      </c>
      <c r="B2725" s="9" t="s">
        <v>14</v>
      </c>
      <c r="C2725" s="9">
        <v>30</v>
      </c>
      <c r="D2725" s="9" t="s">
        <v>10</v>
      </c>
      <c r="E2725" s="19">
        <v>42040</v>
      </c>
      <c r="F2725" s="19">
        <v>42170</v>
      </c>
      <c r="G2725" s="9">
        <v>0</v>
      </c>
      <c r="H2725" s="15">
        <v>0</v>
      </c>
      <c r="I2725" s="8">
        <f t="shared" si="2310"/>
        <v>3900</v>
      </c>
      <c r="J2725" s="8">
        <v>0</v>
      </c>
      <c r="K2725" s="8">
        <v>0</v>
      </c>
      <c r="L2725" s="8">
        <f t="shared" si="2308"/>
        <v>130</v>
      </c>
      <c r="M2725" s="8">
        <f t="shared" si="2309"/>
        <v>3900</v>
      </c>
    </row>
    <row r="2726" spans="1:13" ht="15" customHeight="1" x14ac:dyDescent="0.25">
      <c r="A2726" s="24">
        <v>42823</v>
      </c>
      <c r="B2726" s="9" t="s">
        <v>16</v>
      </c>
      <c r="C2726" s="9">
        <v>100</v>
      </c>
      <c r="D2726" s="9" t="s">
        <v>10</v>
      </c>
      <c r="E2726" s="19">
        <v>3167</v>
      </c>
      <c r="F2726" s="19">
        <v>3167</v>
      </c>
      <c r="G2726" s="9">
        <v>0</v>
      </c>
      <c r="H2726" s="15">
        <v>0</v>
      </c>
      <c r="I2726" s="8">
        <f t="shared" si="2310"/>
        <v>0</v>
      </c>
      <c r="J2726" s="8">
        <v>0</v>
      </c>
      <c r="K2726" s="8">
        <v>0</v>
      </c>
      <c r="L2726" s="8">
        <f t="shared" si="2308"/>
        <v>0</v>
      </c>
      <c r="M2726" s="8">
        <f t="shared" si="2309"/>
        <v>0</v>
      </c>
    </row>
    <row r="2727" spans="1:13" ht="15" customHeight="1" x14ac:dyDescent="0.25">
      <c r="A2727" s="24">
        <v>42822</v>
      </c>
      <c r="B2727" s="9" t="s">
        <v>14</v>
      </c>
      <c r="C2727" s="9">
        <v>30</v>
      </c>
      <c r="D2727" s="9" t="s">
        <v>10</v>
      </c>
      <c r="E2727" s="19">
        <v>42020</v>
      </c>
      <c r="F2727" s="19">
        <v>42300</v>
      </c>
      <c r="G2727" s="9">
        <v>0</v>
      </c>
      <c r="H2727" s="15">
        <v>0</v>
      </c>
      <c r="I2727" s="8">
        <f t="shared" si="2310"/>
        <v>8400</v>
      </c>
      <c r="J2727" s="8">
        <v>0</v>
      </c>
      <c r="K2727" s="8">
        <v>0</v>
      </c>
      <c r="L2727" s="8">
        <f t="shared" si="2308"/>
        <v>280</v>
      </c>
      <c r="M2727" s="8">
        <f t="shared" si="2309"/>
        <v>8400</v>
      </c>
    </row>
    <row r="2728" spans="1:13" ht="15" customHeight="1" x14ac:dyDescent="0.25">
      <c r="A2728" s="24">
        <v>42822</v>
      </c>
      <c r="B2728" s="9" t="s">
        <v>16</v>
      </c>
      <c r="C2728" s="9">
        <v>100</v>
      </c>
      <c r="D2728" s="9" t="s">
        <v>10</v>
      </c>
      <c r="E2728" s="19">
        <v>3134</v>
      </c>
      <c r="F2728" s="19">
        <v>3150</v>
      </c>
      <c r="G2728" s="9">
        <v>0</v>
      </c>
      <c r="H2728" s="15">
        <v>0</v>
      </c>
      <c r="I2728" s="8">
        <f t="shared" si="2310"/>
        <v>1600</v>
      </c>
      <c r="J2728" s="8">
        <v>0</v>
      </c>
      <c r="K2728" s="8">
        <v>0</v>
      </c>
      <c r="L2728" s="8">
        <f t="shared" si="2308"/>
        <v>16</v>
      </c>
      <c r="M2728" s="8">
        <f t="shared" si="2309"/>
        <v>1600</v>
      </c>
    </row>
    <row r="2729" spans="1:13" ht="15" customHeight="1" x14ac:dyDescent="0.25">
      <c r="A2729" s="24">
        <v>42822</v>
      </c>
      <c r="B2729" s="9" t="s">
        <v>22</v>
      </c>
      <c r="C2729" s="9">
        <v>5000</v>
      </c>
      <c r="D2729" s="9" t="s">
        <v>11</v>
      </c>
      <c r="E2729" s="19">
        <v>125</v>
      </c>
      <c r="F2729" s="19">
        <v>124.6</v>
      </c>
      <c r="G2729" s="9">
        <v>0</v>
      </c>
      <c r="H2729" s="15">
        <v>0</v>
      </c>
      <c r="I2729" s="8">
        <f t="shared" si="2310"/>
        <v>2000.0000000000284</v>
      </c>
      <c r="J2729" s="8">
        <v>0</v>
      </c>
      <c r="K2729" s="8">
        <v>0</v>
      </c>
      <c r="L2729" s="8">
        <f t="shared" si="2308"/>
        <v>0.40000000000000568</v>
      </c>
      <c r="M2729" s="8">
        <f t="shared" si="2309"/>
        <v>2000.0000000000284</v>
      </c>
    </row>
    <row r="2730" spans="1:13" ht="15" customHeight="1" x14ac:dyDescent="0.25">
      <c r="A2730" s="24">
        <v>42821</v>
      </c>
      <c r="B2730" s="9" t="s">
        <v>16</v>
      </c>
      <c r="C2730" s="9">
        <v>100</v>
      </c>
      <c r="D2730" s="9" t="s">
        <v>11</v>
      </c>
      <c r="E2730" s="19">
        <v>3129</v>
      </c>
      <c r="F2730" s="19">
        <v>3108</v>
      </c>
      <c r="G2730" s="9">
        <v>0</v>
      </c>
      <c r="H2730" s="15">
        <v>0</v>
      </c>
      <c r="I2730" s="8">
        <f t="shared" si="2310"/>
        <v>2100</v>
      </c>
      <c r="J2730" s="8">
        <v>0</v>
      </c>
      <c r="K2730" s="8">
        <v>0</v>
      </c>
      <c r="L2730" s="8">
        <f t="shared" si="2308"/>
        <v>21</v>
      </c>
      <c r="M2730" s="8">
        <f t="shared" si="2309"/>
        <v>2100</v>
      </c>
    </row>
    <row r="2731" spans="1:13" ht="15" customHeight="1" x14ac:dyDescent="0.25">
      <c r="A2731" s="24">
        <v>42821</v>
      </c>
      <c r="B2731" s="9" t="s">
        <v>22</v>
      </c>
      <c r="C2731" s="9">
        <v>5000</v>
      </c>
      <c r="D2731" s="9" t="s">
        <v>11</v>
      </c>
      <c r="E2731" s="19">
        <v>125.25</v>
      </c>
      <c r="F2731" s="19">
        <v>124.8</v>
      </c>
      <c r="G2731" s="9">
        <v>0</v>
      </c>
      <c r="H2731" s="15">
        <v>0</v>
      </c>
      <c r="I2731" s="8">
        <f t="shared" si="2310"/>
        <v>2250.0000000000141</v>
      </c>
      <c r="J2731" s="8">
        <v>0</v>
      </c>
      <c r="K2731" s="8">
        <v>0</v>
      </c>
      <c r="L2731" s="8">
        <f t="shared" si="2308"/>
        <v>0.45000000000000284</v>
      </c>
      <c r="M2731" s="8">
        <f t="shared" si="2309"/>
        <v>2250.0000000000141</v>
      </c>
    </row>
    <row r="2732" spans="1:13" ht="15" customHeight="1" x14ac:dyDescent="0.25">
      <c r="A2732" s="24">
        <v>42818</v>
      </c>
      <c r="B2732" s="9" t="s">
        <v>19</v>
      </c>
      <c r="C2732" s="9">
        <v>100</v>
      </c>
      <c r="D2732" s="9" t="s">
        <v>11</v>
      </c>
      <c r="E2732" s="19">
        <v>28870</v>
      </c>
      <c r="F2732" s="19">
        <v>28720</v>
      </c>
      <c r="G2732" s="9">
        <v>0</v>
      </c>
      <c r="H2732" s="15">
        <v>0</v>
      </c>
      <c r="I2732" s="8">
        <f t="shared" si="2310"/>
        <v>15000</v>
      </c>
      <c r="J2732" s="8">
        <v>0</v>
      </c>
      <c r="K2732" s="8">
        <v>0</v>
      </c>
      <c r="L2732" s="8">
        <f t="shared" si="2308"/>
        <v>150</v>
      </c>
      <c r="M2732" s="8">
        <f t="shared" si="2309"/>
        <v>15000</v>
      </c>
    </row>
    <row r="2733" spans="1:13" ht="15" customHeight="1" x14ac:dyDescent="0.25">
      <c r="A2733" s="24">
        <v>42817</v>
      </c>
      <c r="B2733" s="9" t="s">
        <v>17</v>
      </c>
      <c r="C2733" s="9">
        <v>5000</v>
      </c>
      <c r="D2733" s="9" t="s">
        <v>10</v>
      </c>
      <c r="E2733" s="19">
        <v>186.2</v>
      </c>
      <c r="F2733" s="19">
        <v>185</v>
      </c>
      <c r="G2733" s="9">
        <v>0</v>
      </c>
      <c r="H2733" s="15">
        <v>0</v>
      </c>
      <c r="I2733" s="8">
        <f t="shared" si="2310"/>
        <v>-5999.9999999999436</v>
      </c>
      <c r="J2733" s="8">
        <v>0</v>
      </c>
      <c r="K2733" s="8">
        <v>0</v>
      </c>
      <c r="L2733" s="8">
        <f t="shared" si="2308"/>
        <v>-1.1999999999999886</v>
      </c>
      <c r="M2733" s="8">
        <f t="shared" si="2309"/>
        <v>-5999.9999999999436</v>
      </c>
    </row>
    <row r="2734" spans="1:13" ht="15" customHeight="1" x14ac:dyDescent="0.25">
      <c r="A2734" s="24">
        <v>42817</v>
      </c>
      <c r="B2734" s="9" t="s">
        <v>16</v>
      </c>
      <c r="C2734" s="9">
        <v>100</v>
      </c>
      <c r="D2734" s="9" t="s">
        <v>10</v>
      </c>
      <c r="E2734" s="19">
        <v>3179</v>
      </c>
      <c r="F2734" s="19">
        <v>3179</v>
      </c>
      <c r="G2734" s="9">
        <v>0</v>
      </c>
      <c r="H2734" s="15">
        <v>0</v>
      </c>
      <c r="I2734" s="8">
        <f t="shared" ref="I2734:I2765" si="2311">(IF(D2734="SELL",E2734-F2734,IF(D2734="BUY",F2734-E2734)))*C2734</f>
        <v>0</v>
      </c>
      <c r="J2734" s="8">
        <v>0</v>
      </c>
      <c r="K2734" s="8">
        <v>0</v>
      </c>
      <c r="L2734" s="8">
        <f t="shared" si="2308"/>
        <v>0</v>
      </c>
      <c r="M2734" s="8">
        <f t="shared" si="2309"/>
        <v>0</v>
      </c>
    </row>
    <row r="2735" spans="1:13" ht="15" customHeight="1" x14ac:dyDescent="0.25">
      <c r="A2735" s="24">
        <v>42817</v>
      </c>
      <c r="B2735" s="9" t="s">
        <v>19</v>
      </c>
      <c r="C2735" s="9">
        <v>100</v>
      </c>
      <c r="D2735" s="9" t="s">
        <v>10</v>
      </c>
      <c r="E2735" s="19">
        <v>28830</v>
      </c>
      <c r="F2735" s="19">
        <v>28870</v>
      </c>
      <c r="G2735" s="9">
        <v>0</v>
      </c>
      <c r="H2735" s="15">
        <v>0</v>
      </c>
      <c r="I2735" s="8">
        <f t="shared" si="2311"/>
        <v>4000</v>
      </c>
      <c r="J2735" s="8">
        <v>0</v>
      </c>
      <c r="K2735" s="8">
        <v>0</v>
      </c>
      <c r="L2735" s="8">
        <f t="shared" si="2308"/>
        <v>40</v>
      </c>
      <c r="M2735" s="8">
        <f t="shared" si="2309"/>
        <v>4000</v>
      </c>
    </row>
    <row r="2736" spans="1:13" ht="15" customHeight="1" x14ac:dyDescent="0.25">
      <c r="A2736" s="24">
        <v>42817</v>
      </c>
      <c r="B2736" s="9" t="s">
        <v>21</v>
      </c>
      <c r="C2736" s="9">
        <v>250</v>
      </c>
      <c r="D2736" s="9" t="s">
        <v>10</v>
      </c>
      <c r="E2736" s="19">
        <v>657.5</v>
      </c>
      <c r="F2736" s="19">
        <v>657.5</v>
      </c>
      <c r="G2736" s="9">
        <v>0</v>
      </c>
      <c r="H2736" s="15">
        <v>0</v>
      </c>
      <c r="I2736" s="8">
        <f t="shared" si="2311"/>
        <v>0</v>
      </c>
      <c r="J2736" s="8">
        <v>0</v>
      </c>
      <c r="K2736" s="8">
        <v>0</v>
      </c>
      <c r="L2736" s="8">
        <f t="shared" si="2308"/>
        <v>0</v>
      </c>
      <c r="M2736" s="8">
        <f t="shared" si="2309"/>
        <v>0</v>
      </c>
    </row>
    <row r="2737" spans="1:13" ht="15" customHeight="1" x14ac:dyDescent="0.25">
      <c r="A2737" s="24">
        <v>42816</v>
      </c>
      <c r="B2737" s="9" t="s">
        <v>19</v>
      </c>
      <c r="C2737" s="9">
        <v>100</v>
      </c>
      <c r="D2737" s="9" t="s">
        <v>10</v>
      </c>
      <c r="E2737" s="19">
        <v>28840</v>
      </c>
      <c r="F2737" s="19">
        <v>28880</v>
      </c>
      <c r="G2737" s="9">
        <v>0</v>
      </c>
      <c r="H2737" s="15">
        <v>0</v>
      </c>
      <c r="I2737" s="8">
        <f t="shared" si="2311"/>
        <v>4000</v>
      </c>
      <c r="J2737" s="8">
        <v>0</v>
      </c>
      <c r="K2737" s="8">
        <v>0</v>
      </c>
      <c r="L2737" s="8">
        <f t="shared" si="2308"/>
        <v>40</v>
      </c>
      <c r="M2737" s="8">
        <f t="shared" si="2309"/>
        <v>4000</v>
      </c>
    </row>
    <row r="2738" spans="1:13" ht="15" customHeight="1" x14ac:dyDescent="0.25">
      <c r="A2738" s="24">
        <v>42815</v>
      </c>
      <c r="B2738" s="9" t="s">
        <v>22</v>
      </c>
      <c r="C2738" s="9">
        <v>5000</v>
      </c>
      <c r="D2738" s="9" t="s">
        <v>10</v>
      </c>
      <c r="E2738" s="19">
        <v>125.4</v>
      </c>
      <c r="F2738" s="19">
        <v>125.4</v>
      </c>
      <c r="G2738" s="9">
        <v>0</v>
      </c>
      <c r="H2738" s="15">
        <v>0</v>
      </c>
      <c r="I2738" s="8">
        <f t="shared" si="2311"/>
        <v>0</v>
      </c>
      <c r="J2738" s="8">
        <v>0</v>
      </c>
      <c r="K2738" s="8">
        <v>0</v>
      </c>
      <c r="L2738" s="8">
        <f t="shared" si="2308"/>
        <v>0</v>
      </c>
      <c r="M2738" s="8">
        <f t="shared" si="2309"/>
        <v>0</v>
      </c>
    </row>
    <row r="2739" spans="1:13" ht="15" customHeight="1" x14ac:dyDescent="0.25">
      <c r="A2739" s="24">
        <v>42815</v>
      </c>
      <c r="B2739" s="9" t="s">
        <v>21</v>
      </c>
      <c r="C2739" s="9">
        <v>250</v>
      </c>
      <c r="D2739" s="9" t="s">
        <v>11</v>
      </c>
      <c r="E2739" s="19">
        <v>663.2</v>
      </c>
      <c r="F2739" s="19">
        <v>663.2</v>
      </c>
      <c r="G2739" s="9">
        <v>0</v>
      </c>
      <c r="H2739" s="15">
        <v>0</v>
      </c>
      <c r="I2739" s="8">
        <f t="shared" si="2311"/>
        <v>0</v>
      </c>
      <c r="J2739" s="8">
        <v>0</v>
      </c>
      <c r="K2739" s="8">
        <v>0</v>
      </c>
      <c r="L2739" s="8">
        <f t="shared" si="2308"/>
        <v>0</v>
      </c>
      <c r="M2739" s="8">
        <f t="shared" si="2309"/>
        <v>0</v>
      </c>
    </row>
    <row r="2740" spans="1:13" ht="15" customHeight="1" x14ac:dyDescent="0.25">
      <c r="A2740" s="24">
        <v>42815</v>
      </c>
      <c r="B2740" s="9" t="s">
        <v>21</v>
      </c>
      <c r="C2740" s="9">
        <v>250</v>
      </c>
      <c r="D2740" s="9" t="s">
        <v>11</v>
      </c>
      <c r="E2740" s="19">
        <v>663.2</v>
      </c>
      <c r="F2740" s="19">
        <v>663.2</v>
      </c>
      <c r="G2740" s="9">
        <v>0</v>
      </c>
      <c r="H2740" s="15">
        <v>0</v>
      </c>
      <c r="I2740" s="8">
        <f t="shared" si="2311"/>
        <v>0</v>
      </c>
      <c r="J2740" s="8">
        <v>0</v>
      </c>
      <c r="K2740" s="8">
        <v>0</v>
      </c>
      <c r="L2740" s="8">
        <f t="shared" si="2308"/>
        <v>0</v>
      </c>
      <c r="M2740" s="8">
        <f t="shared" si="2309"/>
        <v>0</v>
      </c>
    </row>
    <row r="2741" spans="1:13" ht="15" customHeight="1" x14ac:dyDescent="0.25">
      <c r="A2741" s="24">
        <v>42815</v>
      </c>
      <c r="B2741" s="9" t="s">
        <v>19</v>
      </c>
      <c r="C2741" s="9">
        <v>100</v>
      </c>
      <c r="D2741" s="9" t="s">
        <v>10</v>
      </c>
      <c r="E2741" s="19">
        <v>28480</v>
      </c>
      <c r="F2741" s="19">
        <v>28480</v>
      </c>
      <c r="G2741" s="9">
        <v>0</v>
      </c>
      <c r="H2741" s="15">
        <v>0</v>
      </c>
      <c r="I2741" s="8">
        <f t="shared" si="2311"/>
        <v>0</v>
      </c>
      <c r="J2741" s="8">
        <v>0</v>
      </c>
      <c r="K2741" s="8">
        <v>0</v>
      </c>
      <c r="L2741" s="8">
        <f t="shared" si="2308"/>
        <v>0</v>
      </c>
      <c r="M2741" s="8">
        <f t="shared" si="2309"/>
        <v>0</v>
      </c>
    </row>
    <row r="2742" spans="1:13" ht="15" customHeight="1" x14ac:dyDescent="0.25">
      <c r="A2742" s="24">
        <v>42814</v>
      </c>
      <c r="B2742" s="9" t="s">
        <v>15</v>
      </c>
      <c r="C2742" s="9">
        <v>5000</v>
      </c>
      <c r="D2742" s="9" t="s">
        <v>10</v>
      </c>
      <c r="E2742" s="19">
        <v>149.9</v>
      </c>
      <c r="F2742" s="19">
        <v>149.9</v>
      </c>
      <c r="G2742" s="9">
        <v>0</v>
      </c>
      <c r="H2742" s="15">
        <v>0</v>
      </c>
      <c r="I2742" s="8">
        <f t="shared" si="2311"/>
        <v>0</v>
      </c>
      <c r="J2742" s="8">
        <v>0</v>
      </c>
      <c r="K2742" s="8">
        <v>0</v>
      </c>
      <c r="L2742" s="8">
        <f t="shared" si="2308"/>
        <v>0</v>
      </c>
      <c r="M2742" s="8">
        <f t="shared" si="2309"/>
        <v>0</v>
      </c>
    </row>
    <row r="2743" spans="1:13" ht="15" customHeight="1" x14ac:dyDescent="0.25">
      <c r="A2743" s="24">
        <v>42814</v>
      </c>
      <c r="B2743" s="9" t="s">
        <v>14</v>
      </c>
      <c r="C2743" s="9">
        <v>30</v>
      </c>
      <c r="D2743" s="9" t="s">
        <v>10</v>
      </c>
      <c r="E2743" s="19">
        <v>40971</v>
      </c>
      <c r="F2743" s="19">
        <v>40971</v>
      </c>
      <c r="G2743" s="9">
        <v>0</v>
      </c>
      <c r="H2743" s="15">
        <v>0</v>
      </c>
      <c r="I2743" s="8">
        <f t="shared" si="2311"/>
        <v>0</v>
      </c>
      <c r="J2743" s="8">
        <v>0</v>
      </c>
      <c r="K2743" s="8">
        <v>0</v>
      </c>
      <c r="L2743" s="8">
        <f t="shared" si="2308"/>
        <v>0</v>
      </c>
      <c r="M2743" s="8">
        <f t="shared" si="2309"/>
        <v>0</v>
      </c>
    </row>
    <row r="2744" spans="1:13" ht="15" customHeight="1" x14ac:dyDescent="0.25">
      <c r="A2744" s="24">
        <v>42814</v>
      </c>
      <c r="B2744" s="9" t="s">
        <v>19</v>
      </c>
      <c r="C2744" s="9">
        <v>100</v>
      </c>
      <c r="D2744" s="9" t="s">
        <v>10</v>
      </c>
      <c r="E2744" s="19">
        <v>28600</v>
      </c>
      <c r="F2744" s="19">
        <v>28600</v>
      </c>
      <c r="G2744" s="9">
        <v>0</v>
      </c>
      <c r="H2744" s="15">
        <v>0</v>
      </c>
      <c r="I2744" s="8">
        <f t="shared" si="2311"/>
        <v>0</v>
      </c>
      <c r="J2744" s="8">
        <v>0</v>
      </c>
      <c r="K2744" s="8">
        <v>0</v>
      </c>
      <c r="L2744" s="8">
        <f t="shared" si="2308"/>
        <v>0</v>
      </c>
      <c r="M2744" s="8">
        <f t="shared" si="2309"/>
        <v>0</v>
      </c>
    </row>
    <row r="2745" spans="1:13" ht="15" customHeight="1" x14ac:dyDescent="0.25">
      <c r="A2745" s="24">
        <v>42811</v>
      </c>
      <c r="B2745" s="9" t="s">
        <v>16</v>
      </c>
      <c r="C2745" s="9">
        <v>100</v>
      </c>
      <c r="D2745" s="9" t="s">
        <v>10</v>
      </c>
      <c r="E2745" s="19">
        <v>3108</v>
      </c>
      <c r="F2745" s="19">
        <v>3225</v>
      </c>
      <c r="G2745" s="9">
        <v>0</v>
      </c>
      <c r="H2745" s="15">
        <v>0</v>
      </c>
      <c r="I2745" s="8">
        <f t="shared" si="2311"/>
        <v>11700</v>
      </c>
      <c r="J2745" s="8">
        <v>0</v>
      </c>
      <c r="K2745" s="8">
        <v>0</v>
      </c>
      <c r="L2745" s="8">
        <f t="shared" si="2308"/>
        <v>117</v>
      </c>
      <c r="M2745" s="8">
        <f t="shared" si="2309"/>
        <v>11700</v>
      </c>
    </row>
    <row r="2746" spans="1:13" ht="15" customHeight="1" x14ac:dyDescent="0.25">
      <c r="A2746" s="24">
        <v>42811</v>
      </c>
      <c r="B2746" s="9" t="s">
        <v>20</v>
      </c>
      <c r="C2746" s="9">
        <v>1250</v>
      </c>
      <c r="D2746" s="9" t="s">
        <v>11</v>
      </c>
      <c r="E2746" s="19">
        <v>190</v>
      </c>
      <c r="F2746" s="19">
        <v>190</v>
      </c>
      <c r="G2746" s="9">
        <v>0</v>
      </c>
      <c r="H2746" s="15">
        <v>0</v>
      </c>
      <c r="I2746" s="8">
        <f t="shared" si="2311"/>
        <v>0</v>
      </c>
      <c r="J2746" s="8">
        <v>0</v>
      </c>
      <c r="K2746" s="8">
        <v>0</v>
      </c>
      <c r="L2746" s="8">
        <f t="shared" si="2308"/>
        <v>0</v>
      </c>
      <c r="M2746" s="8">
        <f t="shared" si="2309"/>
        <v>0</v>
      </c>
    </row>
    <row r="2747" spans="1:13" ht="15" customHeight="1" x14ac:dyDescent="0.25">
      <c r="A2747" s="24">
        <v>42811</v>
      </c>
      <c r="B2747" s="9" t="s">
        <v>18</v>
      </c>
      <c r="C2747" s="9">
        <v>1000</v>
      </c>
      <c r="D2747" s="9" t="s">
        <v>10</v>
      </c>
      <c r="E2747" s="19">
        <v>388.3</v>
      </c>
      <c r="F2747" s="19">
        <v>388.3</v>
      </c>
      <c r="G2747" s="9">
        <v>0</v>
      </c>
      <c r="H2747" s="15">
        <v>0</v>
      </c>
      <c r="I2747" s="8">
        <f t="shared" si="2311"/>
        <v>0</v>
      </c>
      <c r="J2747" s="8">
        <v>0</v>
      </c>
      <c r="K2747" s="8">
        <v>0</v>
      </c>
      <c r="L2747" s="8">
        <f t="shared" si="2308"/>
        <v>0</v>
      </c>
      <c r="M2747" s="8">
        <f t="shared" si="2309"/>
        <v>0</v>
      </c>
    </row>
    <row r="2748" spans="1:13" ht="15" customHeight="1" x14ac:dyDescent="0.25">
      <c r="A2748" s="24">
        <v>42809</v>
      </c>
      <c r="B2748" s="9" t="s">
        <v>15</v>
      </c>
      <c r="C2748" s="9">
        <v>5000</v>
      </c>
      <c r="D2748" s="9" t="s">
        <v>10</v>
      </c>
      <c r="E2748" s="19">
        <v>193</v>
      </c>
      <c r="F2748" s="19">
        <v>193</v>
      </c>
      <c r="G2748" s="9">
        <v>0</v>
      </c>
      <c r="H2748" s="15">
        <v>0</v>
      </c>
      <c r="I2748" s="8">
        <f t="shared" si="2311"/>
        <v>0</v>
      </c>
      <c r="J2748" s="8">
        <v>0</v>
      </c>
      <c r="K2748" s="8">
        <v>0</v>
      </c>
      <c r="L2748" s="8">
        <f t="shared" si="2308"/>
        <v>0</v>
      </c>
      <c r="M2748" s="8">
        <f t="shared" si="2309"/>
        <v>0</v>
      </c>
    </row>
    <row r="2749" spans="1:13" ht="15" customHeight="1" x14ac:dyDescent="0.25">
      <c r="A2749" s="24">
        <v>42809</v>
      </c>
      <c r="B2749" s="9" t="s">
        <v>20</v>
      </c>
      <c r="C2749" s="9">
        <v>1250</v>
      </c>
      <c r="D2749" s="9" t="s">
        <v>10</v>
      </c>
      <c r="E2749" s="19">
        <v>193</v>
      </c>
      <c r="F2749" s="19">
        <v>193</v>
      </c>
      <c r="G2749" s="9">
        <v>0</v>
      </c>
      <c r="H2749" s="15">
        <v>0</v>
      </c>
      <c r="I2749" s="8">
        <f t="shared" si="2311"/>
        <v>0</v>
      </c>
      <c r="J2749" s="8">
        <v>0</v>
      </c>
      <c r="K2749" s="8">
        <v>0</v>
      </c>
      <c r="L2749" s="8">
        <f t="shared" si="2308"/>
        <v>0</v>
      </c>
      <c r="M2749" s="8">
        <f t="shared" si="2309"/>
        <v>0</v>
      </c>
    </row>
    <row r="2750" spans="1:13" ht="15" customHeight="1" x14ac:dyDescent="0.25">
      <c r="A2750" s="24">
        <v>42809</v>
      </c>
      <c r="B2750" s="9" t="s">
        <v>19</v>
      </c>
      <c r="C2750" s="9">
        <v>100</v>
      </c>
      <c r="D2750" s="9" t="s">
        <v>11</v>
      </c>
      <c r="E2750" s="19">
        <v>27790</v>
      </c>
      <c r="F2750" s="19">
        <v>27790</v>
      </c>
      <c r="G2750" s="9">
        <v>0</v>
      </c>
      <c r="H2750" s="15">
        <v>0</v>
      </c>
      <c r="I2750" s="8">
        <f t="shared" si="2311"/>
        <v>0</v>
      </c>
      <c r="J2750" s="8">
        <v>0</v>
      </c>
      <c r="K2750" s="8">
        <v>0</v>
      </c>
      <c r="L2750" s="8">
        <f t="shared" si="2308"/>
        <v>0</v>
      </c>
      <c r="M2750" s="8">
        <f t="shared" si="2309"/>
        <v>0</v>
      </c>
    </row>
    <row r="2751" spans="1:13" ht="15" customHeight="1" x14ac:dyDescent="0.25">
      <c r="A2751" s="24">
        <v>42808</v>
      </c>
      <c r="B2751" s="9" t="s">
        <v>19</v>
      </c>
      <c r="C2751" s="9">
        <v>100</v>
      </c>
      <c r="D2751" s="9" t="s">
        <v>11</v>
      </c>
      <c r="E2751" s="19">
        <v>28275</v>
      </c>
      <c r="F2751" s="19">
        <v>28125</v>
      </c>
      <c r="G2751" s="9">
        <v>0</v>
      </c>
      <c r="H2751" s="15">
        <v>0</v>
      </c>
      <c r="I2751" s="8">
        <f t="shared" si="2311"/>
        <v>15000</v>
      </c>
      <c r="J2751" s="8">
        <v>0</v>
      </c>
      <c r="K2751" s="8">
        <v>0</v>
      </c>
      <c r="L2751" s="8">
        <f t="shared" si="2308"/>
        <v>150</v>
      </c>
      <c r="M2751" s="8">
        <f t="shared" si="2309"/>
        <v>15000</v>
      </c>
    </row>
    <row r="2752" spans="1:13" ht="15" customHeight="1" x14ac:dyDescent="0.25">
      <c r="A2752" s="24">
        <v>42808</v>
      </c>
      <c r="B2752" s="9" t="s">
        <v>20</v>
      </c>
      <c r="C2752" s="9">
        <v>1250</v>
      </c>
      <c r="D2752" s="9" t="s">
        <v>11</v>
      </c>
      <c r="E2752" s="19">
        <v>200.5</v>
      </c>
      <c r="F2752" s="19">
        <v>199</v>
      </c>
      <c r="G2752" s="9">
        <v>0</v>
      </c>
      <c r="H2752" s="15">
        <v>0</v>
      </c>
      <c r="I2752" s="8">
        <f t="shared" si="2311"/>
        <v>1875</v>
      </c>
      <c r="J2752" s="8">
        <v>0</v>
      </c>
      <c r="K2752" s="8">
        <v>0</v>
      </c>
      <c r="L2752" s="8">
        <f t="shared" si="2308"/>
        <v>1.5</v>
      </c>
      <c r="M2752" s="8">
        <f t="shared" si="2309"/>
        <v>1875</v>
      </c>
    </row>
    <row r="2753" spans="1:13" ht="15" customHeight="1" x14ac:dyDescent="0.25">
      <c r="A2753" s="24">
        <v>42808</v>
      </c>
      <c r="B2753" s="9" t="s">
        <v>16</v>
      </c>
      <c r="C2753" s="9">
        <v>100</v>
      </c>
      <c r="D2753" s="9" t="s">
        <v>11</v>
      </c>
      <c r="E2753" s="19">
        <v>3210</v>
      </c>
      <c r="F2753" s="19">
        <v>3190</v>
      </c>
      <c r="G2753" s="9">
        <v>0</v>
      </c>
      <c r="H2753" s="15">
        <v>0</v>
      </c>
      <c r="I2753" s="8">
        <f t="shared" si="2311"/>
        <v>2000</v>
      </c>
      <c r="J2753" s="8">
        <v>0</v>
      </c>
      <c r="K2753" s="8">
        <v>0</v>
      </c>
      <c r="L2753" s="8">
        <f t="shared" si="2308"/>
        <v>20</v>
      </c>
      <c r="M2753" s="8">
        <f t="shared" si="2309"/>
        <v>2000</v>
      </c>
    </row>
    <row r="2754" spans="1:13" ht="15" customHeight="1" x14ac:dyDescent="0.25">
      <c r="A2754" s="24">
        <v>42804</v>
      </c>
      <c r="B2754" s="9" t="s">
        <v>17</v>
      </c>
      <c r="C2754" s="9">
        <v>500</v>
      </c>
      <c r="D2754" s="9" t="s">
        <v>11</v>
      </c>
      <c r="E2754" s="19">
        <v>178.5</v>
      </c>
      <c r="F2754" s="19">
        <v>178.5</v>
      </c>
      <c r="G2754" s="9">
        <v>0</v>
      </c>
      <c r="H2754" s="15">
        <v>0</v>
      </c>
      <c r="I2754" s="8">
        <f t="shared" si="2311"/>
        <v>0</v>
      </c>
      <c r="J2754" s="8">
        <v>0</v>
      </c>
      <c r="K2754" s="8">
        <v>0</v>
      </c>
      <c r="L2754" s="8">
        <f t="shared" si="2308"/>
        <v>0</v>
      </c>
      <c r="M2754" s="8">
        <f t="shared" si="2309"/>
        <v>0</v>
      </c>
    </row>
    <row r="2755" spans="1:13" ht="15" customHeight="1" x14ac:dyDescent="0.25">
      <c r="A2755" s="24">
        <v>42804</v>
      </c>
      <c r="B2755" s="9" t="s">
        <v>15</v>
      </c>
      <c r="C2755" s="9">
        <v>500</v>
      </c>
      <c r="D2755" s="9" t="s">
        <v>11</v>
      </c>
      <c r="E2755" s="19">
        <v>149.69999999999999</v>
      </c>
      <c r="F2755" s="19">
        <v>149.69999999999999</v>
      </c>
      <c r="G2755" s="9">
        <v>0</v>
      </c>
      <c r="H2755" s="15">
        <v>0</v>
      </c>
      <c r="I2755" s="8">
        <f t="shared" si="2311"/>
        <v>0</v>
      </c>
      <c r="J2755" s="8">
        <v>0</v>
      </c>
      <c r="K2755" s="8">
        <v>0</v>
      </c>
      <c r="L2755" s="8">
        <f t="shared" si="2308"/>
        <v>0</v>
      </c>
      <c r="M2755" s="8">
        <f t="shared" si="2309"/>
        <v>0</v>
      </c>
    </row>
    <row r="2756" spans="1:13" ht="15" customHeight="1" x14ac:dyDescent="0.25">
      <c r="A2756" s="24">
        <v>42803</v>
      </c>
      <c r="B2756" s="9" t="s">
        <v>16</v>
      </c>
      <c r="C2756" s="9">
        <v>100</v>
      </c>
      <c r="D2756" s="9" t="s">
        <v>11</v>
      </c>
      <c r="E2756" s="19">
        <v>3390</v>
      </c>
      <c r="F2756" s="19">
        <v>3365</v>
      </c>
      <c r="G2756" s="9">
        <v>3325</v>
      </c>
      <c r="H2756" s="15">
        <v>0</v>
      </c>
      <c r="I2756" s="8">
        <f t="shared" si="2311"/>
        <v>2500</v>
      </c>
      <c r="J2756" s="8">
        <v>0</v>
      </c>
      <c r="K2756" s="8">
        <v>0</v>
      </c>
      <c r="L2756" s="8">
        <f t="shared" si="2308"/>
        <v>25</v>
      </c>
      <c r="M2756" s="8">
        <f t="shared" si="2309"/>
        <v>2500</v>
      </c>
    </row>
    <row r="2757" spans="1:13" ht="15" customHeight="1" x14ac:dyDescent="0.25">
      <c r="A2757" s="24">
        <v>42803</v>
      </c>
      <c r="B2757" s="9" t="s">
        <v>16</v>
      </c>
      <c r="C2757" s="9">
        <v>100</v>
      </c>
      <c r="D2757" s="9" t="s">
        <v>11</v>
      </c>
      <c r="E2757" s="19">
        <v>3390</v>
      </c>
      <c r="F2757" s="19">
        <v>3365</v>
      </c>
      <c r="G2757" s="9">
        <v>3325</v>
      </c>
      <c r="H2757" s="15">
        <v>0</v>
      </c>
      <c r="I2757" s="8">
        <f t="shared" si="2311"/>
        <v>2500</v>
      </c>
      <c r="J2757" s="8">
        <v>0</v>
      </c>
      <c r="K2757" s="8">
        <v>0</v>
      </c>
      <c r="L2757" s="8">
        <f t="shared" si="2308"/>
        <v>25</v>
      </c>
      <c r="M2757" s="8">
        <f t="shared" si="2309"/>
        <v>2500</v>
      </c>
    </row>
    <row r="2758" spans="1:13" ht="15" customHeight="1" x14ac:dyDescent="0.25">
      <c r="A2758" s="24">
        <v>42802</v>
      </c>
      <c r="B2758" s="9" t="s">
        <v>18</v>
      </c>
      <c r="C2758" s="9">
        <v>100</v>
      </c>
      <c r="D2758" s="9" t="s">
        <v>11</v>
      </c>
      <c r="E2758" s="19">
        <v>387</v>
      </c>
      <c r="F2758" s="19">
        <v>387</v>
      </c>
      <c r="G2758" s="9">
        <v>0</v>
      </c>
      <c r="H2758" s="15">
        <v>0</v>
      </c>
      <c r="I2758" s="8">
        <f t="shared" si="2311"/>
        <v>0</v>
      </c>
      <c r="J2758" s="8">
        <v>0</v>
      </c>
      <c r="K2758" s="8">
        <v>0</v>
      </c>
      <c r="L2758" s="8">
        <f t="shared" si="2308"/>
        <v>0</v>
      </c>
      <c r="M2758" s="8">
        <f t="shared" si="2309"/>
        <v>0</v>
      </c>
    </row>
    <row r="2759" spans="1:13" ht="15" customHeight="1" x14ac:dyDescent="0.25">
      <c r="A2759" s="24">
        <v>42802</v>
      </c>
      <c r="B2759" s="9" t="s">
        <v>16</v>
      </c>
      <c r="C2759" s="9">
        <v>100</v>
      </c>
      <c r="D2759" s="9" t="s">
        <v>10</v>
      </c>
      <c r="E2759" s="19">
        <v>3525</v>
      </c>
      <c r="F2759" s="19">
        <v>3525</v>
      </c>
      <c r="G2759" s="9">
        <v>0</v>
      </c>
      <c r="H2759" s="15">
        <v>0</v>
      </c>
      <c r="I2759" s="8">
        <f t="shared" si="2311"/>
        <v>0</v>
      </c>
      <c r="J2759" s="8">
        <v>0</v>
      </c>
      <c r="K2759" s="8">
        <v>0</v>
      </c>
      <c r="L2759" s="8">
        <f t="shared" ref="L2759:L2822" si="2312">(J2759+I2759+K2759)/C2759</f>
        <v>0</v>
      </c>
      <c r="M2759" s="8">
        <f t="shared" ref="M2759:M2822" si="2313">L2759*C2759</f>
        <v>0</v>
      </c>
    </row>
    <row r="2760" spans="1:13" ht="15" customHeight="1" x14ac:dyDescent="0.25">
      <c r="A2760" s="24">
        <v>42801</v>
      </c>
      <c r="B2760" s="9" t="s">
        <v>20</v>
      </c>
      <c r="C2760" s="9">
        <v>1250</v>
      </c>
      <c r="D2760" s="9" t="s">
        <v>10</v>
      </c>
      <c r="E2760" s="19">
        <v>190.3</v>
      </c>
      <c r="F2760" s="19">
        <v>190.3</v>
      </c>
      <c r="G2760" s="9">
        <v>0</v>
      </c>
      <c r="H2760" s="15">
        <v>0</v>
      </c>
      <c r="I2760" s="8">
        <f t="shared" si="2311"/>
        <v>0</v>
      </c>
      <c r="J2760" s="8">
        <v>0</v>
      </c>
      <c r="K2760" s="8">
        <v>0</v>
      </c>
      <c r="L2760" s="8">
        <f t="shared" si="2312"/>
        <v>0</v>
      </c>
      <c r="M2760" s="8">
        <f t="shared" si="2313"/>
        <v>0</v>
      </c>
    </row>
    <row r="2761" spans="1:13" ht="15" customHeight="1" x14ac:dyDescent="0.25">
      <c r="A2761" s="24">
        <v>42801</v>
      </c>
      <c r="B2761" s="9" t="s">
        <v>19</v>
      </c>
      <c r="C2761" s="9">
        <v>100</v>
      </c>
      <c r="D2761" s="9" t="s">
        <v>11</v>
      </c>
      <c r="E2761" s="19">
        <v>28935</v>
      </c>
      <c r="F2761" s="19">
        <v>28885</v>
      </c>
      <c r="G2761" s="9">
        <v>0</v>
      </c>
      <c r="H2761" s="15">
        <v>0</v>
      </c>
      <c r="I2761" s="8">
        <f t="shared" si="2311"/>
        <v>5000</v>
      </c>
      <c r="J2761" s="8">
        <v>0</v>
      </c>
      <c r="K2761" s="8">
        <v>0</v>
      </c>
      <c r="L2761" s="8">
        <f t="shared" si="2312"/>
        <v>50</v>
      </c>
      <c r="M2761" s="8">
        <f t="shared" si="2313"/>
        <v>5000</v>
      </c>
    </row>
    <row r="2762" spans="1:13" ht="15" customHeight="1" x14ac:dyDescent="0.25">
      <c r="A2762" s="24">
        <v>42800</v>
      </c>
      <c r="B2762" s="9" t="s">
        <v>16</v>
      </c>
      <c r="C2762" s="9">
        <v>100</v>
      </c>
      <c r="D2762" s="9" t="s">
        <v>10</v>
      </c>
      <c r="E2762" s="19">
        <v>3535</v>
      </c>
      <c r="F2762" s="19">
        <v>3535</v>
      </c>
      <c r="G2762" s="9">
        <v>0</v>
      </c>
      <c r="H2762" s="15">
        <v>0</v>
      </c>
      <c r="I2762" s="8">
        <f t="shared" si="2311"/>
        <v>0</v>
      </c>
      <c r="J2762" s="8">
        <v>0</v>
      </c>
      <c r="K2762" s="8">
        <v>0</v>
      </c>
      <c r="L2762" s="8">
        <f t="shared" si="2312"/>
        <v>0</v>
      </c>
      <c r="M2762" s="8">
        <f t="shared" si="2313"/>
        <v>0</v>
      </c>
    </row>
    <row r="2763" spans="1:13" ht="15" customHeight="1" x14ac:dyDescent="0.25">
      <c r="A2763" s="24">
        <v>42797</v>
      </c>
      <c r="B2763" s="9" t="s">
        <v>21</v>
      </c>
      <c r="C2763" s="9">
        <v>250</v>
      </c>
      <c r="D2763" s="9" t="s">
        <v>10</v>
      </c>
      <c r="E2763" s="19">
        <v>727.2</v>
      </c>
      <c r="F2763" s="19">
        <v>731</v>
      </c>
      <c r="G2763" s="9">
        <v>0</v>
      </c>
      <c r="H2763" s="15">
        <v>0</v>
      </c>
      <c r="I2763" s="8">
        <f t="shared" si="2311"/>
        <v>949.99999999998863</v>
      </c>
      <c r="J2763" s="8">
        <v>0</v>
      </c>
      <c r="K2763" s="8">
        <v>0</v>
      </c>
      <c r="L2763" s="8">
        <f t="shared" si="2312"/>
        <v>3.7999999999999545</v>
      </c>
      <c r="M2763" s="8">
        <f t="shared" si="2313"/>
        <v>949.99999999998863</v>
      </c>
    </row>
    <row r="2764" spans="1:13" ht="15" customHeight="1" x14ac:dyDescent="0.25">
      <c r="A2764" s="24">
        <v>42794</v>
      </c>
      <c r="B2764" s="9" t="s">
        <v>15</v>
      </c>
      <c r="C2764" s="9">
        <v>5000</v>
      </c>
      <c r="D2764" s="9" t="s">
        <v>10</v>
      </c>
      <c r="E2764" s="19">
        <v>151.19999999999999</v>
      </c>
      <c r="F2764" s="19">
        <v>151.69999999999999</v>
      </c>
      <c r="G2764" s="9">
        <v>0</v>
      </c>
      <c r="H2764" s="15">
        <v>0</v>
      </c>
      <c r="I2764" s="8">
        <f t="shared" si="2311"/>
        <v>2500</v>
      </c>
      <c r="J2764" s="8">
        <v>0</v>
      </c>
      <c r="K2764" s="8">
        <v>0</v>
      </c>
      <c r="L2764" s="8">
        <f t="shared" si="2312"/>
        <v>0.5</v>
      </c>
      <c r="M2764" s="8">
        <f t="shared" si="2313"/>
        <v>2500</v>
      </c>
    </row>
    <row r="2765" spans="1:13" ht="15" customHeight="1" x14ac:dyDescent="0.25">
      <c r="A2765" s="24">
        <v>42794</v>
      </c>
      <c r="B2765" s="9" t="s">
        <v>17</v>
      </c>
      <c r="C2765" s="9">
        <v>5000</v>
      </c>
      <c r="D2765" s="9" t="s">
        <v>10</v>
      </c>
      <c r="E2765" s="19">
        <v>187.9</v>
      </c>
      <c r="F2765" s="19">
        <v>188.4</v>
      </c>
      <c r="G2765" s="9">
        <v>0</v>
      </c>
      <c r="H2765" s="15">
        <v>0</v>
      </c>
      <c r="I2765" s="8">
        <f t="shared" si="2311"/>
        <v>2500</v>
      </c>
      <c r="J2765" s="8">
        <v>0</v>
      </c>
      <c r="K2765" s="8">
        <v>0</v>
      </c>
      <c r="L2765" s="8">
        <f t="shared" si="2312"/>
        <v>0.5</v>
      </c>
      <c r="M2765" s="8">
        <f t="shared" si="2313"/>
        <v>2500</v>
      </c>
    </row>
    <row r="2766" spans="1:13" ht="15" customHeight="1" x14ac:dyDescent="0.25">
      <c r="A2766" s="24">
        <v>42794</v>
      </c>
      <c r="B2766" s="9" t="s">
        <v>18</v>
      </c>
      <c r="C2766" s="9">
        <v>1000</v>
      </c>
      <c r="D2766" s="9" t="s">
        <v>11</v>
      </c>
      <c r="E2766" s="19">
        <v>394</v>
      </c>
      <c r="F2766" s="19">
        <v>394</v>
      </c>
      <c r="G2766" s="9">
        <v>0</v>
      </c>
      <c r="H2766" s="15">
        <v>0</v>
      </c>
      <c r="I2766" s="8">
        <f t="shared" ref="I2766:I2797" si="2314">(IF(D2766="SELL",E2766-F2766,IF(D2766="BUY",F2766-E2766)))*C2766</f>
        <v>0</v>
      </c>
      <c r="J2766" s="8">
        <v>0</v>
      </c>
      <c r="K2766" s="8">
        <v>0</v>
      </c>
      <c r="L2766" s="8">
        <f t="shared" si="2312"/>
        <v>0</v>
      </c>
      <c r="M2766" s="8">
        <f t="shared" si="2313"/>
        <v>0</v>
      </c>
    </row>
    <row r="2767" spans="1:13" ht="15" customHeight="1" x14ac:dyDescent="0.25">
      <c r="A2767" s="24">
        <v>42794</v>
      </c>
      <c r="B2767" s="9" t="s">
        <v>16</v>
      </c>
      <c r="C2767" s="9">
        <v>100</v>
      </c>
      <c r="D2767" s="9" t="s">
        <v>11</v>
      </c>
      <c r="E2767" s="19">
        <v>3620</v>
      </c>
      <c r="F2767" s="19">
        <v>3601</v>
      </c>
      <c r="G2767" s="9">
        <v>0</v>
      </c>
      <c r="H2767" s="15">
        <v>0</v>
      </c>
      <c r="I2767" s="8">
        <f t="shared" si="2314"/>
        <v>1900</v>
      </c>
      <c r="J2767" s="8">
        <v>0</v>
      </c>
      <c r="K2767" s="8">
        <v>0</v>
      </c>
      <c r="L2767" s="8">
        <f t="shared" si="2312"/>
        <v>19</v>
      </c>
      <c r="M2767" s="8">
        <f t="shared" si="2313"/>
        <v>1900</v>
      </c>
    </row>
    <row r="2768" spans="1:13" ht="15" customHeight="1" x14ac:dyDescent="0.25">
      <c r="A2768" s="24">
        <v>42783</v>
      </c>
      <c r="B2768" s="9" t="s">
        <v>17</v>
      </c>
      <c r="C2768" s="9">
        <v>5000</v>
      </c>
      <c r="D2768" s="9" t="s">
        <v>11</v>
      </c>
      <c r="E2768" s="19">
        <v>190</v>
      </c>
      <c r="F2768" s="19">
        <v>189.9</v>
      </c>
      <c r="G2768" s="9">
        <v>189.4</v>
      </c>
      <c r="H2768" s="15">
        <v>0</v>
      </c>
      <c r="I2768" s="8">
        <f t="shared" si="2314"/>
        <v>499.99999999997158</v>
      </c>
      <c r="J2768" s="8">
        <f>(IF(D2768="SELL",IF(G2768="",0,F2768-G2768),IF(D2768="BUY",IF(G2768="",0,G2768-F2768))))*C2768</f>
        <v>2500</v>
      </c>
      <c r="K2768" s="8">
        <v>0</v>
      </c>
      <c r="L2768" s="8">
        <f t="shared" si="2312"/>
        <v>0.59999999999999432</v>
      </c>
      <c r="M2768" s="8">
        <f t="shared" si="2313"/>
        <v>2999.9999999999718</v>
      </c>
    </row>
    <row r="2769" spans="1:22" ht="15" customHeight="1" x14ac:dyDescent="0.25">
      <c r="A2769" s="25">
        <v>42781</v>
      </c>
      <c r="B2769" s="20" t="s">
        <v>20</v>
      </c>
      <c r="C2769" s="20">
        <v>1250</v>
      </c>
      <c r="D2769" s="20" t="s">
        <v>10</v>
      </c>
      <c r="E2769" s="30">
        <v>197.9</v>
      </c>
      <c r="F2769" s="30">
        <v>199.7</v>
      </c>
      <c r="G2769" s="20">
        <v>0</v>
      </c>
      <c r="H2769" s="16">
        <v>0</v>
      </c>
      <c r="I2769" s="8">
        <f t="shared" si="2314"/>
        <v>2249.9999999999786</v>
      </c>
      <c r="J2769" s="8">
        <v>0</v>
      </c>
      <c r="K2769" s="8">
        <v>0</v>
      </c>
      <c r="L2769" s="8">
        <f t="shared" si="2312"/>
        <v>1.7999999999999829</v>
      </c>
      <c r="M2769" s="8">
        <f t="shared" si="2313"/>
        <v>2249.9999999999786</v>
      </c>
    </row>
    <row r="2770" spans="1:22" ht="15" customHeight="1" x14ac:dyDescent="0.25">
      <c r="A2770" s="25">
        <v>42780</v>
      </c>
      <c r="B2770" s="20" t="s">
        <v>19</v>
      </c>
      <c r="C2770" s="20">
        <v>100</v>
      </c>
      <c r="D2770" s="20" t="s">
        <v>10</v>
      </c>
      <c r="E2770" s="30">
        <v>29100</v>
      </c>
      <c r="F2770" s="30">
        <v>29150</v>
      </c>
      <c r="G2770" s="20">
        <v>0</v>
      </c>
      <c r="H2770" s="16">
        <v>0</v>
      </c>
      <c r="I2770" s="8">
        <f t="shared" si="2314"/>
        <v>5000</v>
      </c>
      <c r="J2770" s="8">
        <v>0</v>
      </c>
      <c r="K2770" s="8">
        <v>0</v>
      </c>
      <c r="L2770" s="8">
        <f t="shared" si="2312"/>
        <v>50</v>
      </c>
      <c r="M2770" s="8">
        <f t="shared" si="2313"/>
        <v>5000</v>
      </c>
    </row>
    <row r="2771" spans="1:22" ht="15" customHeight="1" x14ac:dyDescent="0.25">
      <c r="A2771" s="25">
        <v>42779</v>
      </c>
      <c r="B2771" s="20" t="s">
        <v>20</v>
      </c>
      <c r="C2771" s="20">
        <v>1250</v>
      </c>
      <c r="D2771" s="20" t="s">
        <v>11</v>
      </c>
      <c r="E2771" s="30">
        <v>199.6</v>
      </c>
      <c r="F2771" s="30">
        <v>199.3</v>
      </c>
      <c r="G2771" s="20">
        <v>0</v>
      </c>
      <c r="H2771" s="16">
        <v>0</v>
      </c>
      <c r="I2771" s="8">
        <f t="shared" si="2314"/>
        <v>374.99999999997868</v>
      </c>
      <c r="J2771" s="8">
        <v>0</v>
      </c>
      <c r="K2771" s="8">
        <v>0</v>
      </c>
      <c r="L2771" s="8">
        <f t="shared" si="2312"/>
        <v>0.29999999999998295</v>
      </c>
      <c r="M2771" s="8">
        <f t="shared" si="2313"/>
        <v>374.99999999997868</v>
      </c>
    </row>
    <row r="2772" spans="1:22" ht="15" customHeight="1" x14ac:dyDescent="0.25">
      <c r="A2772" s="25">
        <v>42779</v>
      </c>
      <c r="B2772" s="20" t="s">
        <v>18</v>
      </c>
      <c r="C2772" s="20">
        <v>1000</v>
      </c>
      <c r="D2772" s="20" t="s">
        <v>10</v>
      </c>
      <c r="E2772" s="30">
        <v>413.3</v>
      </c>
      <c r="F2772" s="30">
        <v>411.25</v>
      </c>
      <c r="G2772" s="20">
        <v>0</v>
      </c>
      <c r="H2772" s="16">
        <v>0</v>
      </c>
      <c r="I2772" s="8">
        <f t="shared" si="2314"/>
        <v>-2050.0000000000114</v>
      </c>
      <c r="J2772" s="8">
        <v>0</v>
      </c>
      <c r="K2772" s="8">
        <v>0</v>
      </c>
      <c r="L2772" s="8">
        <f t="shared" si="2312"/>
        <v>-2.0500000000000114</v>
      </c>
      <c r="M2772" s="8">
        <f t="shared" si="2313"/>
        <v>-2050.0000000000114</v>
      </c>
    </row>
    <row r="2773" spans="1:22" ht="15" customHeight="1" x14ac:dyDescent="0.25">
      <c r="A2773" s="25">
        <v>42779</v>
      </c>
      <c r="B2773" s="20" t="s">
        <v>17</v>
      </c>
      <c r="C2773" s="20">
        <v>5000</v>
      </c>
      <c r="D2773" s="20" t="s">
        <v>10</v>
      </c>
      <c r="E2773" s="30">
        <v>197.85</v>
      </c>
      <c r="F2773" s="30">
        <v>198.45</v>
      </c>
      <c r="G2773" s="20">
        <v>0</v>
      </c>
      <c r="H2773" s="16">
        <v>0</v>
      </c>
      <c r="I2773" s="8">
        <f t="shared" si="2314"/>
        <v>2999.9999999999718</v>
      </c>
      <c r="J2773" s="8">
        <v>0</v>
      </c>
      <c r="K2773" s="8">
        <v>0</v>
      </c>
      <c r="L2773" s="8">
        <f t="shared" si="2312"/>
        <v>0.59999999999999432</v>
      </c>
      <c r="M2773" s="8">
        <f t="shared" si="2313"/>
        <v>2999.9999999999718</v>
      </c>
    </row>
    <row r="2774" spans="1:22" ht="15" customHeight="1" x14ac:dyDescent="0.25">
      <c r="A2774" s="25">
        <v>42779</v>
      </c>
      <c r="B2774" s="20" t="s">
        <v>15</v>
      </c>
      <c r="C2774" s="20">
        <v>5000</v>
      </c>
      <c r="D2774" s="20" t="s">
        <v>10</v>
      </c>
      <c r="E2774" s="30">
        <v>164.3</v>
      </c>
      <c r="F2774" s="30">
        <v>164.9</v>
      </c>
      <c r="G2774" s="20">
        <v>0</v>
      </c>
      <c r="H2774" s="16">
        <v>0</v>
      </c>
      <c r="I2774" s="8">
        <f t="shared" si="2314"/>
        <v>2999.9999999999718</v>
      </c>
      <c r="J2774" s="8">
        <v>0</v>
      </c>
      <c r="K2774" s="8">
        <v>0</v>
      </c>
      <c r="L2774" s="8">
        <f t="shared" si="2312"/>
        <v>0.59999999999999432</v>
      </c>
      <c r="M2774" s="8">
        <f t="shared" si="2313"/>
        <v>2999.9999999999718</v>
      </c>
    </row>
    <row r="2775" spans="1:22" ht="15" customHeight="1" thickBot="1" x14ac:dyDescent="0.3">
      <c r="A2775" s="25">
        <v>42776</v>
      </c>
      <c r="B2775" s="20" t="s">
        <v>19</v>
      </c>
      <c r="C2775" s="20">
        <v>100</v>
      </c>
      <c r="D2775" s="20" t="s">
        <v>11</v>
      </c>
      <c r="E2775" s="30">
        <v>28945</v>
      </c>
      <c r="F2775" s="30">
        <v>29014</v>
      </c>
      <c r="G2775" s="20">
        <v>0</v>
      </c>
      <c r="H2775" s="16">
        <v>0</v>
      </c>
      <c r="I2775" s="8">
        <f t="shared" si="2314"/>
        <v>-6900</v>
      </c>
      <c r="J2775" s="8">
        <v>0</v>
      </c>
      <c r="K2775" s="8">
        <v>0</v>
      </c>
      <c r="L2775" s="8">
        <f t="shared" si="2312"/>
        <v>-69</v>
      </c>
      <c r="M2775" s="8">
        <f t="shared" si="2313"/>
        <v>-6900</v>
      </c>
    </row>
    <row r="2776" spans="1:22" ht="15.75" thickBot="1" x14ac:dyDescent="0.3">
      <c r="A2776" s="25">
        <v>42776</v>
      </c>
      <c r="B2776" s="20" t="s">
        <v>17</v>
      </c>
      <c r="C2776" s="20">
        <v>5000</v>
      </c>
      <c r="D2776" s="20" t="s">
        <v>10</v>
      </c>
      <c r="E2776" s="30">
        <v>193.6</v>
      </c>
      <c r="F2776" s="30">
        <v>194.2</v>
      </c>
      <c r="G2776" s="20">
        <v>195.2</v>
      </c>
      <c r="H2776" s="16">
        <v>0</v>
      </c>
      <c r="I2776" s="8">
        <f t="shared" si="2314"/>
        <v>2999.9999999999718</v>
      </c>
      <c r="J2776" s="8">
        <f>(IF(D2776="SELL",IF(G2776="",0,F2776-G2776),IF(D2776="BUY",IF(G2776="",0,G2776-F2776))))*C2776</f>
        <v>5000</v>
      </c>
      <c r="K2776" s="8">
        <v>0</v>
      </c>
      <c r="L2776" s="8">
        <f t="shared" si="2312"/>
        <v>1.5999999999999943</v>
      </c>
      <c r="M2776" s="8">
        <f t="shared" si="2313"/>
        <v>7999.9999999999718</v>
      </c>
      <c r="N2776" s="3"/>
      <c r="O2776" s="3"/>
      <c r="P2776" s="3"/>
      <c r="Q2776" s="4"/>
      <c r="R2776" s="5"/>
      <c r="S2776" s="5"/>
      <c r="T2776" s="5"/>
      <c r="U2776" s="5"/>
      <c r="V2776" s="5"/>
    </row>
    <row r="2777" spans="1:22" ht="15.75" thickBot="1" x14ac:dyDescent="0.3">
      <c r="A2777" s="25">
        <v>42776</v>
      </c>
      <c r="B2777" s="20" t="s">
        <v>18</v>
      </c>
      <c r="C2777" s="20">
        <v>1000</v>
      </c>
      <c r="D2777" s="20" t="s">
        <v>10</v>
      </c>
      <c r="E2777" s="30">
        <v>395.6</v>
      </c>
      <c r="F2777" s="30">
        <v>397.2</v>
      </c>
      <c r="G2777" s="20">
        <v>0</v>
      </c>
      <c r="H2777" s="16">
        <v>0</v>
      </c>
      <c r="I2777" s="8">
        <f t="shared" si="2314"/>
        <v>1599.9999999999659</v>
      </c>
      <c r="J2777" s="8">
        <v>0</v>
      </c>
      <c r="K2777" s="8">
        <v>0</v>
      </c>
      <c r="L2777" s="8">
        <f t="shared" si="2312"/>
        <v>1.5999999999999659</v>
      </c>
      <c r="M2777" s="8">
        <f t="shared" si="2313"/>
        <v>1599.9999999999659</v>
      </c>
      <c r="N2777" s="3"/>
      <c r="O2777" s="3"/>
      <c r="P2777" s="3"/>
      <c r="Q2777" s="4"/>
      <c r="R2777" s="5"/>
      <c r="S2777" s="5"/>
      <c r="T2777" s="5"/>
      <c r="U2777" s="5"/>
      <c r="V2777" s="5"/>
    </row>
    <row r="2778" spans="1:22" ht="15.75" thickBot="1" x14ac:dyDescent="0.3">
      <c r="A2778" s="25">
        <v>42776</v>
      </c>
      <c r="B2778" s="20" t="s">
        <v>17</v>
      </c>
      <c r="C2778" s="20">
        <v>5000</v>
      </c>
      <c r="D2778" s="20" t="s">
        <v>10</v>
      </c>
      <c r="E2778" s="30">
        <v>191.8</v>
      </c>
      <c r="F2778" s="30">
        <v>192.4</v>
      </c>
      <c r="G2778" s="20">
        <v>193.4</v>
      </c>
      <c r="H2778" s="16">
        <v>0</v>
      </c>
      <c r="I2778" s="8">
        <f t="shared" si="2314"/>
        <v>2999.9999999999718</v>
      </c>
      <c r="J2778" s="8">
        <f>(IF(D2778="SELL",IF(G2778="",0,F2778-G2778),IF(D2778="BUY",IF(G2778="",0,G2778-F2778))))*C2778</f>
        <v>5000</v>
      </c>
      <c r="K2778" s="8">
        <v>0</v>
      </c>
      <c r="L2778" s="8">
        <f t="shared" si="2312"/>
        <v>1.5999999999999943</v>
      </c>
      <c r="M2778" s="8">
        <f t="shared" si="2313"/>
        <v>7999.9999999999718</v>
      </c>
      <c r="N2778" s="3"/>
      <c r="O2778" s="3"/>
      <c r="P2778" s="3"/>
      <c r="Q2778" s="4"/>
      <c r="R2778" s="5"/>
      <c r="S2778" s="5"/>
      <c r="T2778" s="5"/>
      <c r="U2778" s="5"/>
      <c r="V2778" s="5"/>
    </row>
    <row r="2779" spans="1:22" ht="15.75" thickBot="1" x14ac:dyDescent="0.3">
      <c r="A2779" s="25">
        <v>42775</v>
      </c>
      <c r="B2779" s="20" t="s">
        <v>16</v>
      </c>
      <c r="C2779" s="20">
        <v>100</v>
      </c>
      <c r="D2779" s="20" t="s">
        <v>10</v>
      </c>
      <c r="E2779" s="30">
        <v>3532</v>
      </c>
      <c r="F2779" s="30">
        <v>3552</v>
      </c>
      <c r="G2779" s="20">
        <v>0</v>
      </c>
      <c r="H2779" s="16">
        <v>0</v>
      </c>
      <c r="I2779" s="8">
        <f t="shared" si="2314"/>
        <v>2000</v>
      </c>
      <c r="J2779" s="8">
        <v>0</v>
      </c>
      <c r="K2779" s="8">
        <v>0</v>
      </c>
      <c r="L2779" s="8">
        <f t="shared" si="2312"/>
        <v>20</v>
      </c>
      <c r="M2779" s="8">
        <f t="shared" si="2313"/>
        <v>2000</v>
      </c>
      <c r="N2779" s="3"/>
      <c r="O2779" s="3"/>
      <c r="P2779" s="3"/>
      <c r="Q2779" s="6"/>
      <c r="R2779" s="5"/>
      <c r="S2779" s="5"/>
      <c r="T2779" s="5"/>
      <c r="U2779" s="5"/>
      <c r="V2779" s="5"/>
    </row>
    <row r="2780" spans="1:22" ht="15.75" thickBot="1" x14ac:dyDescent="0.3">
      <c r="A2780" s="25">
        <v>42775</v>
      </c>
      <c r="B2780" s="20" t="s">
        <v>14</v>
      </c>
      <c r="C2780" s="20">
        <v>30</v>
      </c>
      <c r="D2780" s="20" t="s">
        <v>10</v>
      </c>
      <c r="E2780" s="30">
        <v>42240</v>
      </c>
      <c r="F2780" s="30">
        <v>42060</v>
      </c>
      <c r="G2780" s="20">
        <v>0</v>
      </c>
      <c r="H2780" s="16">
        <v>0</v>
      </c>
      <c r="I2780" s="8">
        <f t="shared" si="2314"/>
        <v>-5400</v>
      </c>
      <c r="J2780" s="8">
        <v>0</v>
      </c>
      <c r="K2780" s="8">
        <v>0</v>
      </c>
      <c r="L2780" s="8">
        <f t="shared" si="2312"/>
        <v>-180</v>
      </c>
      <c r="M2780" s="8">
        <f t="shared" si="2313"/>
        <v>-5400</v>
      </c>
      <c r="N2780" s="3"/>
      <c r="O2780" s="3"/>
      <c r="P2780" s="3"/>
      <c r="Q2780" s="4"/>
      <c r="R2780" s="5"/>
      <c r="S2780" s="5"/>
      <c r="T2780" s="5"/>
      <c r="U2780" s="5"/>
      <c r="V2780" s="5"/>
    </row>
    <row r="2781" spans="1:22" ht="15.75" thickBot="1" x14ac:dyDescent="0.3">
      <c r="A2781" s="25">
        <v>42775</v>
      </c>
      <c r="B2781" s="20" t="s">
        <v>17</v>
      </c>
      <c r="C2781" s="20">
        <v>5000</v>
      </c>
      <c r="D2781" s="20" t="s">
        <v>10</v>
      </c>
      <c r="E2781" s="30">
        <v>191</v>
      </c>
      <c r="F2781" s="30">
        <v>191.6</v>
      </c>
      <c r="G2781" s="20">
        <v>0</v>
      </c>
      <c r="H2781" s="16">
        <v>0</v>
      </c>
      <c r="I2781" s="8">
        <f t="shared" si="2314"/>
        <v>2999.9999999999718</v>
      </c>
      <c r="J2781" s="8">
        <v>0</v>
      </c>
      <c r="K2781" s="8">
        <v>0</v>
      </c>
      <c r="L2781" s="8">
        <f t="shared" si="2312"/>
        <v>0.59999999999999432</v>
      </c>
      <c r="M2781" s="8">
        <f t="shared" si="2313"/>
        <v>2999.9999999999718</v>
      </c>
      <c r="N2781" s="3"/>
      <c r="O2781" s="3"/>
      <c r="P2781" s="3"/>
      <c r="Q2781" s="4"/>
      <c r="R2781" s="5"/>
      <c r="S2781" s="5"/>
      <c r="T2781" s="5"/>
      <c r="U2781" s="5"/>
      <c r="V2781" s="5"/>
    </row>
    <row r="2782" spans="1:22" ht="15.75" thickBot="1" x14ac:dyDescent="0.3">
      <c r="A2782" s="25">
        <v>42774</v>
      </c>
      <c r="B2782" s="20" t="s">
        <v>18</v>
      </c>
      <c r="C2782" s="20">
        <v>1000</v>
      </c>
      <c r="D2782" s="20" t="s">
        <v>10</v>
      </c>
      <c r="E2782" s="30">
        <v>396.2</v>
      </c>
      <c r="F2782" s="30">
        <v>398.2</v>
      </c>
      <c r="G2782" s="20">
        <v>0</v>
      </c>
      <c r="H2782" s="16">
        <v>0</v>
      </c>
      <c r="I2782" s="8">
        <f t="shared" si="2314"/>
        <v>2000</v>
      </c>
      <c r="J2782" s="8">
        <v>0</v>
      </c>
      <c r="K2782" s="8">
        <v>0</v>
      </c>
      <c r="L2782" s="8">
        <f t="shared" si="2312"/>
        <v>2</v>
      </c>
      <c r="M2782" s="8">
        <f t="shared" si="2313"/>
        <v>2000</v>
      </c>
      <c r="N2782" s="3"/>
      <c r="O2782" s="3"/>
      <c r="P2782" s="3"/>
      <c r="Q2782" s="6"/>
      <c r="R2782" s="5"/>
      <c r="S2782" s="5"/>
      <c r="T2782" s="5"/>
      <c r="U2782" s="5"/>
      <c r="V2782" s="5"/>
    </row>
    <row r="2783" spans="1:22" ht="15.75" thickBot="1" x14ac:dyDescent="0.3">
      <c r="A2783" s="25">
        <v>42774</v>
      </c>
      <c r="B2783" s="20" t="s">
        <v>17</v>
      </c>
      <c r="C2783" s="20">
        <v>5000</v>
      </c>
      <c r="D2783" s="20" t="s">
        <v>10</v>
      </c>
      <c r="E2783" s="30">
        <v>188.9</v>
      </c>
      <c r="F2783" s="30">
        <v>189.5</v>
      </c>
      <c r="G2783" s="20">
        <v>190.5</v>
      </c>
      <c r="H2783" s="16">
        <v>0</v>
      </c>
      <c r="I2783" s="8">
        <f t="shared" si="2314"/>
        <v>2999.9999999999718</v>
      </c>
      <c r="J2783" s="8">
        <f>(IF(D2783="SELL",IF(G2783="",0,F2783-G2783),IF(D2783="BUY",IF(G2783="",0,G2783-F2783))))*C2783</f>
        <v>5000</v>
      </c>
      <c r="K2783" s="8">
        <v>0</v>
      </c>
      <c r="L2783" s="8">
        <f t="shared" si="2312"/>
        <v>1.5999999999999943</v>
      </c>
      <c r="M2783" s="8">
        <f t="shared" si="2313"/>
        <v>7999.9999999999718</v>
      </c>
      <c r="N2783" s="3"/>
      <c r="O2783" s="3"/>
      <c r="P2783" s="3"/>
      <c r="Q2783" s="4"/>
      <c r="R2783" s="5"/>
      <c r="S2783" s="5"/>
      <c r="T2783" s="5"/>
      <c r="U2783" s="5"/>
      <c r="V2783" s="5"/>
    </row>
    <row r="2784" spans="1:22" ht="15.75" thickBot="1" x14ac:dyDescent="0.3">
      <c r="A2784" s="25">
        <v>42774</v>
      </c>
      <c r="B2784" s="20" t="s">
        <v>15</v>
      </c>
      <c r="C2784" s="20">
        <v>5000</v>
      </c>
      <c r="D2784" s="20" t="s">
        <v>10</v>
      </c>
      <c r="E2784" s="30">
        <v>158.5</v>
      </c>
      <c r="F2784" s="30">
        <v>159.1</v>
      </c>
      <c r="G2784" s="20">
        <v>160.1</v>
      </c>
      <c r="H2784" s="16">
        <v>0</v>
      </c>
      <c r="I2784" s="8">
        <f t="shared" si="2314"/>
        <v>2999.9999999999718</v>
      </c>
      <c r="J2784" s="8">
        <f>(IF(D2784="SELL",IF(G2784="",0,F2784-G2784),IF(D2784="BUY",IF(G2784="",0,G2784-F2784))))*C2784</f>
        <v>5000</v>
      </c>
      <c r="K2784" s="8">
        <v>0</v>
      </c>
      <c r="L2784" s="8">
        <f t="shared" si="2312"/>
        <v>1.5999999999999943</v>
      </c>
      <c r="M2784" s="8">
        <f t="shared" si="2313"/>
        <v>7999.9999999999718</v>
      </c>
      <c r="N2784" s="3"/>
      <c r="O2784" s="3"/>
      <c r="P2784" s="3"/>
      <c r="Q2784" s="4"/>
      <c r="R2784" s="5"/>
      <c r="S2784" s="5"/>
      <c r="T2784" s="5"/>
      <c r="U2784" s="5"/>
      <c r="V2784" s="5"/>
    </row>
    <row r="2785" spans="1:22" ht="15.75" thickBot="1" x14ac:dyDescent="0.3">
      <c r="A2785" s="25">
        <v>42773</v>
      </c>
      <c r="B2785" s="20" t="s">
        <v>20</v>
      </c>
      <c r="C2785" s="20">
        <v>1250</v>
      </c>
      <c r="D2785" s="20" t="s">
        <v>10</v>
      </c>
      <c r="E2785" s="30">
        <v>208</v>
      </c>
      <c r="F2785" s="30">
        <v>209.8</v>
      </c>
      <c r="G2785" s="20">
        <v>211.9</v>
      </c>
      <c r="H2785" s="16">
        <v>0</v>
      </c>
      <c r="I2785" s="8">
        <f t="shared" si="2314"/>
        <v>2250.0000000000141</v>
      </c>
      <c r="J2785" s="8">
        <f>(IF(D2785="SELL",IF(G2785="",0,F2785-G2785),IF(D2785="BUY",IF(G2785="",0,G2785-F2785))))*C2785</f>
        <v>2624.9999999999927</v>
      </c>
      <c r="K2785" s="8">
        <v>0</v>
      </c>
      <c r="L2785" s="8">
        <f t="shared" si="2312"/>
        <v>3.9000000000000057</v>
      </c>
      <c r="M2785" s="8">
        <f t="shared" si="2313"/>
        <v>4875.0000000000073</v>
      </c>
      <c r="N2785" s="3"/>
      <c r="O2785" s="3"/>
      <c r="P2785" s="3"/>
      <c r="Q2785" s="4"/>
      <c r="R2785" s="5"/>
      <c r="S2785" s="5"/>
      <c r="T2785" s="5"/>
    </row>
    <row r="2786" spans="1:22" ht="15.75" thickBot="1" x14ac:dyDescent="0.3">
      <c r="A2786" s="25">
        <v>42773</v>
      </c>
      <c r="B2786" s="20" t="s">
        <v>16</v>
      </c>
      <c r="C2786" s="20">
        <v>100</v>
      </c>
      <c r="D2786" s="20" t="s">
        <v>11</v>
      </c>
      <c r="E2786" s="30">
        <v>3576</v>
      </c>
      <c r="F2786" s="30">
        <v>3556</v>
      </c>
      <c r="G2786" s="20">
        <v>3515</v>
      </c>
      <c r="H2786" s="16">
        <v>0</v>
      </c>
      <c r="I2786" s="8">
        <f t="shared" si="2314"/>
        <v>2000</v>
      </c>
      <c r="J2786" s="8">
        <f>(IF(D2786="SELL",IF(G2786="",0,F2786-G2786),IF(D2786="BUY",IF(G2786="",0,G2786-F2786))))*C2786</f>
        <v>4100</v>
      </c>
      <c r="K2786" s="8">
        <v>0</v>
      </c>
      <c r="L2786" s="8">
        <f t="shared" si="2312"/>
        <v>61</v>
      </c>
      <c r="M2786" s="8">
        <f t="shared" si="2313"/>
        <v>6100</v>
      </c>
      <c r="N2786" s="3"/>
      <c r="O2786" s="3"/>
      <c r="P2786" s="3"/>
      <c r="Q2786" s="4"/>
      <c r="R2786" s="5"/>
      <c r="S2786" s="5"/>
      <c r="T2786" s="5"/>
      <c r="U2786" s="5"/>
      <c r="V2786" s="5"/>
    </row>
    <row r="2787" spans="1:22" ht="15.75" thickBot="1" x14ac:dyDescent="0.3">
      <c r="A2787" s="25">
        <v>42773</v>
      </c>
      <c r="B2787" s="20" t="s">
        <v>19</v>
      </c>
      <c r="C2787" s="20">
        <v>100</v>
      </c>
      <c r="D2787" s="20" t="s">
        <v>10</v>
      </c>
      <c r="E2787" s="30">
        <v>29290</v>
      </c>
      <c r="F2787" s="30">
        <v>29221</v>
      </c>
      <c r="G2787" s="20">
        <v>0</v>
      </c>
      <c r="H2787" s="16">
        <v>0</v>
      </c>
      <c r="I2787" s="8">
        <f t="shared" si="2314"/>
        <v>-6900</v>
      </c>
      <c r="J2787" s="8">
        <v>0</v>
      </c>
      <c r="K2787" s="8">
        <v>0</v>
      </c>
      <c r="L2787" s="8">
        <f t="shared" si="2312"/>
        <v>-69</v>
      </c>
      <c r="M2787" s="8">
        <f t="shared" si="2313"/>
        <v>-6900</v>
      </c>
      <c r="N2787" s="3"/>
      <c r="O2787" s="3"/>
      <c r="P2787" s="3"/>
      <c r="Q2787" s="6"/>
      <c r="R2787" s="5"/>
      <c r="S2787" s="5"/>
      <c r="T2787" s="5"/>
      <c r="U2787" s="5"/>
      <c r="V2787" s="5"/>
    </row>
    <row r="2788" spans="1:22" ht="15.75" thickBot="1" x14ac:dyDescent="0.3">
      <c r="A2788" s="25">
        <v>42772</v>
      </c>
      <c r="B2788" s="20" t="s">
        <v>19</v>
      </c>
      <c r="C2788" s="20">
        <v>100</v>
      </c>
      <c r="D2788" s="20" t="s">
        <v>10</v>
      </c>
      <c r="E2788" s="30">
        <v>29043</v>
      </c>
      <c r="F2788" s="30">
        <v>29080</v>
      </c>
      <c r="G2788" s="20">
        <v>29194</v>
      </c>
      <c r="H2788" s="16">
        <v>0</v>
      </c>
      <c r="I2788" s="8">
        <f t="shared" si="2314"/>
        <v>3700</v>
      </c>
      <c r="J2788" s="8">
        <f>(IF(D2788="SELL",IF(G2788="",0,F2788-G2788),IF(D2788="BUY",IF(G2788="",0,G2788-F2788))))*C2788</f>
        <v>11400</v>
      </c>
      <c r="K2788" s="8">
        <v>0</v>
      </c>
      <c r="L2788" s="8">
        <f t="shared" si="2312"/>
        <v>151</v>
      </c>
      <c r="M2788" s="8">
        <f t="shared" si="2313"/>
        <v>15100</v>
      </c>
      <c r="N2788" s="3"/>
      <c r="O2788" s="3"/>
      <c r="P2788" s="3"/>
      <c r="Q2788" s="4"/>
      <c r="R2788" s="5"/>
      <c r="S2788" s="5"/>
      <c r="T2788" s="5"/>
      <c r="U2788" s="5"/>
      <c r="V2788" s="5"/>
    </row>
    <row r="2789" spans="1:22" ht="15.75" thickBot="1" x14ac:dyDescent="0.3">
      <c r="A2789" s="25">
        <v>42772</v>
      </c>
      <c r="B2789" s="20" t="s">
        <v>15</v>
      </c>
      <c r="C2789" s="20">
        <v>5000</v>
      </c>
      <c r="D2789" s="20" t="s">
        <v>11</v>
      </c>
      <c r="E2789" s="30">
        <v>155.9</v>
      </c>
      <c r="F2789" s="30">
        <v>155.30000000000001</v>
      </c>
      <c r="G2789" s="20">
        <v>0</v>
      </c>
      <c r="H2789" s="16">
        <v>0</v>
      </c>
      <c r="I2789" s="8">
        <f t="shared" si="2314"/>
        <v>2999.9999999999718</v>
      </c>
      <c r="J2789" s="8">
        <v>0</v>
      </c>
      <c r="K2789" s="8">
        <v>0</v>
      </c>
      <c r="L2789" s="8">
        <f t="shared" si="2312"/>
        <v>0.59999999999999432</v>
      </c>
      <c r="M2789" s="8">
        <f t="shared" si="2313"/>
        <v>2999.9999999999718</v>
      </c>
      <c r="N2789" s="3"/>
      <c r="O2789" s="3"/>
      <c r="P2789" s="3"/>
      <c r="Q2789" s="4"/>
      <c r="R2789" s="5"/>
      <c r="S2789" s="5"/>
      <c r="T2789" s="5"/>
      <c r="U2789" s="5"/>
      <c r="V2789" s="5"/>
    </row>
    <row r="2790" spans="1:22" ht="15.75" thickBot="1" x14ac:dyDescent="0.3">
      <c r="A2790" s="25">
        <v>42772</v>
      </c>
      <c r="B2790" s="20" t="s">
        <v>14</v>
      </c>
      <c r="C2790" s="20">
        <v>30</v>
      </c>
      <c r="D2790" s="20" t="s">
        <v>10</v>
      </c>
      <c r="E2790" s="30">
        <v>42080</v>
      </c>
      <c r="F2790" s="30">
        <v>42195</v>
      </c>
      <c r="G2790" s="20">
        <v>42457</v>
      </c>
      <c r="H2790" s="16">
        <v>0</v>
      </c>
      <c r="I2790" s="8">
        <f t="shared" si="2314"/>
        <v>3450</v>
      </c>
      <c r="J2790" s="8">
        <f>(IF(D2790="SELL",IF(G2790="",0,F2790-G2790),IF(D2790="BUY",IF(G2790="",0,G2790-F2790))))*C2790</f>
        <v>7860</v>
      </c>
      <c r="K2790" s="8">
        <v>0</v>
      </c>
      <c r="L2790" s="8">
        <f t="shared" si="2312"/>
        <v>377</v>
      </c>
      <c r="M2790" s="8">
        <f t="shared" si="2313"/>
        <v>11310</v>
      </c>
      <c r="N2790" s="3"/>
      <c r="O2790" s="3"/>
      <c r="P2790" s="3"/>
      <c r="Q2790" s="4"/>
      <c r="R2790" s="5"/>
      <c r="S2790" s="5"/>
      <c r="T2790" s="5"/>
      <c r="U2790" s="5"/>
      <c r="V2790" s="5"/>
    </row>
    <row r="2791" spans="1:22" ht="15.75" thickBot="1" x14ac:dyDescent="0.3">
      <c r="A2791" s="25">
        <v>42769</v>
      </c>
      <c r="B2791" s="20" t="s">
        <v>15</v>
      </c>
      <c r="C2791" s="20">
        <v>5000</v>
      </c>
      <c r="D2791" s="20" t="s">
        <v>11</v>
      </c>
      <c r="E2791" s="30">
        <v>155.4</v>
      </c>
      <c r="F2791" s="30">
        <v>154.80000000000001</v>
      </c>
      <c r="G2791" s="20">
        <v>153.80000000000001</v>
      </c>
      <c r="H2791" s="16">
        <v>0</v>
      </c>
      <c r="I2791" s="8">
        <f t="shared" si="2314"/>
        <v>2999.9999999999718</v>
      </c>
      <c r="J2791" s="8">
        <f>(IF(D2791="SELL",IF(G2791="",0,F2791-G2791),IF(D2791="BUY",IF(G2791="",0,G2791-F2791))))*C2791</f>
        <v>5000</v>
      </c>
      <c r="K2791" s="8">
        <v>0</v>
      </c>
      <c r="L2791" s="8">
        <f t="shared" si="2312"/>
        <v>1.5999999999999943</v>
      </c>
      <c r="M2791" s="8">
        <f t="shared" si="2313"/>
        <v>7999.9999999999718</v>
      </c>
      <c r="N2791" s="3"/>
      <c r="O2791" s="3"/>
      <c r="P2791" s="3"/>
      <c r="Q2791" s="4"/>
      <c r="R2791" s="5"/>
      <c r="S2791" s="5"/>
      <c r="T2791" s="5"/>
      <c r="U2791" s="5"/>
      <c r="V2791" s="5"/>
    </row>
    <row r="2792" spans="1:22" ht="15.75" thickBot="1" x14ac:dyDescent="0.3">
      <c r="A2792" s="25">
        <v>42769</v>
      </c>
      <c r="B2792" s="20" t="s">
        <v>18</v>
      </c>
      <c r="C2792" s="20">
        <v>1000</v>
      </c>
      <c r="D2792" s="20" t="s">
        <v>11</v>
      </c>
      <c r="E2792" s="30">
        <v>394.7</v>
      </c>
      <c r="F2792" s="30">
        <v>391.7</v>
      </c>
      <c r="G2792" s="20">
        <v>0</v>
      </c>
      <c r="H2792" s="16">
        <v>0</v>
      </c>
      <c r="I2792" s="8">
        <f t="shared" si="2314"/>
        <v>3000</v>
      </c>
      <c r="J2792" s="8">
        <v>0</v>
      </c>
      <c r="K2792" s="8">
        <v>0</v>
      </c>
      <c r="L2792" s="8">
        <f t="shared" si="2312"/>
        <v>3</v>
      </c>
      <c r="M2792" s="8">
        <f t="shared" si="2313"/>
        <v>3000</v>
      </c>
      <c r="N2792" s="3"/>
      <c r="O2792" s="3"/>
      <c r="P2792" s="3"/>
      <c r="Q2792" s="4"/>
      <c r="R2792" s="5"/>
      <c r="S2792" s="5"/>
      <c r="T2792" s="5"/>
      <c r="U2792" s="5"/>
      <c r="V2792" s="5"/>
    </row>
    <row r="2793" spans="1:22" ht="15.75" thickBot="1" x14ac:dyDescent="0.3">
      <c r="A2793" s="25">
        <v>42769</v>
      </c>
      <c r="B2793" s="20" t="s">
        <v>16</v>
      </c>
      <c r="C2793" s="20">
        <v>100</v>
      </c>
      <c r="D2793" s="20" t="s">
        <v>10</v>
      </c>
      <c r="E2793" s="30">
        <v>3638</v>
      </c>
      <c r="F2793" s="30">
        <v>3605</v>
      </c>
      <c r="G2793" s="20">
        <v>0</v>
      </c>
      <c r="H2793" s="16">
        <v>0</v>
      </c>
      <c r="I2793" s="8">
        <f t="shared" si="2314"/>
        <v>-3300</v>
      </c>
      <c r="J2793" s="8">
        <v>0</v>
      </c>
      <c r="K2793" s="8">
        <v>0</v>
      </c>
      <c r="L2793" s="8">
        <f t="shared" si="2312"/>
        <v>-33</v>
      </c>
      <c r="M2793" s="8">
        <f t="shared" si="2313"/>
        <v>-3300</v>
      </c>
      <c r="N2793" s="3"/>
      <c r="O2793" s="3"/>
      <c r="P2793" s="3"/>
      <c r="Q2793" s="4"/>
      <c r="R2793" s="5"/>
      <c r="S2793" s="5"/>
      <c r="T2793" s="5"/>
      <c r="U2793" s="5"/>
      <c r="V2793" s="5"/>
    </row>
    <row r="2794" spans="1:22" ht="15.75" thickBot="1" x14ac:dyDescent="0.3">
      <c r="A2794" s="25">
        <v>42769</v>
      </c>
      <c r="B2794" s="20" t="s">
        <v>14</v>
      </c>
      <c r="C2794" s="20">
        <v>30</v>
      </c>
      <c r="D2794" s="20" t="s">
        <v>10</v>
      </c>
      <c r="E2794" s="30">
        <v>41722</v>
      </c>
      <c r="F2794" s="30">
        <v>41872</v>
      </c>
      <c r="G2794" s="20">
        <v>0</v>
      </c>
      <c r="H2794" s="16">
        <v>0</v>
      </c>
      <c r="I2794" s="8">
        <f t="shared" si="2314"/>
        <v>4500</v>
      </c>
      <c r="J2794" s="8">
        <v>0</v>
      </c>
      <c r="K2794" s="8">
        <v>0</v>
      </c>
      <c r="L2794" s="8">
        <f t="shared" si="2312"/>
        <v>150</v>
      </c>
      <c r="M2794" s="8">
        <f t="shared" si="2313"/>
        <v>4500</v>
      </c>
      <c r="N2794" s="3"/>
      <c r="O2794" s="3"/>
      <c r="P2794" s="3"/>
      <c r="Q2794" s="6"/>
      <c r="R2794" s="5"/>
      <c r="S2794" s="5"/>
      <c r="T2794" s="5"/>
      <c r="U2794" s="5"/>
      <c r="V2794" s="5"/>
    </row>
    <row r="2795" spans="1:22" ht="15.75" thickBot="1" x14ac:dyDescent="0.3">
      <c r="A2795" s="25">
        <v>42768</v>
      </c>
      <c r="B2795" s="20" t="s">
        <v>15</v>
      </c>
      <c r="C2795" s="20">
        <v>5000</v>
      </c>
      <c r="D2795" s="20" t="s">
        <v>11</v>
      </c>
      <c r="E2795" s="30">
        <v>158</v>
      </c>
      <c r="F2795" s="30">
        <v>157.4</v>
      </c>
      <c r="G2795" s="20">
        <v>156.4</v>
      </c>
      <c r="H2795" s="16">
        <v>0</v>
      </c>
      <c r="I2795" s="8">
        <f t="shared" si="2314"/>
        <v>2999.9999999999718</v>
      </c>
      <c r="J2795" s="8">
        <f>(IF(D2795="SELL",IF(G2795="",0,F2795-G2795),IF(D2795="BUY",IF(G2795="",0,G2795-F2795))))*C2795</f>
        <v>5000</v>
      </c>
      <c r="K2795" s="8">
        <v>0</v>
      </c>
      <c r="L2795" s="8">
        <f t="shared" si="2312"/>
        <v>1.5999999999999943</v>
      </c>
      <c r="M2795" s="8">
        <f t="shared" si="2313"/>
        <v>7999.9999999999718</v>
      </c>
      <c r="N2795" s="3"/>
      <c r="O2795" s="3"/>
      <c r="P2795" s="3"/>
      <c r="Q2795" s="4"/>
      <c r="R2795" s="5"/>
      <c r="S2795" s="5"/>
      <c r="T2795" s="5"/>
    </row>
    <row r="2796" spans="1:22" ht="15.75" thickBot="1" x14ac:dyDescent="0.3">
      <c r="A2796" s="25">
        <v>42768</v>
      </c>
      <c r="B2796" s="20" t="s">
        <v>20</v>
      </c>
      <c r="C2796" s="20">
        <v>1250</v>
      </c>
      <c r="D2796" s="20" t="s">
        <v>11</v>
      </c>
      <c r="E2796" s="30">
        <v>212.3</v>
      </c>
      <c r="F2796" s="30">
        <v>210.5</v>
      </c>
      <c r="G2796" s="20">
        <v>0</v>
      </c>
      <c r="H2796" s="16">
        <v>0</v>
      </c>
      <c r="I2796" s="8">
        <f t="shared" si="2314"/>
        <v>2250.0000000000141</v>
      </c>
      <c r="J2796" s="8">
        <v>0</v>
      </c>
      <c r="K2796" s="8">
        <v>0</v>
      </c>
      <c r="L2796" s="8">
        <f t="shared" si="2312"/>
        <v>1.8000000000000114</v>
      </c>
      <c r="M2796" s="8">
        <f t="shared" si="2313"/>
        <v>2250.0000000000141</v>
      </c>
      <c r="N2796" s="3"/>
      <c r="O2796" s="3"/>
      <c r="P2796" s="3"/>
      <c r="Q2796" s="4"/>
      <c r="R2796" s="5"/>
      <c r="S2796" s="5"/>
      <c r="T2796" s="5"/>
      <c r="U2796" s="5"/>
      <c r="V2796" s="5"/>
    </row>
    <row r="2797" spans="1:22" ht="15.75" thickBot="1" x14ac:dyDescent="0.3">
      <c r="A2797" s="25">
        <v>42768</v>
      </c>
      <c r="B2797" s="20" t="s">
        <v>14</v>
      </c>
      <c r="C2797" s="20">
        <v>30</v>
      </c>
      <c r="D2797" s="20" t="s">
        <v>10</v>
      </c>
      <c r="E2797" s="30">
        <v>42250</v>
      </c>
      <c r="F2797" s="30">
        <v>42400</v>
      </c>
      <c r="G2797" s="20">
        <v>0</v>
      </c>
      <c r="H2797" s="16">
        <v>0</v>
      </c>
      <c r="I2797" s="8">
        <f t="shared" si="2314"/>
        <v>4500</v>
      </c>
      <c r="J2797" s="8">
        <v>0</v>
      </c>
      <c r="K2797" s="8">
        <v>0</v>
      </c>
      <c r="L2797" s="8">
        <f t="shared" si="2312"/>
        <v>150</v>
      </c>
      <c r="M2797" s="8">
        <f t="shared" si="2313"/>
        <v>4500</v>
      </c>
      <c r="N2797" s="3"/>
      <c r="O2797" s="3"/>
      <c r="P2797" s="3"/>
      <c r="Q2797" s="4"/>
      <c r="R2797" s="5"/>
      <c r="S2797" s="5"/>
      <c r="T2797" s="5"/>
      <c r="U2797" s="5"/>
      <c r="V2797" s="5"/>
    </row>
    <row r="2798" spans="1:22" ht="15.75" thickBot="1" x14ac:dyDescent="0.3">
      <c r="A2798" s="25">
        <v>42767</v>
      </c>
      <c r="B2798" s="20" t="s">
        <v>19</v>
      </c>
      <c r="C2798" s="20">
        <v>100</v>
      </c>
      <c r="D2798" s="20" t="s">
        <v>10</v>
      </c>
      <c r="E2798" s="30">
        <v>28693</v>
      </c>
      <c r="F2798" s="30">
        <v>28742</v>
      </c>
      <c r="G2798" s="20">
        <v>28844</v>
      </c>
      <c r="H2798" s="16">
        <v>0</v>
      </c>
      <c r="I2798" s="8">
        <f t="shared" ref="I2798:I2829" si="2315">(IF(D2798="SELL",E2798-F2798,IF(D2798="BUY",F2798-E2798)))*C2798</f>
        <v>4900</v>
      </c>
      <c r="J2798" s="8">
        <f>(IF(D2798="SELL",IF(G2798="",0,F2798-G2798),IF(D2798="BUY",IF(G2798="",0,G2798-F2798))))*C2798</f>
        <v>10200</v>
      </c>
      <c r="K2798" s="8">
        <v>0</v>
      </c>
      <c r="L2798" s="8">
        <f t="shared" si="2312"/>
        <v>151</v>
      </c>
      <c r="M2798" s="8">
        <f t="shared" si="2313"/>
        <v>15100</v>
      </c>
      <c r="N2798" s="3"/>
      <c r="O2798" s="3"/>
      <c r="P2798" s="3"/>
      <c r="Q2798" s="4"/>
      <c r="R2798" s="5"/>
      <c r="S2798" s="5"/>
      <c r="T2798" s="5"/>
      <c r="U2798" s="5"/>
      <c r="V2798" s="5"/>
    </row>
    <row r="2799" spans="1:22" ht="15.75" thickBot="1" x14ac:dyDescent="0.3">
      <c r="A2799" s="25">
        <v>42767</v>
      </c>
      <c r="B2799" s="20" t="s">
        <v>19</v>
      </c>
      <c r="C2799" s="20">
        <v>100</v>
      </c>
      <c r="D2799" s="20" t="s">
        <v>10</v>
      </c>
      <c r="E2799" s="30">
        <v>28693</v>
      </c>
      <c r="F2799" s="30">
        <v>28742</v>
      </c>
      <c r="G2799" s="20">
        <v>28844</v>
      </c>
      <c r="H2799" s="16">
        <v>0</v>
      </c>
      <c r="I2799" s="8">
        <f t="shared" si="2315"/>
        <v>4900</v>
      </c>
      <c r="J2799" s="8">
        <f>(IF(D2799="SELL",IF(G2799="",0,F2799-G2799),IF(D2799="BUY",IF(G2799="",0,G2799-F2799))))*C2799</f>
        <v>10200</v>
      </c>
      <c r="K2799" s="8">
        <v>0</v>
      </c>
      <c r="L2799" s="8">
        <f t="shared" si="2312"/>
        <v>151</v>
      </c>
      <c r="M2799" s="8">
        <f t="shared" si="2313"/>
        <v>15100</v>
      </c>
      <c r="N2799" s="3"/>
      <c r="O2799" s="3"/>
      <c r="P2799" s="3"/>
      <c r="Q2799" s="6"/>
      <c r="R2799" s="5"/>
      <c r="S2799" s="5"/>
      <c r="T2799" s="5"/>
      <c r="U2799" s="5"/>
      <c r="V2799" s="5"/>
    </row>
    <row r="2800" spans="1:22" ht="15.75" thickBot="1" x14ac:dyDescent="0.3">
      <c r="A2800" s="25">
        <v>42766</v>
      </c>
      <c r="B2800" s="20" t="s">
        <v>15</v>
      </c>
      <c r="C2800" s="20">
        <v>5000</v>
      </c>
      <c r="D2800" s="20" t="s">
        <v>10</v>
      </c>
      <c r="E2800" s="30">
        <v>160.9</v>
      </c>
      <c r="F2800" s="30">
        <v>161.5</v>
      </c>
      <c r="G2800" s="20">
        <v>0</v>
      </c>
      <c r="H2800" s="16">
        <v>0</v>
      </c>
      <c r="I2800" s="8">
        <f t="shared" si="2315"/>
        <v>2999.9999999999718</v>
      </c>
      <c r="J2800" s="8">
        <v>0</v>
      </c>
      <c r="K2800" s="8">
        <v>0</v>
      </c>
      <c r="L2800" s="8">
        <f t="shared" si="2312"/>
        <v>0.59999999999999432</v>
      </c>
      <c r="M2800" s="8">
        <f t="shared" si="2313"/>
        <v>2999.9999999999718</v>
      </c>
      <c r="N2800" s="3"/>
      <c r="O2800" s="3"/>
      <c r="P2800" s="3"/>
      <c r="Q2800" s="6"/>
      <c r="R2800" s="5"/>
      <c r="S2800" s="5"/>
      <c r="T2800" s="5"/>
      <c r="U2800" s="5"/>
      <c r="V2800" s="5"/>
    </row>
    <row r="2801" spans="1:22" ht="15.75" thickBot="1" x14ac:dyDescent="0.3">
      <c r="A2801" s="25">
        <v>42766</v>
      </c>
      <c r="B2801" s="20" t="s">
        <v>14</v>
      </c>
      <c r="C2801" s="20">
        <v>30</v>
      </c>
      <c r="D2801" s="20" t="s">
        <v>11</v>
      </c>
      <c r="E2801" s="30">
        <v>41470</v>
      </c>
      <c r="F2801" s="30">
        <v>41650</v>
      </c>
      <c r="G2801" s="20">
        <v>0</v>
      </c>
      <c r="H2801" s="16">
        <v>0</v>
      </c>
      <c r="I2801" s="8">
        <f t="shared" si="2315"/>
        <v>-5400</v>
      </c>
      <c r="J2801" s="8">
        <v>0</v>
      </c>
      <c r="K2801" s="8">
        <v>0</v>
      </c>
      <c r="L2801" s="8">
        <f t="shared" si="2312"/>
        <v>-180</v>
      </c>
      <c r="M2801" s="8">
        <f t="shared" si="2313"/>
        <v>-5400</v>
      </c>
      <c r="N2801" s="3"/>
      <c r="O2801" s="3"/>
      <c r="P2801" s="3"/>
      <c r="Q2801" s="4"/>
      <c r="R2801" s="5"/>
      <c r="S2801" s="5"/>
      <c r="T2801" s="5"/>
      <c r="U2801" s="5"/>
      <c r="V2801" s="5"/>
    </row>
    <row r="2802" spans="1:22" ht="15.75" thickBot="1" x14ac:dyDescent="0.3">
      <c r="A2802" s="25">
        <v>42766</v>
      </c>
      <c r="B2802" s="20" t="s">
        <v>23</v>
      </c>
      <c r="C2802" s="20">
        <v>250</v>
      </c>
      <c r="D2802" s="20" t="s">
        <v>10</v>
      </c>
      <c r="E2802" s="30">
        <v>658</v>
      </c>
      <c r="F2802" s="30">
        <v>664.5</v>
      </c>
      <c r="G2802" s="20">
        <v>0</v>
      </c>
      <c r="H2802" s="16">
        <v>0</v>
      </c>
      <c r="I2802" s="8">
        <f t="shared" si="2315"/>
        <v>1625</v>
      </c>
      <c r="J2802" s="8">
        <v>0</v>
      </c>
      <c r="K2802" s="8">
        <v>0</v>
      </c>
      <c r="L2802" s="8">
        <f t="shared" si="2312"/>
        <v>6.5</v>
      </c>
      <c r="M2802" s="8">
        <f t="shared" si="2313"/>
        <v>1625</v>
      </c>
      <c r="N2802" s="3"/>
      <c r="O2802" s="3"/>
      <c r="P2802" s="3"/>
      <c r="Q2802" s="4"/>
      <c r="R2802" s="5"/>
      <c r="S2802" s="5"/>
      <c r="T2802" s="5"/>
      <c r="U2802" s="5"/>
      <c r="V2802" s="5"/>
    </row>
    <row r="2803" spans="1:22" ht="15.75" thickBot="1" x14ac:dyDescent="0.3">
      <c r="A2803" s="25">
        <v>42766</v>
      </c>
      <c r="B2803" s="20" t="s">
        <v>19</v>
      </c>
      <c r="C2803" s="20">
        <v>100</v>
      </c>
      <c r="D2803" s="20" t="s">
        <v>10</v>
      </c>
      <c r="E2803" s="30">
        <v>28725</v>
      </c>
      <c r="F2803" s="30">
        <v>28794</v>
      </c>
      <c r="G2803" s="20">
        <v>0</v>
      </c>
      <c r="H2803" s="16">
        <v>0</v>
      </c>
      <c r="I2803" s="8">
        <f t="shared" si="2315"/>
        <v>6900</v>
      </c>
      <c r="J2803" s="8">
        <v>0</v>
      </c>
      <c r="K2803" s="8">
        <v>0</v>
      </c>
      <c r="L2803" s="8">
        <f t="shared" si="2312"/>
        <v>69</v>
      </c>
      <c r="M2803" s="8">
        <f t="shared" si="2313"/>
        <v>6900</v>
      </c>
      <c r="N2803" s="3"/>
      <c r="O2803" s="3"/>
      <c r="P2803" s="3"/>
      <c r="Q2803" s="4"/>
      <c r="R2803" s="5"/>
      <c r="S2803" s="5"/>
      <c r="T2803" s="5"/>
      <c r="U2803" s="5"/>
      <c r="V2803" s="5"/>
    </row>
    <row r="2804" spans="1:22" ht="15.75" thickBot="1" x14ac:dyDescent="0.3">
      <c r="A2804" s="25">
        <v>42766</v>
      </c>
      <c r="B2804" s="20" t="s">
        <v>20</v>
      </c>
      <c r="C2804" s="20">
        <v>1250</v>
      </c>
      <c r="D2804" s="20" t="s">
        <v>11</v>
      </c>
      <c r="E2804" s="30">
        <v>217.5</v>
      </c>
      <c r="F2804" s="30">
        <v>216.8</v>
      </c>
      <c r="G2804" s="20">
        <v>0</v>
      </c>
      <c r="H2804" s="16">
        <v>0</v>
      </c>
      <c r="I2804" s="8">
        <f t="shared" si="2315"/>
        <v>874.99999999998579</v>
      </c>
      <c r="J2804" s="8">
        <v>0</v>
      </c>
      <c r="K2804" s="8">
        <v>0</v>
      </c>
      <c r="L2804" s="8">
        <f t="shared" si="2312"/>
        <v>0.69999999999998863</v>
      </c>
      <c r="M2804" s="8">
        <f t="shared" si="2313"/>
        <v>874.99999999998579</v>
      </c>
      <c r="N2804" s="3"/>
      <c r="O2804" s="3"/>
      <c r="P2804" s="3"/>
      <c r="Q2804" s="4"/>
      <c r="R2804" s="5"/>
      <c r="S2804" s="5"/>
      <c r="T2804" s="5"/>
      <c r="U2804" s="5"/>
      <c r="V2804" s="5"/>
    </row>
    <row r="2805" spans="1:22" ht="15.75" thickBot="1" x14ac:dyDescent="0.3">
      <c r="A2805" s="25">
        <v>42765</v>
      </c>
      <c r="B2805" s="20" t="s">
        <v>18</v>
      </c>
      <c r="C2805" s="20">
        <v>1000</v>
      </c>
      <c r="D2805" s="20" t="s">
        <v>11</v>
      </c>
      <c r="E2805" s="30">
        <v>401</v>
      </c>
      <c r="F2805" s="30">
        <v>399</v>
      </c>
      <c r="G2805" s="20">
        <v>0</v>
      </c>
      <c r="H2805" s="16">
        <v>0</v>
      </c>
      <c r="I2805" s="8">
        <f t="shared" si="2315"/>
        <v>2000</v>
      </c>
      <c r="J2805" s="8">
        <v>0</v>
      </c>
      <c r="K2805" s="8">
        <v>0</v>
      </c>
      <c r="L2805" s="8">
        <f t="shared" si="2312"/>
        <v>2</v>
      </c>
      <c r="M2805" s="8">
        <f t="shared" si="2313"/>
        <v>2000</v>
      </c>
      <c r="N2805" s="3"/>
      <c r="O2805" s="3"/>
      <c r="P2805" s="3"/>
      <c r="Q2805" s="4"/>
      <c r="R2805" s="5"/>
      <c r="S2805" s="5"/>
      <c r="T2805" s="5"/>
    </row>
    <row r="2806" spans="1:22" ht="15.75" thickBot="1" x14ac:dyDescent="0.3">
      <c r="A2806" s="25">
        <v>42765</v>
      </c>
      <c r="B2806" s="20" t="s">
        <v>23</v>
      </c>
      <c r="C2806" s="20">
        <v>250</v>
      </c>
      <c r="D2806" s="20" t="s">
        <v>10</v>
      </c>
      <c r="E2806" s="30">
        <v>650</v>
      </c>
      <c r="F2806" s="30">
        <v>655.29999999999995</v>
      </c>
      <c r="G2806" s="20">
        <v>0</v>
      </c>
      <c r="H2806" s="16">
        <v>0</v>
      </c>
      <c r="I2806" s="8">
        <f t="shared" si="2315"/>
        <v>1324.9999999999886</v>
      </c>
      <c r="J2806" s="8">
        <v>0</v>
      </c>
      <c r="K2806" s="8">
        <v>0</v>
      </c>
      <c r="L2806" s="8">
        <f t="shared" si="2312"/>
        <v>5.2999999999999545</v>
      </c>
      <c r="M2806" s="8">
        <f t="shared" si="2313"/>
        <v>1324.9999999999886</v>
      </c>
      <c r="N2806" s="3"/>
      <c r="O2806" s="3"/>
      <c r="P2806" s="3"/>
      <c r="Q2806" s="4"/>
      <c r="R2806" s="5"/>
      <c r="S2806" s="5"/>
      <c r="T2806" s="5"/>
      <c r="U2806" s="5"/>
      <c r="V2806" s="5"/>
    </row>
    <row r="2807" spans="1:22" ht="15.75" thickBot="1" x14ac:dyDescent="0.3">
      <c r="A2807" s="25">
        <v>42765</v>
      </c>
      <c r="B2807" s="20" t="s">
        <v>17</v>
      </c>
      <c r="C2807" s="20">
        <v>5000</v>
      </c>
      <c r="D2807" s="20" t="s">
        <v>10</v>
      </c>
      <c r="E2807" s="30">
        <v>188.5</v>
      </c>
      <c r="F2807" s="30">
        <v>189.1</v>
      </c>
      <c r="G2807" s="20">
        <v>0</v>
      </c>
      <c r="H2807" s="16">
        <v>0</v>
      </c>
      <c r="I2807" s="8">
        <f t="shared" si="2315"/>
        <v>2999.9999999999718</v>
      </c>
      <c r="J2807" s="8">
        <v>0</v>
      </c>
      <c r="K2807" s="8">
        <v>0</v>
      </c>
      <c r="L2807" s="8">
        <f t="shared" si="2312"/>
        <v>0.59999999999999432</v>
      </c>
      <c r="M2807" s="8">
        <f t="shared" si="2313"/>
        <v>2999.9999999999718</v>
      </c>
      <c r="N2807" s="3"/>
      <c r="O2807" s="3"/>
      <c r="P2807" s="3"/>
      <c r="Q2807" s="4"/>
      <c r="R2807" s="5"/>
      <c r="S2807" s="5"/>
      <c r="T2807" s="5"/>
      <c r="U2807" s="5"/>
      <c r="V2807" s="5"/>
    </row>
    <row r="2808" spans="1:22" ht="15.75" thickBot="1" x14ac:dyDescent="0.3">
      <c r="A2808" s="25">
        <v>42765</v>
      </c>
      <c r="B2808" s="20" t="s">
        <v>16</v>
      </c>
      <c r="C2808" s="20">
        <v>100</v>
      </c>
      <c r="D2808" s="20" t="s">
        <v>11</v>
      </c>
      <c r="E2808" s="30">
        <v>3602</v>
      </c>
      <c r="F2808" s="30">
        <v>3631</v>
      </c>
      <c r="G2808" s="20">
        <v>0</v>
      </c>
      <c r="H2808" s="16">
        <v>0</v>
      </c>
      <c r="I2808" s="8">
        <f t="shared" si="2315"/>
        <v>-2900</v>
      </c>
      <c r="J2808" s="8">
        <v>0</v>
      </c>
      <c r="K2808" s="8">
        <v>0</v>
      </c>
      <c r="L2808" s="8">
        <f t="shared" si="2312"/>
        <v>-29</v>
      </c>
      <c r="M2808" s="8">
        <f t="shared" si="2313"/>
        <v>-2900</v>
      </c>
      <c r="N2808" s="3"/>
      <c r="O2808" s="3"/>
      <c r="P2808" s="3"/>
      <c r="Q2808" s="6"/>
      <c r="R2808" s="5"/>
      <c r="S2808" s="5"/>
      <c r="T2808" s="5"/>
      <c r="U2808" s="5"/>
      <c r="V2808" s="5"/>
    </row>
    <row r="2809" spans="1:22" ht="15.75" thickBot="1" x14ac:dyDescent="0.3">
      <c r="A2809" s="25">
        <v>42765</v>
      </c>
      <c r="B2809" s="20" t="s">
        <v>19</v>
      </c>
      <c r="C2809" s="20">
        <v>100</v>
      </c>
      <c r="D2809" s="20" t="s">
        <v>10</v>
      </c>
      <c r="E2809" s="30">
        <v>28400</v>
      </c>
      <c r="F2809" s="30">
        <v>28450</v>
      </c>
      <c r="G2809" s="20">
        <v>28551</v>
      </c>
      <c r="H2809" s="16">
        <v>0</v>
      </c>
      <c r="I2809" s="8">
        <f t="shared" si="2315"/>
        <v>5000</v>
      </c>
      <c r="J2809" s="8">
        <f>(IF(D2809="SELL",IF(G2809="",0,F2809-G2809),IF(D2809="BUY",IF(G2809="",0,G2809-F2809))))*C2809</f>
        <v>10100</v>
      </c>
      <c r="K2809" s="8">
        <v>0</v>
      </c>
      <c r="L2809" s="8">
        <f t="shared" si="2312"/>
        <v>151</v>
      </c>
      <c r="M2809" s="8">
        <f t="shared" si="2313"/>
        <v>15100</v>
      </c>
      <c r="N2809" s="3"/>
      <c r="O2809" s="3"/>
      <c r="P2809" s="3"/>
      <c r="Q2809" s="4"/>
      <c r="R2809" s="5"/>
      <c r="S2809" s="5"/>
      <c r="T2809" s="5"/>
      <c r="U2809" s="5"/>
      <c r="V2809" s="5"/>
    </row>
    <row r="2810" spans="1:22" ht="15.75" thickBot="1" x14ac:dyDescent="0.3">
      <c r="A2810" s="25">
        <v>42765</v>
      </c>
      <c r="B2810" s="20" t="s">
        <v>17</v>
      </c>
      <c r="C2810" s="20">
        <v>5000</v>
      </c>
      <c r="D2810" s="20" t="s">
        <v>10</v>
      </c>
      <c r="E2810" s="30">
        <v>187.25</v>
      </c>
      <c r="F2810" s="30">
        <v>188</v>
      </c>
      <c r="G2810" s="20">
        <v>0</v>
      </c>
      <c r="H2810" s="16">
        <v>0</v>
      </c>
      <c r="I2810" s="8">
        <f t="shared" si="2315"/>
        <v>3750</v>
      </c>
      <c r="J2810" s="8">
        <v>0</v>
      </c>
      <c r="K2810" s="8">
        <v>0</v>
      </c>
      <c r="L2810" s="8">
        <f t="shared" si="2312"/>
        <v>0.75</v>
      </c>
      <c r="M2810" s="8">
        <f t="shared" si="2313"/>
        <v>3750</v>
      </c>
      <c r="N2810" s="3"/>
      <c r="O2810" s="3"/>
      <c r="P2810" s="3"/>
      <c r="Q2810" s="6"/>
      <c r="R2810" s="5"/>
      <c r="S2810" s="5"/>
      <c r="T2810" s="5"/>
      <c r="U2810" s="5"/>
      <c r="V2810" s="5"/>
    </row>
    <row r="2811" spans="1:22" ht="15.75" thickBot="1" x14ac:dyDescent="0.3">
      <c r="A2811" s="25">
        <v>42765</v>
      </c>
      <c r="B2811" s="20" t="s">
        <v>16</v>
      </c>
      <c r="C2811" s="20">
        <v>100</v>
      </c>
      <c r="D2811" s="20" t="s">
        <v>11</v>
      </c>
      <c r="E2811" s="30">
        <v>3602</v>
      </c>
      <c r="F2811" s="30">
        <v>3631</v>
      </c>
      <c r="G2811" s="20">
        <v>0</v>
      </c>
      <c r="H2811" s="16">
        <v>0</v>
      </c>
      <c r="I2811" s="8">
        <f t="shared" si="2315"/>
        <v>-2900</v>
      </c>
      <c r="J2811" s="8">
        <v>0</v>
      </c>
      <c r="K2811" s="8">
        <v>0</v>
      </c>
      <c r="L2811" s="8">
        <f t="shared" si="2312"/>
        <v>-29</v>
      </c>
      <c r="M2811" s="8">
        <f t="shared" si="2313"/>
        <v>-2900</v>
      </c>
      <c r="N2811" s="3"/>
      <c r="O2811" s="3"/>
      <c r="P2811" s="3"/>
      <c r="Q2811" s="4"/>
      <c r="R2811" s="5"/>
      <c r="S2811" s="5"/>
      <c r="T2811" s="5"/>
      <c r="U2811" s="5"/>
      <c r="V2811" s="5"/>
    </row>
    <row r="2812" spans="1:22" ht="15.75" thickBot="1" x14ac:dyDescent="0.3">
      <c r="A2812" s="25">
        <v>42762</v>
      </c>
      <c r="B2812" s="20" t="s">
        <v>14</v>
      </c>
      <c r="C2812" s="20">
        <v>30</v>
      </c>
      <c r="D2812" s="20" t="s">
        <v>11</v>
      </c>
      <c r="E2812" s="30">
        <v>40666</v>
      </c>
      <c r="F2812" s="30">
        <v>40516</v>
      </c>
      <c r="G2812" s="20">
        <v>0</v>
      </c>
      <c r="H2812" s="16">
        <v>0</v>
      </c>
      <c r="I2812" s="8">
        <f t="shared" si="2315"/>
        <v>4500</v>
      </c>
      <c r="J2812" s="8">
        <v>0</v>
      </c>
      <c r="K2812" s="8">
        <v>0</v>
      </c>
      <c r="L2812" s="8">
        <f t="shared" si="2312"/>
        <v>150</v>
      </c>
      <c r="M2812" s="8">
        <f t="shared" si="2313"/>
        <v>4500</v>
      </c>
      <c r="N2812" s="3"/>
      <c r="O2812" s="3"/>
      <c r="P2812" s="3"/>
      <c r="Q2812" s="4"/>
      <c r="R2812" s="5"/>
      <c r="S2812" s="5"/>
      <c r="T2812" s="5"/>
      <c r="U2812" s="5"/>
      <c r="V2812" s="5"/>
    </row>
    <row r="2813" spans="1:22" ht="15.75" thickBot="1" x14ac:dyDescent="0.3">
      <c r="A2813" s="25">
        <v>42762</v>
      </c>
      <c r="B2813" s="20" t="s">
        <v>23</v>
      </c>
      <c r="C2813" s="20">
        <v>250</v>
      </c>
      <c r="D2813" s="20" t="s">
        <v>10</v>
      </c>
      <c r="E2813" s="30">
        <v>640</v>
      </c>
      <c r="F2813" s="30">
        <v>648</v>
      </c>
      <c r="G2813" s="20">
        <v>0</v>
      </c>
      <c r="H2813" s="16">
        <v>0</v>
      </c>
      <c r="I2813" s="8">
        <f t="shared" si="2315"/>
        <v>2000</v>
      </c>
      <c r="J2813" s="8">
        <v>0</v>
      </c>
      <c r="K2813" s="8">
        <v>0</v>
      </c>
      <c r="L2813" s="8">
        <f t="shared" si="2312"/>
        <v>8</v>
      </c>
      <c r="M2813" s="8">
        <f t="shared" si="2313"/>
        <v>2000</v>
      </c>
      <c r="N2813" s="3"/>
      <c r="O2813" s="3"/>
      <c r="P2813" s="3"/>
      <c r="Q2813" s="4"/>
      <c r="R2813" s="5"/>
      <c r="S2813" s="5"/>
      <c r="T2813" s="5"/>
      <c r="U2813" s="5"/>
      <c r="V2813" s="5"/>
    </row>
    <row r="2814" spans="1:22" ht="15.75" thickBot="1" x14ac:dyDescent="0.3">
      <c r="A2814" s="25">
        <v>42762</v>
      </c>
      <c r="B2814" s="20" t="s">
        <v>16</v>
      </c>
      <c r="C2814" s="20">
        <v>100</v>
      </c>
      <c r="D2814" s="20" t="s">
        <v>10</v>
      </c>
      <c r="E2814" s="30">
        <v>3679</v>
      </c>
      <c r="F2814" s="30">
        <v>3650</v>
      </c>
      <c r="G2814" s="20">
        <v>0</v>
      </c>
      <c r="H2814" s="16">
        <v>0</v>
      </c>
      <c r="I2814" s="8">
        <f t="shared" si="2315"/>
        <v>-2900</v>
      </c>
      <c r="J2814" s="8">
        <v>0</v>
      </c>
      <c r="K2814" s="8">
        <v>0</v>
      </c>
      <c r="L2814" s="8">
        <f t="shared" si="2312"/>
        <v>-29</v>
      </c>
      <c r="M2814" s="8">
        <f t="shared" si="2313"/>
        <v>-2900</v>
      </c>
      <c r="N2814" s="3"/>
      <c r="O2814" s="3"/>
      <c r="P2814" s="3"/>
      <c r="Q2814" s="4"/>
      <c r="R2814" s="5"/>
      <c r="S2814" s="5"/>
      <c r="T2814" s="5"/>
      <c r="U2814" s="5"/>
      <c r="V2814" s="5"/>
    </row>
    <row r="2815" spans="1:22" ht="15.75" thickBot="1" x14ac:dyDescent="0.3">
      <c r="A2815" s="25">
        <v>42760</v>
      </c>
      <c r="B2815" s="20" t="s">
        <v>19</v>
      </c>
      <c r="C2815" s="20">
        <v>100</v>
      </c>
      <c r="D2815" s="20" t="s">
        <v>11</v>
      </c>
      <c r="E2815" s="30">
        <v>28553</v>
      </c>
      <c r="F2815" s="30">
        <v>28515</v>
      </c>
      <c r="G2815" s="20">
        <v>0</v>
      </c>
      <c r="H2815" s="16">
        <v>0</v>
      </c>
      <c r="I2815" s="8">
        <f t="shared" si="2315"/>
        <v>3800</v>
      </c>
      <c r="J2815" s="8">
        <v>0</v>
      </c>
      <c r="K2815" s="8">
        <v>0</v>
      </c>
      <c r="L2815" s="8">
        <f t="shared" si="2312"/>
        <v>38</v>
      </c>
      <c r="M2815" s="8">
        <f t="shared" si="2313"/>
        <v>3800</v>
      </c>
      <c r="N2815" s="3"/>
      <c r="O2815" s="3"/>
      <c r="P2815" s="3"/>
      <c r="Q2815" s="6"/>
      <c r="R2815" s="5"/>
      <c r="S2815" s="5"/>
      <c r="T2815" s="3"/>
    </row>
    <row r="2816" spans="1:22" ht="15.75" thickBot="1" x14ac:dyDescent="0.3">
      <c r="A2816" s="25">
        <v>42759</v>
      </c>
      <c r="B2816" s="20" t="s">
        <v>18</v>
      </c>
      <c r="C2816" s="20">
        <v>1000</v>
      </c>
      <c r="D2816" s="20" t="s">
        <v>10</v>
      </c>
      <c r="E2816" s="30">
        <v>399.3</v>
      </c>
      <c r="F2816" s="30">
        <v>401.2</v>
      </c>
      <c r="G2816" s="20">
        <v>404.1</v>
      </c>
      <c r="H2816" s="16">
        <v>0</v>
      </c>
      <c r="I2816" s="8">
        <f t="shared" si="2315"/>
        <v>1899.9999999999773</v>
      </c>
      <c r="J2816" s="8">
        <f>(IF(D2816="SELL",IF(G2816="",0,F2816-G2816),IF(D2816="BUY",IF(G2816="",0,G2816-F2816))))*C2816</f>
        <v>2900.0000000000341</v>
      </c>
      <c r="K2816" s="8">
        <v>0</v>
      </c>
      <c r="L2816" s="8">
        <f t="shared" si="2312"/>
        <v>4.8000000000000105</v>
      </c>
      <c r="M2816" s="8">
        <f t="shared" si="2313"/>
        <v>4800.0000000000109</v>
      </c>
      <c r="N2816" s="3"/>
      <c r="O2816" s="3"/>
      <c r="P2816" s="3"/>
      <c r="Q2816" s="4"/>
      <c r="R2816" s="5"/>
      <c r="S2816" s="5"/>
      <c r="T2816" s="5"/>
      <c r="U2816" s="5"/>
      <c r="V2816" s="5"/>
    </row>
    <row r="2817" spans="1:22" ht="15.75" thickBot="1" x14ac:dyDescent="0.3">
      <c r="A2817" s="25">
        <v>42759</v>
      </c>
      <c r="B2817" s="20" t="s">
        <v>18</v>
      </c>
      <c r="C2817" s="20">
        <v>1000</v>
      </c>
      <c r="D2817" s="20" t="s">
        <v>10</v>
      </c>
      <c r="E2817" s="30">
        <v>408</v>
      </c>
      <c r="F2817" s="30">
        <v>409</v>
      </c>
      <c r="G2817" s="20">
        <v>0</v>
      </c>
      <c r="H2817" s="16">
        <v>0</v>
      </c>
      <c r="I2817" s="8">
        <f t="shared" si="2315"/>
        <v>1000</v>
      </c>
      <c r="J2817" s="8">
        <v>0</v>
      </c>
      <c r="K2817" s="8">
        <v>0</v>
      </c>
      <c r="L2817" s="8">
        <f t="shared" si="2312"/>
        <v>1</v>
      </c>
      <c r="M2817" s="8">
        <f t="shared" si="2313"/>
        <v>1000</v>
      </c>
      <c r="N2817" s="3"/>
      <c r="O2817" s="3"/>
      <c r="P2817" s="3"/>
      <c r="Q2817" s="4"/>
      <c r="R2817" s="5"/>
      <c r="S2817" s="5"/>
      <c r="T2817" s="5"/>
      <c r="U2817" s="5"/>
      <c r="V2817" s="5"/>
    </row>
    <row r="2818" spans="1:22" ht="15.75" thickBot="1" x14ac:dyDescent="0.3">
      <c r="A2818" s="25">
        <v>42759</v>
      </c>
      <c r="B2818" s="20" t="s">
        <v>16</v>
      </c>
      <c r="C2818" s="20">
        <v>100</v>
      </c>
      <c r="D2818" s="20" t="s">
        <v>10</v>
      </c>
      <c r="E2818" s="30">
        <v>3636</v>
      </c>
      <c r="F2818" s="30">
        <v>3636</v>
      </c>
      <c r="G2818" s="20">
        <v>0</v>
      </c>
      <c r="H2818" s="16">
        <v>0</v>
      </c>
      <c r="I2818" s="8">
        <f t="shared" si="2315"/>
        <v>0</v>
      </c>
      <c r="J2818" s="8">
        <v>0</v>
      </c>
      <c r="K2818" s="8">
        <v>0</v>
      </c>
      <c r="L2818" s="8">
        <f t="shared" si="2312"/>
        <v>0</v>
      </c>
      <c r="M2818" s="8">
        <f t="shared" si="2313"/>
        <v>0</v>
      </c>
      <c r="N2818" s="3"/>
      <c r="O2818" s="3"/>
      <c r="P2818" s="3"/>
      <c r="Q2818" s="6"/>
      <c r="R2818" s="5"/>
      <c r="S2818" s="5"/>
      <c r="T2818" s="5"/>
      <c r="U2818" s="5"/>
      <c r="V2818" s="5"/>
    </row>
    <row r="2819" spans="1:22" ht="15.75" thickBot="1" x14ac:dyDescent="0.3">
      <c r="A2819" s="25">
        <v>42759</v>
      </c>
      <c r="B2819" s="20" t="s">
        <v>19</v>
      </c>
      <c r="C2819" s="20">
        <v>100</v>
      </c>
      <c r="D2819" s="20" t="s">
        <v>11</v>
      </c>
      <c r="E2819" s="30">
        <v>28750</v>
      </c>
      <c r="F2819" s="30">
        <v>28714</v>
      </c>
      <c r="G2819" s="20">
        <v>28700</v>
      </c>
      <c r="H2819" s="16">
        <v>0</v>
      </c>
      <c r="I2819" s="8">
        <f t="shared" si="2315"/>
        <v>3600</v>
      </c>
      <c r="J2819" s="8">
        <f>(IF(D2819="SELL",IF(G2819="",0,F2819-G2819),IF(D2819="BUY",IF(G2819="",0,G2819-F2819))))*C2819</f>
        <v>1400</v>
      </c>
      <c r="K2819" s="8">
        <v>0</v>
      </c>
      <c r="L2819" s="8">
        <f t="shared" si="2312"/>
        <v>50</v>
      </c>
      <c r="M2819" s="8">
        <f t="shared" si="2313"/>
        <v>5000</v>
      </c>
      <c r="N2819" s="3"/>
      <c r="O2819" s="3"/>
      <c r="P2819" s="3"/>
      <c r="Q2819" s="4"/>
      <c r="R2819" s="5"/>
      <c r="S2819" s="5"/>
      <c r="T2819" s="5"/>
      <c r="U2819" s="5"/>
      <c r="V2819" s="5"/>
    </row>
    <row r="2820" spans="1:22" ht="15.75" thickBot="1" x14ac:dyDescent="0.3">
      <c r="A2820" s="25">
        <v>42759</v>
      </c>
      <c r="B2820" s="20" t="s">
        <v>17</v>
      </c>
      <c r="C2820" s="20">
        <v>5000</v>
      </c>
      <c r="D2820" s="20" t="s">
        <v>11</v>
      </c>
      <c r="E2820" s="30">
        <v>191.4</v>
      </c>
      <c r="F2820" s="30">
        <v>190.4</v>
      </c>
      <c r="G2820" s="20">
        <v>0</v>
      </c>
      <c r="H2820" s="16">
        <v>0</v>
      </c>
      <c r="I2820" s="8">
        <f t="shared" si="2315"/>
        <v>5000</v>
      </c>
      <c r="J2820" s="8">
        <v>0</v>
      </c>
      <c r="K2820" s="8">
        <v>0</v>
      </c>
      <c r="L2820" s="8">
        <f t="shared" si="2312"/>
        <v>1</v>
      </c>
      <c r="M2820" s="8">
        <f t="shared" si="2313"/>
        <v>5000</v>
      </c>
      <c r="N2820" s="3"/>
      <c r="O2820" s="3"/>
      <c r="P2820" s="3"/>
      <c r="Q2820" s="4"/>
      <c r="R2820" s="5"/>
      <c r="S2820" s="5"/>
      <c r="T2820" s="5"/>
      <c r="U2820" s="5"/>
      <c r="V2820" s="5"/>
    </row>
    <row r="2821" spans="1:22" ht="15.75" thickBot="1" x14ac:dyDescent="0.3">
      <c r="A2821" s="25">
        <v>42758</v>
      </c>
      <c r="B2821" s="20" t="s">
        <v>17</v>
      </c>
      <c r="C2821" s="20">
        <v>5000</v>
      </c>
      <c r="D2821" s="20" t="s">
        <v>11</v>
      </c>
      <c r="E2821" s="30">
        <v>190.1</v>
      </c>
      <c r="F2821" s="30">
        <v>189.35</v>
      </c>
      <c r="G2821" s="20">
        <v>0</v>
      </c>
      <c r="H2821" s="16">
        <v>0</v>
      </c>
      <c r="I2821" s="8">
        <f t="shared" si="2315"/>
        <v>3750</v>
      </c>
      <c r="J2821" s="8">
        <v>0</v>
      </c>
      <c r="K2821" s="8">
        <v>0</v>
      </c>
      <c r="L2821" s="8">
        <f t="shared" si="2312"/>
        <v>0.75</v>
      </c>
      <c r="M2821" s="8">
        <f t="shared" si="2313"/>
        <v>3750</v>
      </c>
      <c r="N2821" s="3"/>
      <c r="O2821" s="3"/>
      <c r="P2821" s="3"/>
      <c r="Q2821" s="6"/>
      <c r="R2821" s="5"/>
      <c r="S2821" s="5"/>
      <c r="T2821" s="5"/>
      <c r="U2821" s="5"/>
      <c r="V2821" s="5"/>
    </row>
    <row r="2822" spans="1:22" ht="15.75" thickBot="1" x14ac:dyDescent="0.3">
      <c r="A2822" s="25">
        <v>42758</v>
      </c>
      <c r="B2822" s="20" t="s">
        <v>15</v>
      </c>
      <c r="C2822" s="20">
        <v>5000</v>
      </c>
      <c r="D2822" s="20" t="s">
        <v>10</v>
      </c>
      <c r="E2822" s="30">
        <v>159.19999999999999</v>
      </c>
      <c r="F2822" s="30">
        <v>158.44999999999999</v>
      </c>
      <c r="G2822" s="20">
        <v>0</v>
      </c>
      <c r="H2822" s="16">
        <v>0</v>
      </c>
      <c r="I2822" s="8">
        <f t="shared" si="2315"/>
        <v>-3750</v>
      </c>
      <c r="J2822" s="8">
        <v>0</v>
      </c>
      <c r="K2822" s="8">
        <v>0</v>
      </c>
      <c r="L2822" s="8">
        <f t="shared" si="2312"/>
        <v>-0.75</v>
      </c>
      <c r="M2822" s="8">
        <f t="shared" si="2313"/>
        <v>-3750</v>
      </c>
      <c r="N2822" s="3"/>
      <c r="O2822" s="3"/>
      <c r="P2822" s="3"/>
      <c r="Q2822" s="4"/>
      <c r="R2822" s="5"/>
      <c r="S2822" s="5"/>
      <c r="T2822" s="5"/>
      <c r="U2822" s="5"/>
      <c r="V2822" s="5"/>
    </row>
    <row r="2823" spans="1:22" ht="15.75" thickBot="1" x14ac:dyDescent="0.3">
      <c r="A2823" s="25">
        <v>42758</v>
      </c>
      <c r="B2823" s="20" t="s">
        <v>20</v>
      </c>
      <c r="C2823" s="20">
        <v>1250</v>
      </c>
      <c r="D2823" s="20" t="s">
        <v>11</v>
      </c>
      <c r="E2823" s="30">
        <v>219.8</v>
      </c>
      <c r="F2823" s="30">
        <v>217.5</v>
      </c>
      <c r="G2823" s="20">
        <v>0</v>
      </c>
      <c r="H2823" s="16">
        <v>0</v>
      </c>
      <c r="I2823" s="8">
        <f t="shared" si="2315"/>
        <v>2875.0000000000141</v>
      </c>
      <c r="J2823" s="8">
        <v>0</v>
      </c>
      <c r="K2823" s="8">
        <v>0</v>
      </c>
      <c r="L2823" s="8">
        <f t="shared" ref="L2823:L2881" si="2316">(J2823+I2823+K2823)/C2823</f>
        <v>2.3000000000000114</v>
      </c>
      <c r="M2823" s="8">
        <f t="shared" ref="M2823:M2881" si="2317">L2823*C2823</f>
        <v>2875.0000000000141</v>
      </c>
      <c r="N2823" s="3"/>
      <c r="O2823" s="3"/>
      <c r="P2823" s="3"/>
      <c r="Q2823" s="4"/>
      <c r="R2823" s="5"/>
      <c r="S2823" s="5"/>
      <c r="T2823" s="5"/>
      <c r="U2823" s="5"/>
      <c r="V2823" s="5"/>
    </row>
    <row r="2824" spans="1:22" ht="15.75" thickBot="1" x14ac:dyDescent="0.3">
      <c r="A2824" s="25">
        <v>42758</v>
      </c>
      <c r="B2824" s="20" t="s">
        <v>14</v>
      </c>
      <c r="C2824" s="20">
        <v>30</v>
      </c>
      <c r="D2824" s="20" t="s">
        <v>10</v>
      </c>
      <c r="E2824" s="30">
        <v>41760</v>
      </c>
      <c r="F2824" s="30">
        <v>41910</v>
      </c>
      <c r="G2824" s="20">
        <v>0</v>
      </c>
      <c r="H2824" s="16">
        <v>0</v>
      </c>
      <c r="I2824" s="8">
        <f t="shared" si="2315"/>
        <v>4500</v>
      </c>
      <c r="J2824" s="8">
        <v>0</v>
      </c>
      <c r="K2824" s="8">
        <v>0</v>
      </c>
      <c r="L2824" s="8">
        <f t="shared" si="2316"/>
        <v>150</v>
      </c>
      <c r="M2824" s="8">
        <f t="shared" si="2317"/>
        <v>4500</v>
      </c>
      <c r="N2824" s="3"/>
      <c r="O2824" s="3"/>
      <c r="P2824" s="3"/>
      <c r="Q2824" s="4"/>
      <c r="R2824" s="5"/>
      <c r="S2824" s="5"/>
      <c r="T2824" s="5"/>
      <c r="U2824" s="5"/>
      <c r="V2824" s="5"/>
    </row>
    <row r="2825" spans="1:22" ht="15.75" thickBot="1" x14ac:dyDescent="0.3">
      <c r="A2825" s="25">
        <v>42755</v>
      </c>
      <c r="B2825" s="20" t="s">
        <v>16</v>
      </c>
      <c r="C2825" s="20">
        <v>100</v>
      </c>
      <c r="D2825" s="20" t="s">
        <v>10</v>
      </c>
      <c r="E2825" s="30">
        <v>3580</v>
      </c>
      <c r="F2825" s="30">
        <v>3606</v>
      </c>
      <c r="G2825" s="20">
        <v>0</v>
      </c>
      <c r="H2825" s="16">
        <v>0</v>
      </c>
      <c r="I2825" s="8">
        <f t="shared" si="2315"/>
        <v>2600</v>
      </c>
      <c r="J2825" s="8">
        <v>0</v>
      </c>
      <c r="K2825" s="8">
        <v>0</v>
      </c>
      <c r="L2825" s="8">
        <f t="shared" si="2316"/>
        <v>26</v>
      </c>
      <c r="M2825" s="8">
        <f t="shared" si="2317"/>
        <v>2600</v>
      </c>
      <c r="N2825" s="3"/>
      <c r="O2825" s="3"/>
      <c r="P2825" s="3"/>
      <c r="Q2825" s="4"/>
      <c r="R2825" s="5"/>
      <c r="S2825" s="7"/>
    </row>
    <row r="2826" spans="1:22" ht="15.75" thickBot="1" x14ac:dyDescent="0.3">
      <c r="A2826" s="25">
        <v>42755</v>
      </c>
      <c r="B2826" s="20" t="s">
        <v>14</v>
      </c>
      <c r="C2826" s="20">
        <v>30</v>
      </c>
      <c r="D2826" s="20" t="s">
        <v>10</v>
      </c>
      <c r="E2826" s="30">
        <v>41450</v>
      </c>
      <c r="F2826" s="30">
        <v>41270</v>
      </c>
      <c r="G2826" s="20">
        <v>0</v>
      </c>
      <c r="H2826" s="16">
        <v>0</v>
      </c>
      <c r="I2826" s="8">
        <f t="shared" si="2315"/>
        <v>-5400</v>
      </c>
      <c r="J2826" s="8">
        <v>0</v>
      </c>
      <c r="K2826" s="8">
        <v>0</v>
      </c>
      <c r="L2826" s="8">
        <f t="shared" si="2316"/>
        <v>-180</v>
      </c>
      <c r="M2826" s="8">
        <f t="shared" si="2317"/>
        <v>-5400</v>
      </c>
      <c r="N2826" s="3"/>
      <c r="O2826" s="3"/>
      <c r="P2826" s="3"/>
      <c r="Q2826" s="4"/>
      <c r="R2826" s="5"/>
      <c r="S2826" s="5"/>
      <c r="T2826" s="5"/>
      <c r="U2826" s="5"/>
      <c r="V2826" s="5"/>
    </row>
    <row r="2827" spans="1:22" ht="15.75" thickBot="1" x14ac:dyDescent="0.3">
      <c r="A2827" s="25">
        <v>42755</v>
      </c>
      <c r="B2827" s="20" t="s">
        <v>18</v>
      </c>
      <c r="C2827" s="20">
        <v>1000</v>
      </c>
      <c r="D2827" s="20" t="s">
        <v>10</v>
      </c>
      <c r="E2827" s="30">
        <v>392</v>
      </c>
      <c r="F2827" s="30">
        <v>392.2</v>
      </c>
      <c r="G2827" s="20">
        <v>0</v>
      </c>
      <c r="H2827" s="16">
        <v>0</v>
      </c>
      <c r="I2827" s="8">
        <f t="shared" si="2315"/>
        <v>199.99999999998863</v>
      </c>
      <c r="J2827" s="8">
        <v>0</v>
      </c>
      <c r="K2827" s="8">
        <v>0</v>
      </c>
      <c r="L2827" s="8">
        <f t="shared" si="2316"/>
        <v>0.19999999999998863</v>
      </c>
      <c r="M2827" s="8">
        <f t="shared" si="2317"/>
        <v>199.99999999998863</v>
      </c>
      <c r="N2827" s="3"/>
      <c r="O2827" s="3"/>
      <c r="P2827" s="3"/>
      <c r="Q2827" s="6"/>
      <c r="R2827" s="5"/>
      <c r="S2827" s="5"/>
      <c r="T2827" s="5"/>
      <c r="U2827" s="5"/>
      <c r="V2827" s="5"/>
    </row>
    <row r="2828" spans="1:22" ht="15.75" thickBot="1" x14ac:dyDescent="0.3">
      <c r="A2828" s="25">
        <v>42755</v>
      </c>
      <c r="B2828" s="20" t="s">
        <v>22</v>
      </c>
      <c r="C2828" s="20">
        <v>5000</v>
      </c>
      <c r="D2828" s="20" t="s">
        <v>10</v>
      </c>
      <c r="E2828" s="30">
        <v>124.9</v>
      </c>
      <c r="F2828" s="30">
        <v>125.4</v>
      </c>
      <c r="G2828" s="20">
        <v>0</v>
      </c>
      <c r="H2828" s="16">
        <v>0</v>
      </c>
      <c r="I2828" s="8">
        <f t="shared" si="2315"/>
        <v>2500</v>
      </c>
      <c r="J2828" s="8">
        <v>0</v>
      </c>
      <c r="K2828" s="8">
        <v>0</v>
      </c>
      <c r="L2828" s="8">
        <f t="shared" si="2316"/>
        <v>0.5</v>
      </c>
      <c r="M2828" s="8">
        <f t="shared" si="2317"/>
        <v>2500</v>
      </c>
      <c r="N2828" s="3"/>
      <c r="O2828" s="3"/>
      <c r="P2828" s="3"/>
      <c r="Q2828" s="6"/>
      <c r="R2828" s="5"/>
      <c r="S2828" s="5"/>
      <c r="T2828" s="5"/>
      <c r="U2828" s="5"/>
      <c r="V2828" s="5"/>
    </row>
    <row r="2829" spans="1:22" ht="15.75" thickBot="1" x14ac:dyDescent="0.3">
      <c r="A2829" s="25">
        <v>42755</v>
      </c>
      <c r="B2829" s="20" t="s">
        <v>22</v>
      </c>
      <c r="C2829" s="20">
        <v>5000</v>
      </c>
      <c r="D2829" s="20" t="s">
        <v>10</v>
      </c>
      <c r="E2829" s="30">
        <v>124.9</v>
      </c>
      <c r="F2829" s="30">
        <v>125.4</v>
      </c>
      <c r="G2829" s="20">
        <v>0</v>
      </c>
      <c r="H2829" s="16">
        <v>0</v>
      </c>
      <c r="I2829" s="8">
        <f t="shared" si="2315"/>
        <v>2500</v>
      </c>
      <c r="J2829" s="8">
        <v>0</v>
      </c>
      <c r="K2829" s="8">
        <v>0</v>
      </c>
      <c r="L2829" s="8">
        <f t="shared" si="2316"/>
        <v>0.5</v>
      </c>
      <c r="M2829" s="8">
        <f t="shared" si="2317"/>
        <v>2500</v>
      </c>
      <c r="N2829" s="3"/>
      <c r="O2829" s="3"/>
      <c r="P2829" s="3"/>
      <c r="Q2829" s="6"/>
      <c r="R2829" s="5"/>
      <c r="S2829" s="5"/>
      <c r="T2829" s="5"/>
      <c r="U2829" s="5"/>
      <c r="V2829" s="5"/>
    </row>
    <row r="2830" spans="1:22" ht="15.75" thickBot="1" x14ac:dyDescent="0.3">
      <c r="A2830" s="25">
        <v>42755</v>
      </c>
      <c r="B2830" s="20" t="s">
        <v>17</v>
      </c>
      <c r="C2830" s="20">
        <v>5000</v>
      </c>
      <c r="D2830" s="20" t="s">
        <v>10</v>
      </c>
      <c r="E2830" s="30">
        <v>187.1</v>
      </c>
      <c r="F2830" s="30">
        <v>187.7</v>
      </c>
      <c r="G2830" s="20">
        <v>0</v>
      </c>
      <c r="H2830" s="16">
        <v>0</v>
      </c>
      <c r="I2830" s="8">
        <f t="shared" ref="I2830:I2861" si="2318">(IF(D2830="SELL",E2830-F2830,IF(D2830="BUY",F2830-E2830)))*C2830</f>
        <v>2999.9999999999718</v>
      </c>
      <c r="J2830" s="8">
        <v>0</v>
      </c>
      <c r="K2830" s="8">
        <v>0</v>
      </c>
      <c r="L2830" s="8">
        <f t="shared" si="2316"/>
        <v>0.59999999999999432</v>
      </c>
      <c r="M2830" s="8">
        <f t="shared" si="2317"/>
        <v>2999.9999999999718</v>
      </c>
      <c r="N2830" s="3"/>
      <c r="O2830" s="3"/>
      <c r="P2830" s="3"/>
      <c r="Q2830" s="4"/>
      <c r="R2830" s="5"/>
      <c r="S2830" s="5"/>
      <c r="T2830" s="5"/>
      <c r="U2830" s="5"/>
      <c r="V2830" s="5"/>
    </row>
    <row r="2831" spans="1:22" ht="15.75" thickBot="1" x14ac:dyDescent="0.3">
      <c r="A2831" s="25">
        <v>42753</v>
      </c>
      <c r="B2831" s="20" t="s">
        <v>16</v>
      </c>
      <c r="C2831" s="20">
        <v>100</v>
      </c>
      <c r="D2831" s="20" t="s">
        <v>11</v>
      </c>
      <c r="E2831" s="30">
        <v>3500</v>
      </c>
      <c r="F2831" s="30">
        <v>3500</v>
      </c>
      <c r="G2831" s="20">
        <v>0</v>
      </c>
      <c r="H2831" s="16">
        <v>0</v>
      </c>
      <c r="I2831" s="8">
        <f t="shared" si="2318"/>
        <v>0</v>
      </c>
      <c r="J2831" s="8">
        <v>0</v>
      </c>
      <c r="K2831" s="8">
        <v>0</v>
      </c>
      <c r="L2831" s="8">
        <f t="shared" si="2316"/>
        <v>0</v>
      </c>
      <c r="M2831" s="8">
        <f t="shared" si="2317"/>
        <v>0</v>
      </c>
      <c r="N2831" s="3"/>
      <c r="O2831" s="3"/>
      <c r="P2831" s="3"/>
      <c r="Q2831" s="4"/>
      <c r="R2831" s="5"/>
      <c r="S2831" s="5"/>
      <c r="T2831" s="5"/>
      <c r="U2831" s="5"/>
      <c r="V2831" s="5"/>
    </row>
    <row r="2832" spans="1:22" ht="15.75" thickBot="1" x14ac:dyDescent="0.3">
      <c r="A2832" s="25">
        <v>42753</v>
      </c>
      <c r="B2832" s="20" t="s">
        <v>15</v>
      </c>
      <c r="C2832" s="20">
        <v>5000</v>
      </c>
      <c r="D2832" s="20" t="s">
        <v>10</v>
      </c>
      <c r="E2832" s="30">
        <v>156.30000000000001</v>
      </c>
      <c r="F2832" s="30">
        <v>156.9</v>
      </c>
      <c r="G2832" s="20">
        <v>0</v>
      </c>
      <c r="H2832" s="16">
        <v>0</v>
      </c>
      <c r="I2832" s="8">
        <f t="shared" si="2318"/>
        <v>2999.9999999999718</v>
      </c>
      <c r="J2832" s="8">
        <v>0</v>
      </c>
      <c r="K2832" s="8">
        <v>0</v>
      </c>
      <c r="L2832" s="8">
        <f t="shared" si="2316"/>
        <v>0.59999999999999432</v>
      </c>
      <c r="M2832" s="8">
        <f t="shared" si="2317"/>
        <v>2999.9999999999718</v>
      </c>
      <c r="N2832" s="3"/>
      <c r="O2832" s="3"/>
      <c r="P2832" s="3"/>
      <c r="Q2832" s="4"/>
      <c r="R2832" s="5"/>
      <c r="S2832" s="5"/>
      <c r="T2832" s="5"/>
      <c r="U2832" s="5"/>
      <c r="V2832" s="5"/>
    </row>
    <row r="2833" spans="1:22" ht="15.75" thickBot="1" x14ac:dyDescent="0.3">
      <c r="A2833" s="25">
        <v>42753</v>
      </c>
      <c r="B2833" s="20" t="s">
        <v>14</v>
      </c>
      <c r="C2833" s="20">
        <v>30</v>
      </c>
      <c r="D2833" s="20" t="s">
        <v>11</v>
      </c>
      <c r="E2833" s="30">
        <v>41550</v>
      </c>
      <c r="F2833" s="30">
        <v>41730</v>
      </c>
      <c r="G2833" s="20">
        <v>0</v>
      </c>
      <c r="H2833" s="16">
        <v>0</v>
      </c>
      <c r="I2833" s="8">
        <f t="shared" si="2318"/>
        <v>-5400</v>
      </c>
      <c r="J2833" s="8">
        <v>0</v>
      </c>
      <c r="K2833" s="8">
        <v>0</v>
      </c>
      <c r="L2833" s="8">
        <f t="shared" si="2316"/>
        <v>-180</v>
      </c>
      <c r="M2833" s="8">
        <f t="shared" si="2317"/>
        <v>-5400</v>
      </c>
      <c r="N2833" s="3"/>
      <c r="O2833" s="3"/>
      <c r="P2833" s="3"/>
      <c r="Q2833" s="6"/>
      <c r="R2833" s="5"/>
      <c r="S2833" s="5"/>
      <c r="T2833" s="5"/>
      <c r="U2833" s="5"/>
      <c r="V2833" s="5"/>
    </row>
    <row r="2834" spans="1:22" ht="15.75" thickBot="1" x14ac:dyDescent="0.3">
      <c r="A2834" s="25">
        <v>42752</v>
      </c>
      <c r="B2834" s="20" t="s">
        <v>14</v>
      </c>
      <c r="C2834" s="20">
        <v>30</v>
      </c>
      <c r="D2834" s="20" t="s">
        <v>11</v>
      </c>
      <c r="E2834" s="30">
        <v>41380</v>
      </c>
      <c r="F2834" s="30">
        <v>41265</v>
      </c>
      <c r="G2834" s="20">
        <v>0</v>
      </c>
      <c r="H2834" s="16">
        <v>0</v>
      </c>
      <c r="I2834" s="8">
        <f t="shared" si="2318"/>
        <v>3450</v>
      </c>
      <c r="J2834" s="8">
        <v>0</v>
      </c>
      <c r="K2834" s="8">
        <v>0</v>
      </c>
      <c r="L2834" s="8">
        <f t="shared" si="2316"/>
        <v>115</v>
      </c>
      <c r="M2834" s="8">
        <f t="shared" si="2317"/>
        <v>3450</v>
      </c>
      <c r="N2834" s="3"/>
      <c r="O2834" s="3"/>
      <c r="P2834" s="3"/>
      <c r="Q2834" s="4"/>
      <c r="R2834" s="5"/>
      <c r="S2834" s="5"/>
      <c r="T2834" s="5"/>
      <c r="U2834" s="5"/>
      <c r="V2834" s="5"/>
    </row>
    <row r="2835" spans="1:22" ht="15.75" thickBot="1" x14ac:dyDescent="0.3">
      <c r="A2835" s="25">
        <v>42752</v>
      </c>
      <c r="B2835" s="20" t="s">
        <v>16</v>
      </c>
      <c r="C2835" s="20">
        <v>100</v>
      </c>
      <c r="D2835" s="20" t="s">
        <v>10</v>
      </c>
      <c r="E2835" s="30">
        <v>3620</v>
      </c>
      <c r="F2835" s="30">
        <v>3587</v>
      </c>
      <c r="G2835" s="20">
        <v>0</v>
      </c>
      <c r="H2835" s="16">
        <v>0</v>
      </c>
      <c r="I2835" s="8">
        <f t="shared" si="2318"/>
        <v>-3300</v>
      </c>
      <c r="J2835" s="8">
        <v>0</v>
      </c>
      <c r="K2835" s="8">
        <v>0</v>
      </c>
      <c r="L2835" s="8">
        <f t="shared" si="2316"/>
        <v>-33</v>
      </c>
      <c r="M2835" s="8">
        <f t="shared" si="2317"/>
        <v>-3300</v>
      </c>
      <c r="N2835" s="3"/>
      <c r="O2835" s="3"/>
      <c r="P2835" s="3"/>
      <c r="Q2835" s="4"/>
      <c r="R2835" s="5"/>
      <c r="S2835" s="5"/>
      <c r="T2835" s="3"/>
    </row>
    <row r="2836" spans="1:22" ht="15.75" thickBot="1" x14ac:dyDescent="0.3">
      <c r="A2836" s="25">
        <v>42752</v>
      </c>
      <c r="B2836" s="20" t="s">
        <v>14</v>
      </c>
      <c r="C2836" s="20">
        <v>30</v>
      </c>
      <c r="D2836" s="20" t="s">
        <v>10</v>
      </c>
      <c r="E2836" s="30">
        <v>41315</v>
      </c>
      <c r="F2836" s="30">
        <v>41465</v>
      </c>
      <c r="G2836" s="20">
        <v>0</v>
      </c>
      <c r="H2836" s="16">
        <v>0</v>
      </c>
      <c r="I2836" s="8">
        <f t="shared" si="2318"/>
        <v>4500</v>
      </c>
      <c r="J2836" s="8">
        <v>0</v>
      </c>
      <c r="K2836" s="8">
        <v>0</v>
      </c>
      <c r="L2836" s="8">
        <f t="shared" si="2316"/>
        <v>150</v>
      </c>
      <c r="M2836" s="8">
        <f t="shared" si="2317"/>
        <v>4500</v>
      </c>
      <c r="N2836" s="3"/>
      <c r="O2836" s="3"/>
      <c r="P2836" s="3"/>
      <c r="Q2836" s="4"/>
      <c r="R2836" s="5"/>
      <c r="S2836" s="5"/>
      <c r="T2836" s="5"/>
      <c r="U2836" s="5"/>
      <c r="V2836" s="5"/>
    </row>
    <row r="2837" spans="1:22" ht="15.75" thickBot="1" x14ac:dyDescent="0.3">
      <c r="A2837" s="25">
        <v>42752</v>
      </c>
      <c r="B2837" s="20" t="s">
        <v>18</v>
      </c>
      <c r="C2837" s="20">
        <v>1000</v>
      </c>
      <c r="D2837" s="20" t="s">
        <v>10</v>
      </c>
      <c r="E2837" s="30">
        <v>394.35</v>
      </c>
      <c r="F2837" s="30">
        <v>397</v>
      </c>
      <c r="G2837" s="20">
        <v>0</v>
      </c>
      <c r="H2837" s="16">
        <v>0</v>
      </c>
      <c r="I2837" s="8">
        <f t="shared" si="2318"/>
        <v>2649.9999999999773</v>
      </c>
      <c r="J2837" s="8">
        <v>0</v>
      </c>
      <c r="K2837" s="8">
        <v>0</v>
      </c>
      <c r="L2837" s="8">
        <f t="shared" si="2316"/>
        <v>2.6499999999999773</v>
      </c>
      <c r="M2837" s="8">
        <f t="shared" si="2317"/>
        <v>2649.9999999999773</v>
      </c>
      <c r="N2837" s="3"/>
      <c r="O2837" s="3"/>
      <c r="P2837" s="3"/>
      <c r="Q2837" s="6"/>
      <c r="R2837" s="5"/>
      <c r="S2837" s="5"/>
      <c r="T2837" s="5"/>
      <c r="U2837" s="5"/>
      <c r="V2837" s="5"/>
    </row>
    <row r="2838" spans="1:22" x14ac:dyDescent="0.25">
      <c r="A2838" s="25">
        <v>42752</v>
      </c>
      <c r="B2838" s="20" t="s">
        <v>17</v>
      </c>
      <c r="C2838" s="20">
        <v>5000</v>
      </c>
      <c r="D2838" s="20" t="s">
        <v>10</v>
      </c>
      <c r="E2838" s="30">
        <v>182.8</v>
      </c>
      <c r="F2838" s="30">
        <v>183.3</v>
      </c>
      <c r="G2838" s="20">
        <v>184.4</v>
      </c>
      <c r="H2838" s="16">
        <v>0</v>
      </c>
      <c r="I2838" s="8">
        <f t="shared" si="2318"/>
        <v>2500</v>
      </c>
      <c r="J2838" s="8">
        <f>(IF(D2838="SELL",IF(G2838="",0,F2838-G2838),IF(D2838="BUY",IF(G2838="",0,G2838-F2838))))*C2838</f>
        <v>5499.9999999999718</v>
      </c>
      <c r="K2838" s="8">
        <v>0</v>
      </c>
      <c r="L2838" s="8">
        <f t="shared" si="2316"/>
        <v>1.5999999999999943</v>
      </c>
      <c r="M2838" s="8">
        <f t="shared" si="2317"/>
        <v>7999.9999999999718</v>
      </c>
      <c r="N2838" s="3"/>
      <c r="O2838" s="3"/>
      <c r="P2838" s="3"/>
      <c r="Q2838" s="4"/>
    </row>
    <row r="2839" spans="1:22" x14ac:dyDescent="0.25">
      <c r="A2839" s="25">
        <v>42751</v>
      </c>
      <c r="B2839" s="20" t="s">
        <v>20</v>
      </c>
      <c r="C2839" s="20">
        <v>1250</v>
      </c>
      <c r="D2839" s="20" t="s">
        <v>10</v>
      </c>
      <c r="E2839" s="30">
        <v>236.8</v>
      </c>
      <c r="F2839" s="30">
        <v>238</v>
      </c>
      <c r="G2839" s="20">
        <v>0</v>
      </c>
      <c r="H2839" s="16">
        <v>0</v>
      </c>
      <c r="I2839" s="8">
        <f t="shared" si="2318"/>
        <v>1499.9999999999859</v>
      </c>
      <c r="J2839" s="8">
        <v>0</v>
      </c>
      <c r="K2839" s="8">
        <v>0</v>
      </c>
      <c r="L2839" s="8">
        <f t="shared" si="2316"/>
        <v>1.1999999999999886</v>
      </c>
      <c r="M2839" s="8">
        <f t="shared" si="2317"/>
        <v>1499.9999999999859</v>
      </c>
    </row>
    <row r="2840" spans="1:22" x14ac:dyDescent="0.25">
      <c r="A2840" s="25">
        <v>42751</v>
      </c>
      <c r="B2840" s="20" t="s">
        <v>16</v>
      </c>
      <c r="C2840" s="20">
        <v>100</v>
      </c>
      <c r="D2840" s="20" t="s">
        <v>10</v>
      </c>
      <c r="E2840" s="30">
        <v>3562</v>
      </c>
      <c r="F2840" s="30">
        <v>3592</v>
      </c>
      <c r="G2840" s="20">
        <v>0</v>
      </c>
      <c r="H2840" s="16">
        <v>0</v>
      </c>
      <c r="I2840" s="8">
        <f t="shared" si="2318"/>
        <v>3000</v>
      </c>
      <c r="J2840" s="8">
        <v>0</v>
      </c>
      <c r="K2840" s="8">
        <v>0</v>
      </c>
      <c r="L2840" s="8">
        <f t="shared" si="2316"/>
        <v>30</v>
      </c>
      <c r="M2840" s="8">
        <f t="shared" si="2317"/>
        <v>3000</v>
      </c>
    </row>
    <row r="2841" spans="1:22" x14ac:dyDescent="0.25">
      <c r="A2841" s="25">
        <v>42751</v>
      </c>
      <c r="B2841" s="20" t="s">
        <v>18</v>
      </c>
      <c r="C2841" s="20">
        <v>1000</v>
      </c>
      <c r="D2841" s="20" t="s">
        <v>10</v>
      </c>
      <c r="E2841" s="30">
        <v>405</v>
      </c>
      <c r="F2841" s="30">
        <v>402.95</v>
      </c>
      <c r="G2841" s="20">
        <v>0</v>
      </c>
      <c r="H2841" s="16">
        <v>0</v>
      </c>
      <c r="I2841" s="8">
        <f t="shared" si="2318"/>
        <v>-2050.0000000000114</v>
      </c>
      <c r="J2841" s="8">
        <v>0</v>
      </c>
      <c r="K2841" s="8">
        <v>0</v>
      </c>
      <c r="L2841" s="8">
        <f t="shared" si="2316"/>
        <v>-2.0500000000000114</v>
      </c>
      <c r="M2841" s="8">
        <f t="shared" si="2317"/>
        <v>-2050.0000000000114</v>
      </c>
    </row>
    <row r="2842" spans="1:22" x14ac:dyDescent="0.25">
      <c r="A2842" s="25">
        <v>42751</v>
      </c>
      <c r="B2842" s="20" t="s">
        <v>19</v>
      </c>
      <c r="C2842" s="20">
        <v>100</v>
      </c>
      <c r="D2842" s="20" t="s">
        <v>10</v>
      </c>
      <c r="E2842" s="30">
        <v>28528</v>
      </c>
      <c r="F2842" s="30">
        <v>28578</v>
      </c>
      <c r="G2842" s="20">
        <v>0</v>
      </c>
      <c r="H2842" s="16">
        <v>0</v>
      </c>
      <c r="I2842" s="8">
        <f t="shared" si="2318"/>
        <v>5000</v>
      </c>
      <c r="J2842" s="8">
        <v>0</v>
      </c>
      <c r="K2842" s="8">
        <v>0</v>
      </c>
      <c r="L2842" s="8">
        <f t="shared" si="2316"/>
        <v>50</v>
      </c>
      <c r="M2842" s="8">
        <f t="shared" si="2317"/>
        <v>5000</v>
      </c>
    </row>
    <row r="2843" spans="1:22" x14ac:dyDescent="0.25">
      <c r="A2843" s="25">
        <v>42748</v>
      </c>
      <c r="B2843" s="20" t="s">
        <v>14</v>
      </c>
      <c r="C2843" s="20">
        <v>30</v>
      </c>
      <c r="D2843" s="20" t="s">
        <v>11</v>
      </c>
      <c r="E2843" s="30">
        <v>40960</v>
      </c>
      <c r="F2843" s="30">
        <v>40800</v>
      </c>
      <c r="G2843" s="20">
        <v>0</v>
      </c>
      <c r="H2843" s="16">
        <v>0</v>
      </c>
      <c r="I2843" s="8">
        <f t="shared" si="2318"/>
        <v>4800</v>
      </c>
      <c r="J2843" s="8">
        <v>0</v>
      </c>
      <c r="K2843" s="8">
        <v>0</v>
      </c>
      <c r="L2843" s="8">
        <f t="shared" si="2316"/>
        <v>160</v>
      </c>
      <c r="M2843" s="8">
        <f t="shared" si="2317"/>
        <v>4800</v>
      </c>
    </row>
    <row r="2844" spans="1:22" x14ac:dyDescent="0.25">
      <c r="A2844" s="25">
        <v>42748</v>
      </c>
      <c r="B2844" s="20" t="s">
        <v>20</v>
      </c>
      <c r="C2844" s="20">
        <v>1250</v>
      </c>
      <c r="D2844" s="20" t="s">
        <v>11</v>
      </c>
      <c r="E2844" s="30">
        <v>231.5</v>
      </c>
      <c r="F2844" s="30">
        <v>228.75</v>
      </c>
      <c r="G2844" s="20">
        <v>228</v>
      </c>
      <c r="H2844" s="16">
        <v>0</v>
      </c>
      <c r="I2844" s="8">
        <f t="shared" si="2318"/>
        <v>3437.5</v>
      </c>
      <c r="J2844" s="8">
        <f>(IF(D2844="SELL",IF(G2844="",0,F2844-G2844),IF(D2844="BUY",IF(G2844="",0,G2844-F2844))))*C2844</f>
        <v>937.5</v>
      </c>
      <c r="K2844" s="8">
        <v>0</v>
      </c>
      <c r="L2844" s="8">
        <f t="shared" si="2316"/>
        <v>3.5</v>
      </c>
      <c r="M2844" s="8">
        <f t="shared" si="2317"/>
        <v>4375</v>
      </c>
    </row>
    <row r="2845" spans="1:22" x14ac:dyDescent="0.25">
      <c r="A2845" s="25">
        <v>42748</v>
      </c>
      <c r="B2845" s="20" t="s">
        <v>19</v>
      </c>
      <c r="C2845" s="20">
        <v>100</v>
      </c>
      <c r="D2845" s="20" t="s">
        <v>11</v>
      </c>
      <c r="E2845" s="30">
        <v>28370</v>
      </c>
      <c r="F2845" s="30">
        <v>28400</v>
      </c>
      <c r="G2845" s="20">
        <v>0</v>
      </c>
      <c r="H2845" s="16">
        <v>0</v>
      </c>
      <c r="I2845" s="8">
        <f t="shared" si="2318"/>
        <v>-3000</v>
      </c>
      <c r="J2845" s="8">
        <v>0</v>
      </c>
      <c r="K2845" s="8">
        <v>0</v>
      </c>
      <c r="L2845" s="8">
        <f t="shared" si="2316"/>
        <v>-30</v>
      </c>
      <c r="M2845" s="8">
        <f t="shared" si="2317"/>
        <v>-3000</v>
      </c>
    </row>
    <row r="2846" spans="1:22" x14ac:dyDescent="0.25">
      <c r="A2846" s="25">
        <v>42748</v>
      </c>
      <c r="B2846" s="20" t="s">
        <v>15</v>
      </c>
      <c r="C2846" s="20">
        <v>5000</v>
      </c>
      <c r="D2846" s="20" t="s">
        <v>10</v>
      </c>
      <c r="E2846" s="30">
        <v>150.6</v>
      </c>
      <c r="F2846" s="30">
        <v>151.19999999999999</v>
      </c>
      <c r="G2846" s="20">
        <v>152.19999999999999</v>
      </c>
      <c r="H2846" s="16">
        <v>0</v>
      </c>
      <c r="I2846" s="8">
        <f t="shared" si="2318"/>
        <v>2999.9999999999718</v>
      </c>
      <c r="J2846" s="8">
        <f>(IF(D2846="SELL",IF(G2846="",0,F2846-G2846),IF(D2846="BUY",IF(G2846="",0,G2846-F2846))))*C2846</f>
        <v>5000</v>
      </c>
      <c r="K2846" s="8">
        <v>0</v>
      </c>
      <c r="L2846" s="8">
        <f t="shared" si="2316"/>
        <v>1.5999999999999943</v>
      </c>
      <c r="M2846" s="8">
        <f t="shared" si="2317"/>
        <v>7999.9999999999718</v>
      </c>
    </row>
    <row r="2847" spans="1:22" x14ac:dyDescent="0.25">
      <c r="A2847" s="25">
        <v>42748</v>
      </c>
      <c r="B2847" s="20" t="s">
        <v>19</v>
      </c>
      <c r="C2847" s="20">
        <v>100</v>
      </c>
      <c r="D2847" s="20" t="s">
        <v>10</v>
      </c>
      <c r="E2847" s="30">
        <v>28310</v>
      </c>
      <c r="F2847" s="30">
        <v>28379</v>
      </c>
      <c r="G2847" s="20">
        <v>0</v>
      </c>
      <c r="H2847" s="16">
        <v>0</v>
      </c>
      <c r="I2847" s="8">
        <f t="shared" si="2318"/>
        <v>6900</v>
      </c>
      <c r="J2847" s="8">
        <v>0</v>
      </c>
      <c r="K2847" s="8">
        <v>0</v>
      </c>
      <c r="L2847" s="8">
        <f t="shared" si="2316"/>
        <v>69</v>
      </c>
      <c r="M2847" s="8">
        <f t="shared" si="2317"/>
        <v>6900</v>
      </c>
    </row>
    <row r="2848" spans="1:22" x14ac:dyDescent="0.25">
      <c r="A2848" s="25">
        <v>42748</v>
      </c>
      <c r="B2848" s="20" t="s">
        <v>16</v>
      </c>
      <c r="C2848" s="20">
        <v>100</v>
      </c>
      <c r="D2848" s="20" t="s">
        <v>11</v>
      </c>
      <c r="E2848" s="30">
        <v>3620</v>
      </c>
      <c r="F2848" s="30">
        <v>3590</v>
      </c>
      <c r="G2848" s="20">
        <v>0</v>
      </c>
      <c r="H2848" s="16">
        <v>0</v>
      </c>
      <c r="I2848" s="8">
        <f t="shared" si="2318"/>
        <v>3000</v>
      </c>
      <c r="J2848" s="8">
        <v>0</v>
      </c>
      <c r="K2848" s="8">
        <v>0</v>
      </c>
      <c r="L2848" s="8">
        <f t="shared" si="2316"/>
        <v>30</v>
      </c>
      <c r="M2848" s="8">
        <f t="shared" si="2317"/>
        <v>3000</v>
      </c>
    </row>
    <row r="2849" spans="1:22" x14ac:dyDescent="0.25">
      <c r="A2849" s="25">
        <v>42748</v>
      </c>
      <c r="B2849" s="20" t="s">
        <v>14</v>
      </c>
      <c r="C2849" s="20">
        <v>30</v>
      </c>
      <c r="D2849" s="20" t="s">
        <v>11</v>
      </c>
      <c r="E2849" s="30">
        <v>40960</v>
      </c>
      <c r="F2849" s="30">
        <v>40800</v>
      </c>
      <c r="G2849" s="20">
        <v>0</v>
      </c>
      <c r="H2849" s="16">
        <v>0</v>
      </c>
      <c r="I2849" s="8">
        <f t="shared" si="2318"/>
        <v>4800</v>
      </c>
      <c r="J2849" s="8">
        <v>0</v>
      </c>
      <c r="K2849" s="8">
        <v>0</v>
      </c>
      <c r="L2849" s="8">
        <f t="shared" si="2316"/>
        <v>160</v>
      </c>
      <c r="M2849" s="8">
        <f t="shared" si="2317"/>
        <v>4800</v>
      </c>
    </row>
    <row r="2850" spans="1:22" x14ac:dyDescent="0.25">
      <c r="A2850" s="25">
        <v>42747</v>
      </c>
      <c r="B2850" s="20" t="s">
        <v>14</v>
      </c>
      <c r="C2850" s="20">
        <v>30</v>
      </c>
      <c r="D2850" s="20" t="s">
        <v>10</v>
      </c>
      <c r="E2850" s="30">
        <v>41100</v>
      </c>
      <c r="F2850" s="30">
        <v>41250</v>
      </c>
      <c r="G2850" s="20">
        <v>0</v>
      </c>
      <c r="H2850" s="16">
        <v>0</v>
      </c>
      <c r="I2850" s="8">
        <f t="shared" si="2318"/>
        <v>4500</v>
      </c>
      <c r="J2850" s="8">
        <v>0</v>
      </c>
      <c r="K2850" s="8">
        <v>0</v>
      </c>
      <c r="L2850" s="8">
        <f t="shared" si="2316"/>
        <v>150</v>
      </c>
      <c r="M2850" s="8">
        <f t="shared" si="2317"/>
        <v>4500</v>
      </c>
    </row>
    <row r="2851" spans="1:22" x14ac:dyDescent="0.25">
      <c r="A2851" s="25">
        <v>42747</v>
      </c>
      <c r="B2851" s="20" t="s">
        <v>20</v>
      </c>
      <c r="C2851" s="20">
        <v>1250</v>
      </c>
      <c r="D2851" s="20" t="s">
        <v>10</v>
      </c>
      <c r="E2851" s="30">
        <v>229.5</v>
      </c>
      <c r="F2851" s="30">
        <v>231.3</v>
      </c>
      <c r="G2851" s="20">
        <v>233.4</v>
      </c>
      <c r="H2851" s="16">
        <v>0</v>
      </c>
      <c r="I2851" s="8">
        <f t="shared" si="2318"/>
        <v>2250.0000000000141</v>
      </c>
      <c r="J2851" s="8">
        <f>(IF(D2851="SELL",IF(G2851="",0,F2851-G2851),IF(D2851="BUY",IF(G2851="",0,G2851-F2851))))*C2851</f>
        <v>2624.9999999999927</v>
      </c>
      <c r="K2851" s="8">
        <v>0</v>
      </c>
      <c r="L2851" s="8">
        <f t="shared" si="2316"/>
        <v>3.9000000000000057</v>
      </c>
      <c r="M2851" s="8">
        <f t="shared" si="2317"/>
        <v>4875.0000000000073</v>
      </c>
    </row>
    <row r="2852" spans="1:22" x14ac:dyDescent="0.25">
      <c r="A2852" s="25">
        <v>42747</v>
      </c>
      <c r="B2852" s="20" t="s">
        <v>16</v>
      </c>
      <c r="C2852" s="20">
        <v>100</v>
      </c>
      <c r="D2852" s="20" t="s">
        <v>10</v>
      </c>
      <c r="E2852" s="30">
        <v>3565</v>
      </c>
      <c r="F2852" s="30">
        <v>3591</v>
      </c>
      <c r="G2852" s="20">
        <v>3626</v>
      </c>
      <c r="H2852" s="16">
        <v>0</v>
      </c>
      <c r="I2852" s="8">
        <f t="shared" si="2318"/>
        <v>2600</v>
      </c>
      <c r="J2852" s="8">
        <f>(IF(D2852="SELL",IF(G2852="",0,F2852-G2852),IF(D2852="BUY",IF(G2852="",0,G2852-F2852))))*C2852</f>
        <v>3500</v>
      </c>
      <c r="K2852" s="8">
        <v>0</v>
      </c>
      <c r="L2852" s="8">
        <f t="shared" si="2316"/>
        <v>61</v>
      </c>
      <c r="M2852" s="8">
        <f t="shared" si="2317"/>
        <v>6100</v>
      </c>
    </row>
    <row r="2853" spans="1:22" x14ac:dyDescent="0.25">
      <c r="A2853" s="25">
        <v>42747</v>
      </c>
      <c r="B2853" s="20" t="s">
        <v>19</v>
      </c>
      <c r="C2853" s="20">
        <v>100</v>
      </c>
      <c r="D2853" s="20" t="s">
        <v>10</v>
      </c>
      <c r="E2853" s="30">
        <v>28380</v>
      </c>
      <c r="F2853" s="30">
        <v>28430</v>
      </c>
      <c r="G2853" s="20">
        <v>0</v>
      </c>
      <c r="H2853" s="16">
        <v>0</v>
      </c>
      <c r="I2853" s="8">
        <f t="shared" si="2318"/>
        <v>5000</v>
      </c>
      <c r="J2853" s="8">
        <v>0</v>
      </c>
      <c r="K2853" s="8">
        <v>0</v>
      </c>
      <c r="L2853" s="8">
        <f t="shared" si="2316"/>
        <v>50</v>
      </c>
      <c r="M2853" s="8">
        <f t="shared" si="2317"/>
        <v>5000</v>
      </c>
    </row>
    <row r="2854" spans="1:22" x14ac:dyDescent="0.25">
      <c r="A2854" s="25">
        <v>42746</v>
      </c>
      <c r="B2854" s="20" t="s">
        <v>14</v>
      </c>
      <c r="C2854" s="20">
        <v>30</v>
      </c>
      <c r="D2854" s="20" t="s">
        <v>10</v>
      </c>
      <c r="E2854" s="30">
        <v>41170</v>
      </c>
      <c r="F2854" s="30">
        <v>40990</v>
      </c>
      <c r="G2854" s="20">
        <v>0</v>
      </c>
      <c r="H2854" s="16">
        <v>0</v>
      </c>
      <c r="I2854" s="8">
        <f t="shared" si="2318"/>
        <v>-5400</v>
      </c>
      <c r="J2854" s="8">
        <v>0</v>
      </c>
      <c r="K2854" s="8">
        <v>0</v>
      </c>
      <c r="L2854" s="8">
        <f t="shared" si="2316"/>
        <v>-180</v>
      </c>
      <c r="M2854" s="8">
        <f t="shared" si="2317"/>
        <v>-5400</v>
      </c>
    </row>
    <row r="2855" spans="1:22" ht="15.75" thickBot="1" x14ac:dyDescent="0.3">
      <c r="A2855" s="25">
        <v>42746</v>
      </c>
      <c r="B2855" s="20" t="s">
        <v>18</v>
      </c>
      <c r="C2855" s="20">
        <v>1000</v>
      </c>
      <c r="D2855" s="20" t="s">
        <v>11</v>
      </c>
      <c r="E2855" s="30">
        <v>396.3</v>
      </c>
      <c r="F2855" s="30">
        <v>394</v>
      </c>
      <c r="G2855" s="20">
        <v>0</v>
      </c>
      <c r="H2855" s="16">
        <v>0</v>
      </c>
      <c r="I2855" s="8">
        <f t="shared" si="2318"/>
        <v>2300.0000000000114</v>
      </c>
      <c r="J2855" s="8">
        <v>0</v>
      </c>
      <c r="K2855" s="8">
        <v>0</v>
      </c>
      <c r="L2855" s="8">
        <f t="shared" si="2316"/>
        <v>2.3000000000000114</v>
      </c>
      <c r="M2855" s="8">
        <f t="shared" si="2317"/>
        <v>2300.0000000000114</v>
      </c>
    </row>
    <row r="2856" spans="1:22" ht="15.75" thickBot="1" x14ac:dyDescent="0.3">
      <c r="A2856" s="25">
        <v>42746</v>
      </c>
      <c r="B2856" s="20" t="s">
        <v>19</v>
      </c>
      <c r="C2856" s="20">
        <v>100</v>
      </c>
      <c r="D2856" s="20" t="s">
        <v>10</v>
      </c>
      <c r="E2856" s="30">
        <v>28218</v>
      </c>
      <c r="F2856" s="30">
        <v>28268</v>
      </c>
      <c r="G2856" s="20">
        <v>0</v>
      </c>
      <c r="H2856" s="16">
        <v>0</v>
      </c>
      <c r="I2856" s="8">
        <f t="shared" si="2318"/>
        <v>5000</v>
      </c>
      <c r="J2856" s="8">
        <v>0</v>
      </c>
      <c r="K2856" s="8">
        <v>0</v>
      </c>
      <c r="L2856" s="8">
        <f t="shared" si="2316"/>
        <v>50</v>
      </c>
      <c r="M2856" s="8">
        <f t="shared" si="2317"/>
        <v>5000</v>
      </c>
      <c r="N2856" s="3"/>
      <c r="O2856" s="3"/>
      <c r="P2856" s="3"/>
      <c r="Q2856" s="4"/>
      <c r="R2856" s="5"/>
      <c r="S2856" s="5"/>
      <c r="T2856" s="5"/>
      <c r="U2856" s="5"/>
      <c r="V2856" s="5"/>
    </row>
    <row r="2857" spans="1:22" ht="15.75" thickBot="1" x14ac:dyDescent="0.3">
      <c r="A2857" s="25">
        <v>42745</v>
      </c>
      <c r="B2857" s="20" t="s">
        <v>18</v>
      </c>
      <c r="C2857" s="20">
        <v>1000</v>
      </c>
      <c r="D2857" s="20" t="s">
        <v>10</v>
      </c>
      <c r="E2857" s="30">
        <v>385.8</v>
      </c>
      <c r="F2857" s="30">
        <v>387.8</v>
      </c>
      <c r="G2857" s="20">
        <v>390.6</v>
      </c>
      <c r="H2857" s="16">
        <v>0</v>
      </c>
      <c r="I2857" s="8">
        <f t="shared" si="2318"/>
        <v>2000</v>
      </c>
      <c r="J2857" s="8">
        <f>(IF(D2857="SELL",IF(G2857="",0,F2857-G2857),IF(D2857="BUY",IF(G2857="",0,G2857-F2857))))*C2857</f>
        <v>2800.0000000000114</v>
      </c>
      <c r="K2857" s="8">
        <v>0</v>
      </c>
      <c r="L2857" s="8">
        <f t="shared" si="2316"/>
        <v>4.8000000000000105</v>
      </c>
      <c r="M2857" s="8">
        <f t="shared" si="2317"/>
        <v>4800.0000000000109</v>
      </c>
      <c r="N2857" s="3"/>
      <c r="O2857" s="3"/>
      <c r="P2857" s="3"/>
      <c r="Q2857" s="4"/>
      <c r="R2857" s="5"/>
      <c r="S2857" s="5"/>
      <c r="T2857" s="5"/>
      <c r="U2857" s="5"/>
      <c r="V2857" s="5"/>
    </row>
    <row r="2858" spans="1:22" ht="15.75" thickBot="1" x14ac:dyDescent="0.3">
      <c r="A2858" s="25">
        <v>42745</v>
      </c>
      <c r="B2858" s="20" t="s">
        <v>16</v>
      </c>
      <c r="C2858" s="20">
        <v>100</v>
      </c>
      <c r="D2858" s="20" t="s">
        <v>10</v>
      </c>
      <c r="E2858" s="30">
        <v>3567</v>
      </c>
      <c r="F2858" s="30">
        <v>3533</v>
      </c>
      <c r="G2858" s="20">
        <v>0</v>
      </c>
      <c r="H2858" s="16">
        <v>0</v>
      </c>
      <c r="I2858" s="8">
        <f t="shared" si="2318"/>
        <v>-3400</v>
      </c>
      <c r="J2858" s="8">
        <v>0</v>
      </c>
      <c r="K2858" s="8">
        <v>0</v>
      </c>
      <c r="L2858" s="8">
        <f t="shared" si="2316"/>
        <v>-34</v>
      </c>
      <c r="M2858" s="8">
        <f t="shared" si="2317"/>
        <v>-3400</v>
      </c>
      <c r="N2858" s="3"/>
      <c r="O2858" s="3"/>
      <c r="P2858" s="3"/>
      <c r="Q2858" s="4"/>
      <c r="R2858" s="5"/>
      <c r="S2858" s="5"/>
      <c r="T2858" s="5"/>
      <c r="U2858" s="5"/>
      <c r="V2858" s="5"/>
    </row>
    <row r="2859" spans="1:22" ht="15.75" thickBot="1" x14ac:dyDescent="0.3">
      <c r="A2859" s="25">
        <v>42745</v>
      </c>
      <c r="B2859" s="20" t="s">
        <v>19</v>
      </c>
      <c r="C2859" s="20">
        <v>100</v>
      </c>
      <c r="D2859" s="20" t="s">
        <v>10</v>
      </c>
      <c r="E2859" s="30">
        <v>28097</v>
      </c>
      <c r="F2859" s="30">
        <v>28147</v>
      </c>
      <c r="G2859" s="20">
        <v>0</v>
      </c>
      <c r="H2859" s="16">
        <v>0</v>
      </c>
      <c r="I2859" s="8">
        <f t="shared" si="2318"/>
        <v>5000</v>
      </c>
      <c r="J2859" s="8">
        <v>0</v>
      </c>
      <c r="K2859" s="8">
        <v>0</v>
      </c>
      <c r="L2859" s="8">
        <f t="shared" si="2316"/>
        <v>50</v>
      </c>
      <c r="M2859" s="8">
        <f t="shared" si="2317"/>
        <v>5000</v>
      </c>
      <c r="N2859" s="3"/>
      <c r="O2859" s="3"/>
      <c r="P2859" s="3"/>
      <c r="Q2859" s="4"/>
      <c r="R2859" s="5"/>
      <c r="S2859" s="5"/>
      <c r="T2859" s="5"/>
      <c r="U2859" s="5"/>
      <c r="V2859" s="5"/>
    </row>
    <row r="2860" spans="1:22" ht="15.75" thickBot="1" x14ac:dyDescent="0.3">
      <c r="A2860" s="25">
        <v>42745</v>
      </c>
      <c r="B2860" s="20" t="s">
        <v>18</v>
      </c>
      <c r="C2860" s="20">
        <v>1000</v>
      </c>
      <c r="D2860" s="20" t="s">
        <v>10</v>
      </c>
      <c r="E2860" s="30">
        <v>385.8</v>
      </c>
      <c r="F2860" s="30">
        <v>387.8</v>
      </c>
      <c r="G2860" s="20">
        <v>390.6</v>
      </c>
      <c r="H2860" s="16">
        <v>0</v>
      </c>
      <c r="I2860" s="8">
        <f t="shared" si="2318"/>
        <v>2000</v>
      </c>
      <c r="J2860" s="8">
        <f>(IF(D2860="SELL",IF(G2860="",0,F2860-G2860),IF(D2860="BUY",IF(G2860="",0,G2860-F2860))))*C2860</f>
        <v>2800.0000000000114</v>
      </c>
      <c r="K2860" s="8">
        <v>0</v>
      </c>
      <c r="L2860" s="8">
        <f t="shared" si="2316"/>
        <v>4.8000000000000105</v>
      </c>
      <c r="M2860" s="8">
        <f t="shared" si="2317"/>
        <v>4800.0000000000109</v>
      </c>
      <c r="N2860" s="3"/>
      <c r="O2860" s="3"/>
      <c r="P2860" s="3"/>
      <c r="Q2860" s="4"/>
      <c r="R2860" s="5"/>
      <c r="S2860" s="5"/>
      <c r="T2860" s="5"/>
      <c r="U2860" s="5"/>
      <c r="V2860" s="5"/>
    </row>
    <row r="2861" spans="1:22" ht="15.75" thickBot="1" x14ac:dyDescent="0.3">
      <c r="A2861" s="25">
        <v>42745</v>
      </c>
      <c r="B2861" s="20" t="s">
        <v>16</v>
      </c>
      <c r="C2861" s="20">
        <v>100</v>
      </c>
      <c r="D2861" s="20" t="s">
        <v>11</v>
      </c>
      <c r="E2861" s="30">
        <v>3545</v>
      </c>
      <c r="F2861" s="30">
        <v>3544</v>
      </c>
      <c r="G2861" s="20">
        <v>0</v>
      </c>
      <c r="H2861" s="16">
        <v>0</v>
      </c>
      <c r="I2861" s="8">
        <f t="shared" si="2318"/>
        <v>100</v>
      </c>
      <c r="J2861" s="8">
        <v>0</v>
      </c>
      <c r="K2861" s="8">
        <v>0</v>
      </c>
      <c r="L2861" s="8">
        <f t="shared" si="2316"/>
        <v>1</v>
      </c>
      <c r="M2861" s="8">
        <f t="shared" si="2317"/>
        <v>100</v>
      </c>
      <c r="N2861" s="3"/>
      <c r="O2861" s="3"/>
      <c r="P2861" s="3"/>
      <c r="Q2861" s="6"/>
      <c r="R2861" s="5"/>
      <c r="S2861" s="5"/>
      <c r="T2861" s="5"/>
      <c r="U2861" s="5"/>
      <c r="V2861" s="5"/>
    </row>
    <row r="2862" spans="1:22" ht="15.75" thickBot="1" x14ac:dyDescent="0.3">
      <c r="A2862" s="25">
        <v>42744</v>
      </c>
      <c r="B2862" s="20" t="s">
        <v>19</v>
      </c>
      <c r="C2862" s="20">
        <v>100</v>
      </c>
      <c r="D2862" s="20" t="s">
        <v>10</v>
      </c>
      <c r="E2862" s="30">
        <v>27928</v>
      </c>
      <c r="F2862" s="30">
        <v>27978</v>
      </c>
      <c r="G2862" s="20">
        <v>0</v>
      </c>
      <c r="H2862" s="16">
        <v>0</v>
      </c>
      <c r="I2862" s="8">
        <f t="shared" ref="I2862:I2881" si="2319">(IF(D2862="SELL",E2862-F2862,IF(D2862="BUY",F2862-E2862)))*C2862</f>
        <v>5000</v>
      </c>
      <c r="J2862" s="8">
        <v>0</v>
      </c>
      <c r="K2862" s="8">
        <v>0</v>
      </c>
      <c r="L2862" s="8">
        <f t="shared" si="2316"/>
        <v>50</v>
      </c>
      <c r="M2862" s="8">
        <f t="shared" si="2317"/>
        <v>5000</v>
      </c>
      <c r="N2862" s="3"/>
      <c r="O2862" s="3"/>
      <c r="P2862" s="3"/>
      <c r="Q2862" s="6"/>
      <c r="R2862" s="5"/>
      <c r="S2862" s="5"/>
      <c r="T2862" s="5"/>
      <c r="U2862" s="5"/>
      <c r="V2862" s="5"/>
    </row>
    <row r="2863" spans="1:22" ht="15.75" thickBot="1" x14ac:dyDescent="0.3">
      <c r="A2863" s="25">
        <v>42744</v>
      </c>
      <c r="B2863" s="20" t="s">
        <v>15</v>
      </c>
      <c r="C2863" s="20">
        <v>5000</v>
      </c>
      <c r="D2863" s="20" t="s">
        <v>10</v>
      </c>
      <c r="E2863" s="30">
        <v>141.69999999999999</v>
      </c>
      <c r="F2863" s="30">
        <v>142.4</v>
      </c>
      <c r="G2863" s="20">
        <v>143.30000000000001</v>
      </c>
      <c r="H2863" s="16">
        <v>0</v>
      </c>
      <c r="I2863" s="8">
        <f t="shared" si="2319"/>
        <v>3500.0000000000855</v>
      </c>
      <c r="J2863" s="8">
        <f>(IF(D2863="SELL",IF(G2863="",0,F2863-G2863),IF(D2863="BUY",IF(G2863="",0,G2863-F2863))))*C2863</f>
        <v>4500.0000000000282</v>
      </c>
      <c r="K2863" s="8">
        <v>0</v>
      </c>
      <c r="L2863" s="8">
        <f t="shared" si="2316"/>
        <v>1.6000000000000227</v>
      </c>
      <c r="M2863" s="8">
        <f t="shared" si="2317"/>
        <v>8000.0000000001137</v>
      </c>
      <c r="N2863" s="3"/>
      <c r="O2863" s="3"/>
      <c r="P2863" s="3"/>
      <c r="Q2863" s="4"/>
      <c r="R2863" s="5"/>
      <c r="S2863" s="5"/>
      <c r="T2863" s="5"/>
      <c r="U2863" s="5"/>
      <c r="V2863" s="5"/>
    </row>
    <row r="2864" spans="1:22" ht="15.75" thickBot="1" x14ac:dyDescent="0.3">
      <c r="A2864" s="25">
        <v>42744</v>
      </c>
      <c r="B2864" s="20" t="s">
        <v>17</v>
      </c>
      <c r="C2864" s="20">
        <v>5000</v>
      </c>
      <c r="D2864" s="20" t="s">
        <v>11</v>
      </c>
      <c r="E2864" s="30">
        <v>179.2</v>
      </c>
      <c r="F2864" s="30">
        <v>178.45</v>
      </c>
      <c r="G2864" s="20">
        <v>0</v>
      </c>
      <c r="H2864" s="16">
        <v>0</v>
      </c>
      <c r="I2864" s="8">
        <f t="shared" si="2319"/>
        <v>3750</v>
      </c>
      <c r="J2864" s="8">
        <v>0</v>
      </c>
      <c r="K2864" s="8">
        <v>0</v>
      </c>
      <c r="L2864" s="8">
        <f t="shared" si="2316"/>
        <v>0.75</v>
      </c>
      <c r="M2864" s="8">
        <f t="shared" si="2317"/>
        <v>3750</v>
      </c>
      <c r="N2864" s="3"/>
      <c r="O2864" s="3"/>
      <c r="P2864" s="3"/>
      <c r="Q2864" s="4"/>
      <c r="R2864" s="5"/>
      <c r="S2864" s="5"/>
      <c r="T2864" s="5"/>
      <c r="U2864" s="5"/>
      <c r="V2864" s="5"/>
    </row>
    <row r="2865" spans="1:22" ht="15.75" thickBot="1" x14ac:dyDescent="0.3">
      <c r="A2865" s="25">
        <v>42744</v>
      </c>
      <c r="B2865" s="20" t="s">
        <v>23</v>
      </c>
      <c r="C2865" s="20">
        <v>250</v>
      </c>
      <c r="D2865" s="20" t="s">
        <v>10</v>
      </c>
      <c r="E2865" s="30">
        <v>704</v>
      </c>
      <c r="F2865" s="30">
        <v>712</v>
      </c>
      <c r="G2865" s="20">
        <v>0</v>
      </c>
      <c r="H2865" s="16">
        <v>0</v>
      </c>
      <c r="I2865" s="8">
        <f t="shared" si="2319"/>
        <v>2000</v>
      </c>
      <c r="J2865" s="8">
        <v>0</v>
      </c>
      <c r="K2865" s="8">
        <v>0</v>
      </c>
      <c r="L2865" s="8">
        <f t="shared" si="2316"/>
        <v>8</v>
      </c>
      <c r="M2865" s="8">
        <f t="shared" si="2317"/>
        <v>2000</v>
      </c>
      <c r="N2865" s="3"/>
      <c r="O2865" s="3"/>
      <c r="P2865" s="3"/>
      <c r="Q2865" s="6"/>
      <c r="R2865" s="5"/>
    </row>
    <row r="2866" spans="1:22" ht="15.75" thickBot="1" x14ac:dyDescent="0.3">
      <c r="A2866" s="25">
        <v>42741</v>
      </c>
      <c r="B2866" s="20" t="s">
        <v>18</v>
      </c>
      <c r="C2866" s="20">
        <v>1000</v>
      </c>
      <c r="D2866" s="20" t="s">
        <v>10</v>
      </c>
      <c r="E2866" s="30">
        <v>381.2</v>
      </c>
      <c r="F2866" s="30">
        <v>379.15</v>
      </c>
      <c r="G2866" s="20">
        <v>0</v>
      </c>
      <c r="H2866" s="16">
        <v>0</v>
      </c>
      <c r="I2866" s="8">
        <f t="shared" si="2319"/>
        <v>-2050.0000000000114</v>
      </c>
      <c r="J2866" s="8">
        <v>0</v>
      </c>
      <c r="K2866" s="8">
        <v>0</v>
      </c>
      <c r="L2866" s="8">
        <f t="shared" si="2316"/>
        <v>-2.0500000000000114</v>
      </c>
      <c r="M2866" s="8">
        <f t="shared" si="2317"/>
        <v>-2050.0000000000114</v>
      </c>
      <c r="N2866" s="3"/>
      <c r="O2866" s="3"/>
      <c r="P2866" s="3"/>
      <c r="Q2866" s="4"/>
      <c r="R2866" s="5"/>
      <c r="S2866" s="5"/>
      <c r="T2866" s="5"/>
      <c r="U2866" s="5"/>
      <c r="V2866" s="5"/>
    </row>
    <row r="2867" spans="1:22" ht="15.75" thickBot="1" x14ac:dyDescent="0.3">
      <c r="A2867" s="25">
        <v>42741</v>
      </c>
      <c r="B2867" s="20" t="s">
        <v>19</v>
      </c>
      <c r="C2867" s="20">
        <v>100</v>
      </c>
      <c r="D2867" s="20" t="s">
        <v>10</v>
      </c>
      <c r="E2867" s="30">
        <v>27887</v>
      </c>
      <c r="F2867" s="30">
        <v>27937</v>
      </c>
      <c r="G2867" s="20">
        <v>0</v>
      </c>
      <c r="H2867" s="16">
        <v>0</v>
      </c>
      <c r="I2867" s="8">
        <f t="shared" si="2319"/>
        <v>5000</v>
      </c>
      <c r="J2867" s="8">
        <v>0</v>
      </c>
      <c r="K2867" s="8">
        <v>0</v>
      </c>
      <c r="L2867" s="8">
        <f t="shared" si="2316"/>
        <v>50</v>
      </c>
      <c r="M2867" s="8">
        <f t="shared" si="2317"/>
        <v>5000</v>
      </c>
      <c r="N2867" s="3"/>
      <c r="O2867" s="3"/>
      <c r="P2867" s="3"/>
      <c r="Q2867" s="4"/>
      <c r="R2867" s="5"/>
      <c r="S2867" s="5"/>
      <c r="T2867" s="5"/>
      <c r="U2867" s="5"/>
      <c r="V2867" s="5"/>
    </row>
    <row r="2868" spans="1:22" ht="15.75" thickBot="1" x14ac:dyDescent="0.3">
      <c r="A2868" s="25">
        <v>42741</v>
      </c>
      <c r="B2868" s="20" t="s">
        <v>15</v>
      </c>
      <c r="C2868" s="20">
        <v>5000</v>
      </c>
      <c r="D2868" s="20" t="s">
        <v>11</v>
      </c>
      <c r="E2868" s="30">
        <v>137.9</v>
      </c>
      <c r="F2868" s="30">
        <v>138.65</v>
      </c>
      <c r="G2868" s="20">
        <v>0</v>
      </c>
      <c r="H2868" s="16">
        <v>0</v>
      </c>
      <c r="I2868" s="8">
        <f t="shared" si="2319"/>
        <v>-3750</v>
      </c>
      <c r="J2868" s="8">
        <v>0</v>
      </c>
      <c r="K2868" s="8">
        <v>0</v>
      </c>
      <c r="L2868" s="8">
        <f t="shared" si="2316"/>
        <v>-0.75</v>
      </c>
      <c r="M2868" s="8">
        <f t="shared" si="2317"/>
        <v>-3750</v>
      </c>
      <c r="N2868" s="3"/>
      <c r="O2868" s="3"/>
      <c r="P2868" s="3"/>
      <c r="Q2868" s="4"/>
      <c r="R2868" s="5"/>
      <c r="S2868" s="5"/>
      <c r="T2868" s="5"/>
      <c r="U2868" s="5"/>
      <c r="V2868" s="5"/>
    </row>
    <row r="2869" spans="1:22" ht="15.75" thickBot="1" x14ac:dyDescent="0.3">
      <c r="A2869" s="25">
        <v>42741</v>
      </c>
      <c r="B2869" s="20" t="s">
        <v>19</v>
      </c>
      <c r="C2869" s="20">
        <v>100</v>
      </c>
      <c r="D2869" s="20" t="s">
        <v>10</v>
      </c>
      <c r="E2869" s="30">
        <v>27887</v>
      </c>
      <c r="F2869" s="30">
        <v>27937</v>
      </c>
      <c r="G2869" s="33">
        <v>0</v>
      </c>
      <c r="H2869" s="16">
        <v>0</v>
      </c>
      <c r="I2869" s="8">
        <f t="shared" si="2319"/>
        <v>5000</v>
      </c>
      <c r="J2869" s="8">
        <v>0</v>
      </c>
      <c r="K2869" s="8">
        <v>0</v>
      </c>
      <c r="L2869" s="8">
        <f t="shared" si="2316"/>
        <v>50</v>
      </c>
      <c r="M2869" s="8">
        <f t="shared" si="2317"/>
        <v>5000</v>
      </c>
      <c r="N2869" s="3"/>
      <c r="O2869" s="3"/>
      <c r="P2869" s="3"/>
      <c r="Q2869" s="4"/>
      <c r="R2869" s="5"/>
      <c r="S2869" s="5"/>
      <c r="T2869" s="5"/>
      <c r="U2869" s="5"/>
      <c r="V2869" s="5"/>
    </row>
    <row r="2870" spans="1:22" ht="15.75" thickBot="1" x14ac:dyDescent="0.3">
      <c r="A2870" s="25">
        <v>42741</v>
      </c>
      <c r="B2870" s="20" t="s">
        <v>14</v>
      </c>
      <c r="C2870" s="20">
        <v>30</v>
      </c>
      <c r="D2870" s="20" t="s">
        <v>10</v>
      </c>
      <c r="E2870" s="30">
        <v>40115</v>
      </c>
      <c r="F2870" s="30">
        <v>40220</v>
      </c>
      <c r="G2870" s="33">
        <v>0</v>
      </c>
      <c r="H2870" s="16">
        <v>0</v>
      </c>
      <c r="I2870" s="8">
        <f t="shared" si="2319"/>
        <v>3150</v>
      </c>
      <c r="J2870" s="8">
        <v>0</v>
      </c>
      <c r="K2870" s="8">
        <v>0</v>
      </c>
      <c r="L2870" s="8">
        <f t="shared" si="2316"/>
        <v>105</v>
      </c>
      <c r="M2870" s="8">
        <f t="shared" si="2317"/>
        <v>3150</v>
      </c>
      <c r="N2870" s="3"/>
      <c r="O2870" s="3"/>
      <c r="P2870" s="3"/>
      <c r="Q2870" s="4"/>
      <c r="R2870" s="5"/>
      <c r="S2870" s="5"/>
      <c r="T2870" s="5"/>
      <c r="U2870" s="5"/>
      <c r="V2870" s="5"/>
    </row>
    <row r="2871" spans="1:22" ht="15.75" thickBot="1" x14ac:dyDescent="0.3">
      <c r="A2871" s="25">
        <v>42740</v>
      </c>
      <c r="B2871" s="20" t="s">
        <v>20</v>
      </c>
      <c r="C2871" s="20">
        <v>1250</v>
      </c>
      <c r="D2871" s="20" t="s">
        <v>10</v>
      </c>
      <c r="E2871" s="30">
        <v>222.8</v>
      </c>
      <c r="F2871" s="30">
        <v>224.3</v>
      </c>
      <c r="G2871" s="33">
        <v>0</v>
      </c>
      <c r="H2871" s="16">
        <v>0</v>
      </c>
      <c r="I2871" s="8">
        <f t="shared" si="2319"/>
        <v>1875</v>
      </c>
      <c r="J2871" s="8">
        <v>0</v>
      </c>
      <c r="K2871" s="8">
        <v>0</v>
      </c>
      <c r="L2871" s="8">
        <f t="shared" si="2316"/>
        <v>1.5</v>
      </c>
      <c r="M2871" s="8">
        <f t="shared" si="2317"/>
        <v>1875</v>
      </c>
      <c r="N2871" s="3"/>
      <c r="O2871" s="3"/>
      <c r="P2871" s="3"/>
      <c r="Q2871" s="6"/>
      <c r="R2871" s="5"/>
      <c r="S2871" s="5"/>
      <c r="T2871" s="5"/>
      <c r="U2871" s="5"/>
      <c r="V2871" s="5"/>
    </row>
    <row r="2872" spans="1:22" ht="15.75" thickBot="1" x14ac:dyDescent="0.3">
      <c r="A2872" s="25">
        <v>42740</v>
      </c>
      <c r="B2872" s="20" t="s">
        <v>14</v>
      </c>
      <c r="C2872" s="20">
        <v>30</v>
      </c>
      <c r="D2872" s="20" t="s">
        <v>11</v>
      </c>
      <c r="E2872" s="30">
        <v>40570</v>
      </c>
      <c r="F2872" s="30">
        <v>40390</v>
      </c>
      <c r="G2872" s="33">
        <v>0</v>
      </c>
      <c r="H2872" s="16">
        <v>0</v>
      </c>
      <c r="I2872" s="8">
        <f t="shared" si="2319"/>
        <v>5400</v>
      </c>
      <c r="J2872" s="8">
        <v>0</v>
      </c>
      <c r="K2872" s="8">
        <v>0</v>
      </c>
      <c r="L2872" s="8">
        <f t="shared" si="2316"/>
        <v>180</v>
      </c>
      <c r="M2872" s="8">
        <f t="shared" si="2317"/>
        <v>5400</v>
      </c>
      <c r="N2872" s="3"/>
      <c r="O2872" s="3"/>
      <c r="P2872" s="3"/>
      <c r="Q2872" s="4"/>
      <c r="R2872" s="5"/>
      <c r="S2872" s="5"/>
      <c r="T2872" s="5"/>
      <c r="U2872" s="5"/>
      <c r="V2872" s="5"/>
    </row>
    <row r="2873" spans="1:22" ht="15.75" thickBot="1" x14ac:dyDescent="0.3">
      <c r="A2873" s="25">
        <v>42740</v>
      </c>
      <c r="B2873" s="20" t="s">
        <v>18</v>
      </c>
      <c r="C2873" s="20">
        <v>1000</v>
      </c>
      <c r="D2873" s="20" t="s">
        <v>10</v>
      </c>
      <c r="E2873" s="30">
        <v>385</v>
      </c>
      <c r="F2873" s="30">
        <v>387</v>
      </c>
      <c r="G2873" s="33">
        <v>0</v>
      </c>
      <c r="H2873" s="16">
        <v>0</v>
      </c>
      <c r="I2873" s="8">
        <f t="shared" si="2319"/>
        <v>2000</v>
      </c>
      <c r="J2873" s="8">
        <v>0</v>
      </c>
      <c r="K2873" s="8">
        <v>0</v>
      </c>
      <c r="L2873" s="8">
        <f t="shared" si="2316"/>
        <v>2</v>
      </c>
      <c r="M2873" s="8">
        <f t="shared" si="2317"/>
        <v>2000</v>
      </c>
      <c r="N2873" s="3"/>
      <c r="O2873" s="3"/>
      <c r="P2873" s="3"/>
      <c r="Q2873" s="6"/>
      <c r="R2873" s="5"/>
      <c r="S2873" s="5"/>
      <c r="T2873" s="5"/>
      <c r="U2873" s="5"/>
      <c r="V2873" s="5"/>
    </row>
    <row r="2874" spans="1:22" ht="15.75" thickBot="1" x14ac:dyDescent="0.3">
      <c r="A2874" s="25">
        <v>42740</v>
      </c>
      <c r="B2874" s="20" t="s">
        <v>16</v>
      </c>
      <c r="C2874" s="20">
        <v>100</v>
      </c>
      <c r="D2874" s="20" t="s">
        <v>10</v>
      </c>
      <c r="E2874" s="30">
        <v>3624</v>
      </c>
      <c r="F2874" s="30">
        <v>3644</v>
      </c>
      <c r="G2874" s="33">
        <v>0</v>
      </c>
      <c r="H2874" s="16">
        <v>0</v>
      </c>
      <c r="I2874" s="8">
        <f t="shared" si="2319"/>
        <v>2000</v>
      </c>
      <c r="J2874" s="8">
        <v>0</v>
      </c>
      <c r="K2874" s="8">
        <v>0</v>
      </c>
      <c r="L2874" s="8">
        <f t="shared" si="2316"/>
        <v>20</v>
      </c>
      <c r="M2874" s="8">
        <f t="shared" si="2317"/>
        <v>2000</v>
      </c>
      <c r="N2874" s="3"/>
      <c r="O2874" s="3"/>
      <c r="P2874" s="3"/>
      <c r="Q2874" s="4"/>
      <c r="R2874" s="5"/>
      <c r="S2874" s="5"/>
      <c r="T2874" s="5"/>
      <c r="U2874" s="5"/>
      <c r="V2874" s="5"/>
    </row>
    <row r="2875" spans="1:22" ht="15.75" thickBot="1" x14ac:dyDescent="0.3">
      <c r="A2875" s="25">
        <v>42739</v>
      </c>
      <c r="B2875" s="20" t="s">
        <v>14</v>
      </c>
      <c r="C2875" s="20">
        <v>30</v>
      </c>
      <c r="D2875" s="20" t="s">
        <v>10</v>
      </c>
      <c r="E2875" s="30">
        <v>40225</v>
      </c>
      <c r="F2875" s="30">
        <v>40320</v>
      </c>
      <c r="G2875" s="33">
        <v>0</v>
      </c>
      <c r="H2875" s="16">
        <v>0</v>
      </c>
      <c r="I2875" s="8">
        <f t="shared" si="2319"/>
        <v>2850</v>
      </c>
      <c r="J2875" s="8">
        <v>0</v>
      </c>
      <c r="K2875" s="8">
        <v>0</v>
      </c>
      <c r="L2875" s="8">
        <f t="shared" si="2316"/>
        <v>95</v>
      </c>
      <c r="M2875" s="8">
        <f t="shared" si="2317"/>
        <v>2850</v>
      </c>
      <c r="N2875" s="3"/>
      <c r="O2875" s="3"/>
      <c r="P2875" s="3"/>
      <c r="Q2875" s="6"/>
      <c r="R2875" s="5"/>
      <c r="S2875" s="7"/>
    </row>
    <row r="2876" spans="1:22" ht="15.75" thickBot="1" x14ac:dyDescent="0.3">
      <c r="A2876" s="25">
        <v>42739</v>
      </c>
      <c r="B2876" s="20" t="s">
        <v>20</v>
      </c>
      <c r="C2876" s="20">
        <v>1250</v>
      </c>
      <c r="D2876" s="20" t="s">
        <v>11</v>
      </c>
      <c r="E2876" s="30">
        <v>224.5</v>
      </c>
      <c r="F2876" s="30">
        <v>226.8</v>
      </c>
      <c r="G2876" s="33">
        <v>0</v>
      </c>
      <c r="H2876" s="16">
        <v>0</v>
      </c>
      <c r="I2876" s="8">
        <f t="shared" si="2319"/>
        <v>-2875.0000000000141</v>
      </c>
      <c r="J2876" s="8">
        <v>0</v>
      </c>
      <c r="K2876" s="8">
        <v>0</v>
      </c>
      <c r="L2876" s="8">
        <f t="shared" si="2316"/>
        <v>-2.3000000000000114</v>
      </c>
      <c r="M2876" s="8">
        <f t="shared" si="2317"/>
        <v>-2875.0000000000141</v>
      </c>
      <c r="N2876" s="3"/>
      <c r="O2876" s="3"/>
      <c r="P2876" s="3"/>
      <c r="Q2876" s="4"/>
      <c r="R2876" s="5"/>
      <c r="S2876" s="5"/>
      <c r="T2876" s="5"/>
      <c r="U2876" s="5"/>
      <c r="V2876" s="5"/>
    </row>
    <row r="2877" spans="1:22" ht="15.75" thickBot="1" x14ac:dyDescent="0.3">
      <c r="A2877" s="26">
        <v>42738</v>
      </c>
      <c r="B2877" s="28" t="s">
        <v>14</v>
      </c>
      <c r="C2877" s="21">
        <v>30</v>
      </c>
      <c r="D2877" s="28" t="s">
        <v>10</v>
      </c>
      <c r="E2877" s="31">
        <v>40225</v>
      </c>
      <c r="F2877" s="31">
        <v>40320</v>
      </c>
      <c r="G2877" s="28">
        <v>0</v>
      </c>
      <c r="H2877" s="17">
        <v>0</v>
      </c>
      <c r="I2877" s="1">
        <f t="shared" si="2319"/>
        <v>2850</v>
      </c>
      <c r="J2877" s="1">
        <v>0</v>
      </c>
      <c r="K2877" s="1">
        <v>0</v>
      </c>
      <c r="L2877" s="1">
        <f t="shared" si="2316"/>
        <v>95</v>
      </c>
      <c r="M2877" s="1">
        <f t="shared" si="2317"/>
        <v>2850</v>
      </c>
      <c r="N2877" s="3"/>
      <c r="O2877" s="3"/>
      <c r="P2877" s="3"/>
      <c r="Q2877" s="4"/>
      <c r="R2877" s="5"/>
      <c r="S2877" s="5"/>
      <c r="T2877" s="5"/>
      <c r="U2877" s="5"/>
      <c r="V2877" s="5"/>
    </row>
    <row r="2878" spans="1:22" ht="15.75" thickBot="1" x14ac:dyDescent="0.3">
      <c r="A2878" s="27">
        <v>42738</v>
      </c>
      <c r="B2878" s="29" t="s">
        <v>19</v>
      </c>
      <c r="C2878" s="22">
        <v>100</v>
      </c>
      <c r="D2878" s="29" t="s">
        <v>11</v>
      </c>
      <c r="E2878" s="32">
        <v>27600</v>
      </c>
      <c r="F2878" s="32">
        <v>27550</v>
      </c>
      <c r="G2878" s="29">
        <v>27475</v>
      </c>
      <c r="H2878" s="17">
        <v>0</v>
      </c>
      <c r="I2878" s="1">
        <f t="shared" si="2319"/>
        <v>5000</v>
      </c>
      <c r="J2878" s="2">
        <f>(IF(D2878="SELL",IF(G2878="",0,F2878-G2878),IF(D2878="BUY",IF(G2878="",0,G2878-F2878))))*C2878</f>
        <v>7500</v>
      </c>
      <c r="K2878" s="1">
        <v>0</v>
      </c>
      <c r="L2878" s="2">
        <f t="shared" si="2316"/>
        <v>125</v>
      </c>
      <c r="M2878" s="2">
        <f t="shared" si="2317"/>
        <v>12500</v>
      </c>
      <c r="N2878" s="3"/>
      <c r="O2878" s="3"/>
      <c r="P2878" s="3"/>
      <c r="Q2878" s="4"/>
      <c r="R2878" s="5"/>
      <c r="S2878" s="5"/>
      <c r="T2878" s="5"/>
      <c r="U2878" s="5"/>
      <c r="V2878" s="5"/>
    </row>
    <row r="2879" spans="1:22" ht="15.75" thickBot="1" x14ac:dyDescent="0.3">
      <c r="A2879" s="27">
        <v>42738</v>
      </c>
      <c r="B2879" s="29" t="s">
        <v>16</v>
      </c>
      <c r="C2879" s="22">
        <v>100</v>
      </c>
      <c r="D2879" s="29" t="s">
        <v>10</v>
      </c>
      <c r="E2879" s="32">
        <v>3720</v>
      </c>
      <c r="F2879" s="32">
        <v>3750</v>
      </c>
      <c r="G2879" s="29">
        <v>3780</v>
      </c>
      <c r="H2879" s="17">
        <v>0</v>
      </c>
      <c r="I2879" s="1">
        <f t="shared" si="2319"/>
        <v>3000</v>
      </c>
      <c r="J2879" s="2">
        <f>(IF(D2879="SELL",IF(G2879="",0,F2879-G2879),IF(D2879="BUY",IF(G2879="",0,G2879-F2879))))*C2879</f>
        <v>3000</v>
      </c>
      <c r="K2879" s="1">
        <v>0</v>
      </c>
      <c r="L2879" s="2">
        <f t="shared" si="2316"/>
        <v>60</v>
      </c>
      <c r="M2879" s="2">
        <f t="shared" si="2317"/>
        <v>6000</v>
      </c>
      <c r="N2879" s="3"/>
      <c r="O2879" s="3"/>
      <c r="P2879" s="3"/>
      <c r="Q2879" s="6"/>
      <c r="R2879" s="5"/>
      <c r="S2879" s="5"/>
      <c r="T2879" s="5"/>
      <c r="U2879" s="5"/>
      <c r="V2879" s="5"/>
    </row>
    <row r="2880" spans="1:22" x14ac:dyDescent="0.25">
      <c r="A2880" s="27">
        <v>42737</v>
      </c>
      <c r="B2880" s="29" t="s">
        <v>14</v>
      </c>
      <c r="C2880" s="22">
        <v>30</v>
      </c>
      <c r="D2880" s="29" t="s">
        <v>10</v>
      </c>
      <c r="E2880" s="32">
        <v>40225</v>
      </c>
      <c r="F2880" s="32">
        <v>40320</v>
      </c>
      <c r="G2880" s="29">
        <v>0</v>
      </c>
      <c r="H2880" s="17">
        <v>0</v>
      </c>
      <c r="I2880" s="1">
        <f t="shared" si="2319"/>
        <v>2850</v>
      </c>
      <c r="J2880" s="2">
        <v>0</v>
      </c>
      <c r="K2880" s="1">
        <v>0</v>
      </c>
      <c r="L2880" s="2">
        <f t="shared" si="2316"/>
        <v>95</v>
      </c>
      <c r="M2880" s="2">
        <f t="shared" si="2317"/>
        <v>2850</v>
      </c>
      <c r="N2880" s="3"/>
      <c r="O2880" s="3"/>
      <c r="P2880" s="3"/>
      <c r="Q2880" s="4"/>
      <c r="R2880" s="5"/>
      <c r="S2880" s="5"/>
      <c r="T2880" s="5"/>
      <c r="U2880" s="5"/>
      <c r="V2880" s="5"/>
    </row>
    <row r="2881" spans="1:22" ht="15.75" thickBot="1" x14ac:dyDescent="0.3">
      <c r="A2881" s="27">
        <v>42734</v>
      </c>
      <c r="B2881" s="29" t="s">
        <v>14</v>
      </c>
      <c r="C2881" s="22">
        <v>30</v>
      </c>
      <c r="D2881" s="29" t="s">
        <v>10</v>
      </c>
      <c r="E2881" s="32">
        <v>39760</v>
      </c>
      <c r="F2881" s="32">
        <v>39860</v>
      </c>
      <c r="G2881" s="29">
        <v>0</v>
      </c>
      <c r="H2881" s="17">
        <v>0</v>
      </c>
      <c r="I2881" s="1">
        <f t="shared" si="2319"/>
        <v>3000</v>
      </c>
      <c r="J2881" s="2">
        <v>0</v>
      </c>
      <c r="K2881" s="1">
        <v>0</v>
      </c>
      <c r="L2881" s="2">
        <f t="shared" si="2316"/>
        <v>100</v>
      </c>
      <c r="M2881" s="2">
        <f t="shared" si="2317"/>
        <v>3000</v>
      </c>
    </row>
    <row r="2882" spans="1:22" ht="15.75" thickBot="1" x14ac:dyDescent="0.3">
      <c r="A2882" s="27">
        <v>42734</v>
      </c>
      <c r="B2882" s="29" t="s">
        <v>15</v>
      </c>
      <c r="C2882" s="22">
        <v>5000</v>
      </c>
      <c r="D2882" s="29" t="s">
        <v>10</v>
      </c>
      <c r="E2882" s="32">
        <v>134</v>
      </c>
      <c r="F2882" s="32">
        <v>134.5</v>
      </c>
      <c r="G2882" s="29">
        <v>135</v>
      </c>
      <c r="H2882" s="17">
        <v>0</v>
      </c>
      <c r="I2882" s="1">
        <f t="shared" ref="I2882:I2944" si="2320">(IF(D2882="SELL",E2882-F2882,IF(D2882="BUY",F2882-E2882)))*C2882</f>
        <v>2500</v>
      </c>
      <c r="J2882" s="2">
        <f>(IF(D2882="SELL",IF(G2882="",0,F2882-G2882),IF(D2882="BUY",IF(G2882="",0,G2882-F2882))))*C2882</f>
        <v>2500</v>
      </c>
      <c r="K2882" s="1">
        <v>0</v>
      </c>
      <c r="L2882" s="2">
        <f t="shared" ref="L2882:L2944" si="2321">(J2882+I2882+K2882)/C2882</f>
        <v>1</v>
      </c>
      <c r="M2882" s="2">
        <f t="shared" ref="M2882:M2944" si="2322">L2882*C2882</f>
        <v>5000</v>
      </c>
      <c r="N2882" s="3"/>
      <c r="O2882" s="3"/>
      <c r="P2882" s="3"/>
      <c r="Q2882" s="4"/>
      <c r="R2882" s="5"/>
      <c r="S2882" s="5"/>
      <c r="T2882" s="5"/>
      <c r="U2882" s="5"/>
      <c r="V2882" s="5"/>
    </row>
    <row r="2883" spans="1:22" x14ac:dyDescent="0.25">
      <c r="A2883" s="27">
        <v>42733</v>
      </c>
      <c r="B2883" s="29" t="s">
        <v>14</v>
      </c>
      <c r="C2883" s="22">
        <v>30</v>
      </c>
      <c r="D2883" s="29" t="s">
        <v>11</v>
      </c>
      <c r="E2883" s="32">
        <v>39700</v>
      </c>
      <c r="F2883" s="32">
        <v>39580</v>
      </c>
      <c r="G2883" s="29">
        <v>39460</v>
      </c>
      <c r="H2883" s="17">
        <v>0</v>
      </c>
      <c r="I2883" s="1">
        <f t="shared" si="2320"/>
        <v>3600</v>
      </c>
      <c r="J2883" s="2">
        <f>(IF(D2883="SELL",IF(G2883="",0,F2883-G2883),IF(D2883="BUY",IF(G2883="",0,G2883-F2883))))*C2883</f>
        <v>3600</v>
      </c>
      <c r="K2883" s="1">
        <v>0</v>
      </c>
      <c r="L2883" s="2">
        <f t="shared" si="2321"/>
        <v>240</v>
      </c>
      <c r="M2883" s="2">
        <f t="shared" si="2322"/>
        <v>7200</v>
      </c>
      <c r="N2883" s="3"/>
      <c r="O2883" s="3"/>
      <c r="P2883" s="3"/>
      <c r="Q2883" s="4"/>
      <c r="R2883" s="5"/>
      <c r="S2883" s="5"/>
      <c r="T2883" s="5"/>
      <c r="U2883" s="5"/>
      <c r="V2883" s="5"/>
    </row>
    <row r="2884" spans="1:22" x14ac:dyDescent="0.25">
      <c r="A2884" s="27">
        <v>42733</v>
      </c>
      <c r="B2884" s="29" t="s">
        <v>15</v>
      </c>
      <c r="C2884" s="22">
        <v>5000</v>
      </c>
      <c r="D2884" s="29" t="s">
        <v>10</v>
      </c>
      <c r="E2884" s="32">
        <v>137.5</v>
      </c>
      <c r="F2884" s="32">
        <v>138.1</v>
      </c>
      <c r="G2884" s="29">
        <v>0</v>
      </c>
      <c r="H2884" s="17">
        <v>0</v>
      </c>
      <c r="I2884" s="1">
        <f t="shared" si="2320"/>
        <v>2999.9999999999718</v>
      </c>
      <c r="J2884" s="2">
        <v>0</v>
      </c>
      <c r="K2884" s="1">
        <v>0</v>
      </c>
      <c r="L2884" s="2">
        <f t="shared" si="2321"/>
        <v>0.59999999999999432</v>
      </c>
      <c r="M2884" s="2">
        <f t="shared" si="2322"/>
        <v>2999.9999999999718</v>
      </c>
    </row>
    <row r="2885" spans="1:22" x14ac:dyDescent="0.25">
      <c r="A2885" s="27">
        <v>42732</v>
      </c>
      <c r="B2885" s="29" t="s">
        <v>16</v>
      </c>
      <c r="C2885" s="22">
        <v>100</v>
      </c>
      <c r="D2885" s="29" t="s">
        <v>10</v>
      </c>
      <c r="E2885" s="32">
        <v>3680</v>
      </c>
      <c r="F2885" s="32">
        <v>3695</v>
      </c>
      <c r="G2885" s="29">
        <v>3710</v>
      </c>
      <c r="H2885" s="17">
        <v>0</v>
      </c>
      <c r="I2885" s="1">
        <f t="shared" si="2320"/>
        <v>1500</v>
      </c>
      <c r="J2885" s="2">
        <f>(IF(D2885="SELL",IF(G2885="",0,F2885-G2885),IF(D2885="BUY",IF(G2885="",0,G2885-F2885))))*C2885</f>
        <v>1500</v>
      </c>
      <c r="K2885" s="1">
        <v>0</v>
      </c>
      <c r="L2885" s="2">
        <f t="shared" si="2321"/>
        <v>30</v>
      </c>
      <c r="M2885" s="2">
        <f t="shared" si="2322"/>
        <v>3000</v>
      </c>
    </row>
    <row r="2886" spans="1:22" x14ac:dyDescent="0.25">
      <c r="A2886" s="27">
        <v>42732</v>
      </c>
      <c r="B2886" s="29" t="s">
        <v>17</v>
      </c>
      <c r="C2886" s="22">
        <v>5000</v>
      </c>
      <c r="D2886" s="29" t="s">
        <v>10</v>
      </c>
      <c r="E2886" s="32">
        <v>174.5</v>
      </c>
      <c r="F2886" s="32">
        <v>173.7</v>
      </c>
      <c r="G2886" s="29">
        <v>0</v>
      </c>
      <c r="H2886" s="17">
        <v>0</v>
      </c>
      <c r="I2886" s="1">
        <f t="shared" si="2320"/>
        <v>-4000.0000000000568</v>
      </c>
      <c r="J2886" s="1">
        <v>0</v>
      </c>
      <c r="K2886" s="1">
        <v>0</v>
      </c>
      <c r="L2886" s="2">
        <f t="shared" si="2321"/>
        <v>-0.80000000000001137</v>
      </c>
      <c r="M2886" s="2">
        <f t="shared" si="2322"/>
        <v>-4000.0000000000568</v>
      </c>
    </row>
    <row r="2887" spans="1:22" x14ac:dyDescent="0.25">
      <c r="A2887" s="27">
        <v>42732</v>
      </c>
      <c r="B2887" s="29" t="s">
        <v>18</v>
      </c>
      <c r="C2887" s="22">
        <v>1000</v>
      </c>
      <c r="D2887" s="29" t="s">
        <v>10</v>
      </c>
      <c r="E2887" s="32">
        <v>380.8</v>
      </c>
      <c r="F2887" s="32">
        <v>377.8</v>
      </c>
      <c r="G2887" s="29">
        <v>0</v>
      </c>
      <c r="H2887" s="17">
        <v>0</v>
      </c>
      <c r="I2887" s="1">
        <f t="shared" si="2320"/>
        <v>-3000</v>
      </c>
      <c r="J2887" s="1">
        <v>0</v>
      </c>
      <c r="K2887" s="1">
        <v>0</v>
      </c>
      <c r="L2887" s="2">
        <f t="shared" si="2321"/>
        <v>-3</v>
      </c>
      <c r="M2887" s="2">
        <f t="shared" si="2322"/>
        <v>-3000</v>
      </c>
    </row>
    <row r="2888" spans="1:22" x14ac:dyDescent="0.25">
      <c r="A2888" s="27">
        <v>42732</v>
      </c>
      <c r="B2888" s="29" t="s">
        <v>14</v>
      </c>
      <c r="C2888" s="22">
        <v>30</v>
      </c>
      <c r="D2888" s="29" t="s">
        <v>10</v>
      </c>
      <c r="E2888" s="32">
        <v>39480</v>
      </c>
      <c r="F2888" s="32">
        <v>39230</v>
      </c>
      <c r="G2888" s="29">
        <v>0</v>
      </c>
      <c r="H2888" s="17">
        <v>0</v>
      </c>
      <c r="I2888" s="1">
        <f t="shared" si="2320"/>
        <v>-7500</v>
      </c>
      <c r="J2888" s="1">
        <v>0</v>
      </c>
      <c r="K2888" s="1">
        <v>0</v>
      </c>
      <c r="L2888" s="2">
        <f t="shared" si="2321"/>
        <v>-250</v>
      </c>
      <c r="M2888" s="2">
        <f t="shared" si="2322"/>
        <v>-7500</v>
      </c>
    </row>
    <row r="2889" spans="1:22" x14ac:dyDescent="0.25">
      <c r="A2889" s="27">
        <v>42731</v>
      </c>
      <c r="B2889" s="29" t="s">
        <v>14</v>
      </c>
      <c r="C2889" s="22">
        <v>30</v>
      </c>
      <c r="D2889" s="29" t="s">
        <v>10</v>
      </c>
      <c r="E2889" s="32">
        <v>38950</v>
      </c>
      <c r="F2889" s="32">
        <v>39070</v>
      </c>
      <c r="G2889" s="29">
        <v>39190</v>
      </c>
      <c r="H2889" s="17">
        <v>0</v>
      </c>
      <c r="I2889" s="1">
        <f t="shared" si="2320"/>
        <v>3600</v>
      </c>
      <c r="J2889" s="2">
        <v>0</v>
      </c>
      <c r="K2889" s="1">
        <v>0</v>
      </c>
      <c r="L2889" s="2">
        <f t="shared" si="2321"/>
        <v>120</v>
      </c>
      <c r="M2889" s="2">
        <f t="shared" si="2322"/>
        <v>3600</v>
      </c>
    </row>
    <row r="2890" spans="1:22" x14ac:dyDescent="0.25">
      <c r="A2890" s="27">
        <v>42731</v>
      </c>
      <c r="B2890" s="29" t="s">
        <v>15</v>
      </c>
      <c r="C2890" s="22">
        <v>5000</v>
      </c>
      <c r="D2890" s="29" t="s">
        <v>10</v>
      </c>
      <c r="E2890" s="32">
        <v>138.6</v>
      </c>
      <c r="F2890" s="32">
        <v>139.1</v>
      </c>
      <c r="G2890" s="29">
        <v>139.6</v>
      </c>
      <c r="H2890" s="17">
        <v>0</v>
      </c>
      <c r="I2890" s="1">
        <f t="shared" si="2320"/>
        <v>2500</v>
      </c>
      <c r="J2890" s="2">
        <f t="shared" ref="J2890:J2921" si="2323">(IF(D2890="SELL",IF(G2890="",0,F2890-G2890),IF(D2890="BUY",IF(G2890="",0,G2890-F2890))))*C2890</f>
        <v>2500</v>
      </c>
      <c r="K2890" s="1">
        <v>0</v>
      </c>
      <c r="L2890" s="2">
        <f t="shared" si="2321"/>
        <v>1</v>
      </c>
      <c r="M2890" s="2">
        <f t="shared" si="2322"/>
        <v>5000</v>
      </c>
    </row>
    <row r="2891" spans="1:22" x14ac:dyDescent="0.25">
      <c r="A2891" s="27">
        <v>42731</v>
      </c>
      <c r="B2891" s="29" t="s">
        <v>16</v>
      </c>
      <c r="C2891" s="22">
        <v>100</v>
      </c>
      <c r="D2891" s="29" t="s">
        <v>10</v>
      </c>
      <c r="E2891" s="32">
        <v>3630</v>
      </c>
      <c r="F2891" s="32">
        <v>3645</v>
      </c>
      <c r="G2891" s="29">
        <v>3660</v>
      </c>
      <c r="H2891" s="17">
        <v>0</v>
      </c>
      <c r="I2891" s="1">
        <f t="shared" si="2320"/>
        <v>1500</v>
      </c>
      <c r="J2891" s="2">
        <f t="shared" si="2323"/>
        <v>1500</v>
      </c>
      <c r="K2891" s="1">
        <v>0</v>
      </c>
      <c r="L2891" s="2">
        <f t="shared" si="2321"/>
        <v>30</v>
      </c>
      <c r="M2891" s="2">
        <f t="shared" si="2322"/>
        <v>3000</v>
      </c>
    </row>
    <row r="2892" spans="1:22" x14ac:dyDescent="0.25">
      <c r="A2892" s="27">
        <v>42731</v>
      </c>
      <c r="B2892" s="29" t="s">
        <v>19</v>
      </c>
      <c r="C2892" s="22">
        <v>100</v>
      </c>
      <c r="D2892" s="29" t="s">
        <v>11</v>
      </c>
      <c r="E2892" s="32">
        <v>27080</v>
      </c>
      <c r="F2892" s="32">
        <v>27180</v>
      </c>
      <c r="G2892" s="29">
        <v>0</v>
      </c>
      <c r="H2892" s="17">
        <v>0</v>
      </c>
      <c r="I2892" s="1">
        <f t="shared" si="2320"/>
        <v>-10000</v>
      </c>
      <c r="J2892" s="1">
        <v>0</v>
      </c>
      <c r="K2892" s="1">
        <v>0</v>
      </c>
      <c r="L2892" s="2">
        <f t="shared" si="2321"/>
        <v>-100</v>
      </c>
      <c r="M2892" s="2">
        <f t="shared" si="2322"/>
        <v>-10000</v>
      </c>
    </row>
    <row r="2893" spans="1:22" x14ac:dyDescent="0.25">
      <c r="A2893" s="27">
        <v>42727</v>
      </c>
      <c r="B2893" s="29" t="s">
        <v>16</v>
      </c>
      <c r="C2893" s="22">
        <v>100</v>
      </c>
      <c r="D2893" s="29" t="s">
        <v>11</v>
      </c>
      <c r="E2893" s="32">
        <v>3585</v>
      </c>
      <c r="F2893" s="32">
        <v>3570</v>
      </c>
      <c r="G2893" s="29">
        <v>3555</v>
      </c>
      <c r="H2893" s="17">
        <v>0</v>
      </c>
      <c r="I2893" s="1">
        <f t="shared" si="2320"/>
        <v>1500</v>
      </c>
      <c r="J2893" s="2">
        <f t="shared" si="2323"/>
        <v>1500</v>
      </c>
      <c r="K2893" s="1">
        <v>0</v>
      </c>
      <c r="L2893" s="2">
        <f t="shared" si="2321"/>
        <v>30</v>
      </c>
      <c r="M2893" s="2">
        <f t="shared" si="2322"/>
        <v>3000</v>
      </c>
    </row>
    <row r="2894" spans="1:22" x14ac:dyDescent="0.25">
      <c r="A2894" s="27">
        <v>42727</v>
      </c>
      <c r="B2894" s="29" t="s">
        <v>15</v>
      </c>
      <c r="C2894" s="22">
        <v>5000</v>
      </c>
      <c r="D2894" s="29" t="s">
        <v>11</v>
      </c>
      <c r="E2894" s="32">
        <v>143</v>
      </c>
      <c r="F2894" s="32">
        <v>142.1</v>
      </c>
      <c r="G2894" s="29">
        <v>0</v>
      </c>
      <c r="H2894" s="17">
        <v>0</v>
      </c>
      <c r="I2894" s="1">
        <f t="shared" si="2320"/>
        <v>4500.0000000000282</v>
      </c>
      <c r="J2894" s="2">
        <v>0</v>
      </c>
      <c r="K2894" s="1">
        <v>0</v>
      </c>
      <c r="L2894" s="2">
        <f t="shared" si="2321"/>
        <v>0.90000000000000568</v>
      </c>
      <c r="M2894" s="2">
        <f t="shared" si="2322"/>
        <v>4500.0000000000282</v>
      </c>
    </row>
    <row r="2895" spans="1:22" x14ac:dyDescent="0.25">
      <c r="A2895" s="27">
        <v>42726</v>
      </c>
      <c r="B2895" s="29" t="s">
        <v>19</v>
      </c>
      <c r="C2895" s="22">
        <v>100</v>
      </c>
      <c r="D2895" s="29" t="s">
        <v>11</v>
      </c>
      <c r="E2895" s="32">
        <v>26960</v>
      </c>
      <c r="F2895" s="32">
        <v>26910</v>
      </c>
      <c r="G2895" s="29">
        <v>26860</v>
      </c>
      <c r="H2895" s="17">
        <v>0</v>
      </c>
      <c r="I2895" s="1">
        <f t="shared" si="2320"/>
        <v>5000</v>
      </c>
      <c r="J2895" s="2">
        <f t="shared" si="2323"/>
        <v>5000</v>
      </c>
      <c r="K2895" s="1">
        <v>0</v>
      </c>
      <c r="L2895" s="2">
        <f t="shared" si="2321"/>
        <v>100</v>
      </c>
      <c r="M2895" s="2">
        <f t="shared" si="2322"/>
        <v>10000</v>
      </c>
    </row>
    <row r="2896" spans="1:22" x14ac:dyDescent="0.25">
      <c r="A2896" s="27">
        <v>42726</v>
      </c>
      <c r="B2896" s="29" t="s">
        <v>15</v>
      </c>
      <c r="C2896" s="22">
        <v>5000</v>
      </c>
      <c r="D2896" s="29" t="s">
        <v>11</v>
      </c>
      <c r="E2896" s="32">
        <v>144.69999999999999</v>
      </c>
      <c r="F2896" s="32">
        <v>144.1</v>
      </c>
      <c r="G2896" s="29">
        <v>142.5</v>
      </c>
      <c r="H2896" s="17">
        <v>0</v>
      </c>
      <c r="I2896" s="1">
        <f t="shared" si="2320"/>
        <v>2999.9999999999718</v>
      </c>
      <c r="J2896" s="2">
        <f t="shared" si="2323"/>
        <v>7999.9999999999718</v>
      </c>
      <c r="K2896" s="1">
        <v>0</v>
      </c>
      <c r="L2896" s="2">
        <f t="shared" si="2321"/>
        <v>2.1999999999999886</v>
      </c>
      <c r="M2896" s="2">
        <f t="shared" si="2322"/>
        <v>10999.999999999944</v>
      </c>
    </row>
    <row r="2897" spans="1:13" x14ac:dyDescent="0.25">
      <c r="A2897" s="27">
        <v>42726</v>
      </c>
      <c r="B2897" s="29" t="s">
        <v>14</v>
      </c>
      <c r="C2897" s="22">
        <v>30</v>
      </c>
      <c r="D2897" s="29" t="s">
        <v>11</v>
      </c>
      <c r="E2897" s="32">
        <v>39000</v>
      </c>
      <c r="F2897" s="32">
        <v>38880</v>
      </c>
      <c r="G2897" s="29">
        <v>0</v>
      </c>
      <c r="H2897" s="17">
        <v>0</v>
      </c>
      <c r="I2897" s="1">
        <f t="shared" si="2320"/>
        <v>3600</v>
      </c>
      <c r="J2897" s="2">
        <v>0</v>
      </c>
      <c r="K2897" s="1">
        <v>0</v>
      </c>
      <c r="L2897" s="2">
        <f t="shared" si="2321"/>
        <v>120</v>
      </c>
      <c r="M2897" s="2">
        <f t="shared" si="2322"/>
        <v>3600</v>
      </c>
    </row>
    <row r="2898" spans="1:13" x14ac:dyDescent="0.25">
      <c r="A2898" s="27">
        <v>42726</v>
      </c>
      <c r="B2898" s="29" t="s">
        <v>16</v>
      </c>
      <c r="C2898" s="22">
        <v>100</v>
      </c>
      <c r="D2898" s="29" t="s">
        <v>11</v>
      </c>
      <c r="E2898" s="32">
        <v>3575</v>
      </c>
      <c r="F2898" s="32">
        <v>3560</v>
      </c>
      <c r="G2898" s="29">
        <v>0</v>
      </c>
      <c r="H2898" s="17">
        <v>0</v>
      </c>
      <c r="I2898" s="1">
        <f t="shared" si="2320"/>
        <v>1500</v>
      </c>
      <c r="J2898" s="2">
        <v>0</v>
      </c>
      <c r="K2898" s="1">
        <v>0</v>
      </c>
      <c r="L2898" s="2">
        <f t="shared" si="2321"/>
        <v>15</v>
      </c>
      <c r="M2898" s="2">
        <f t="shared" si="2322"/>
        <v>1500</v>
      </c>
    </row>
    <row r="2899" spans="1:13" x14ac:dyDescent="0.25">
      <c r="A2899" s="27">
        <v>42726</v>
      </c>
      <c r="B2899" s="29" t="s">
        <v>17</v>
      </c>
      <c r="C2899" s="22">
        <v>5000</v>
      </c>
      <c r="D2899" s="29" t="s">
        <v>10</v>
      </c>
      <c r="E2899" s="32">
        <v>174.7</v>
      </c>
      <c r="F2899" s="32">
        <v>173.9</v>
      </c>
      <c r="G2899" s="29">
        <v>0</v>
      </c>
      <c r="H2899" s="17">
        <v>0</v>
      </c>
      <c r="I2899" s="1">
        <f t="shared" si="2320"/>
        <v>-3999.9999999999145</v>
      </c>
      <c r="J2899" s="2">
        <v>0</v>
      </c>
      <c r="K2899" s="1">
        <v>0</v>
      </c>
      <c r="L2899" s="2">
        <f t="shared" si="2321"/>
        <v>-0.79999999999998295</v>
      </c>
      <c r="M2899" s="2">
        <f t="shared" si="2322"/>
        <v>-3999.9999999999145</v>
      </c>
    </row>
    <row r="2900" spans="1:13" x14ac:dyDescent="0.25">
      <c r="A2900" s="27">
        <v>42725</v>
      </c>
      <c r="B2900" s="29" t="s">
        <v>14</v>
      </c>
      <c r="C2900" s="22">
        <v>30</v>
      </c>
      <c r="D2900" s="29" t="s">
        <v>11</v>
      </c>
      <c r="E2900" s="32">
        <v>39620</v>
      </c>
      <c r="F2900" s="32">
        <v>39500</v>
      </c>
      <c r="G2900" s="29">
        <v>38810</v>
      </c>
      <c r="H2900" s="17">
        <v>0</v>
      </c>
      <c r="I2900" s="1">
        <f t="shared" si="2320"/>
        <v>3600</v>
      </c>
      <c r="J2900" s="2">
        <f t="shared" si="2323"/>
        <v>20700</v>
      </c>
      <c r="K2900" s="1">
        <v>0</v>
      </c>
      <c r="L2900" s="2">
        <f t="shared" si="2321"/>
        <v>810</v>
      </c>
      <c r="M2900" s="2">
        <f t="shared" si="2322"/>
        <v>24300</v>
      </c>
    </row>
    <row r="2901" spans="1:13" x14ac:dyDescent="0.25">
      <c r="A2901" s="27">
        <v>42725</v>
      </c>
      <c r="B2901" s="29" t="s">
        <v>20</v>
      </c>
      <c r="C2901" s="22">
        <v>1250</v>
      </c>
      <c r="D2901" s="29" t="s">
        <v>11</v>
      </c>
      <c r="E2901" s="32">
        <v>226</v>
      </c>
      <c r="F2901" s="32">
        <v>229</v>
      </c>
      <c r="G2901" s="29">
        <v>0</v>
      </c>
      <c r="H2901" s="17">
        <v>0</v>
      </c>
      <c r="I2901" s="1">
        <f t="shared" si="2320"/>
        <v>-3750</v>
      </c>
      <c r="J2901" s="2">
        <v>0</v>
      </c>
      <c r="K2901" s="1">
        <v>0</v>
      </c>
      <c r="L2901" s="2">
        <f t="shared" si="2321"/>
        <v>-3</v>
      </c>
      <c r="M2901" s="2">
        <f t="shared" si="2322"/>
        <v>-3750</v>
      </c>
    </row>
    <row r="2902" spans="1:13" x14ac:dyDescent="0.25">
      <c r="A2902" s="27">
        <v>42724</v>
      </c>
      <c r="B2902" s="29" t="s">
        <v>19</v>
      </c>
      <c r="C2902" s="22">
        <v>100</v>
      </c>
      <c r="D2902" s="29" t="s">
        <v>11</v>
      </c>
      <c r="E2902" s="32">
        <v>27150</v>
      </c>
      <c r="F2902" s="32">
        <v>27100</v>
      </c>
      <c r="G2902" s="29">
        <v>27050</v>
      </c>
      <c r="H2902" s="17">
        <v>0</v>
      </c>
      <c r="I2902" s="1">
        <f t="shared" si="2320"/>
        <v>5000</v>
      </c>
      <c r="J2902" s="2">
        <f t="shared" si="2323"/>
        <v>5000</v>
      </c>
      <c r="K2902" s="1">
        <v>0</v>
      </c>
      <c r="L2902" s="2">
        <f t="shared" si="2321"/>
        <v>100</v>
      </c>
      <c r="M2902" s="2">
        <f t="shared" si="2322"/>
        <v>10000</v>
      </c>
    </row>
    <row r="2903" spans="1:13" x14ac:dyDescent="0.25">
      <c r="A2903" s="27">
        <v>42724</v>
      </c>
      <c r="B2903" s="29" t="s">
        <v>14</v>
      </c>
      <c r="C2903" s="22">
        <v>30</v>
      </c>
      <c r="D2903" s="29" t="s">
        <v>11</v>
      </c>
      <c r="E2903" s="32">
        <v>39050</v>
      </c>
      <c r="F2903" s="32">
        <v>38930</v>
      </c>
      <c r="G2903" s="29">
        <v>38810</v>
      </c>
      <c r="H2903" s="18">
        <v>0</v>
      </c>
      <c r="I2903" s="1">
        <f t="shared" si="2320"/>
        <v>3600</v>
      </c>
      <c r="J2903" s="2">
        <f t="shared" si="2323"/>
        <v>3600</v>
      </c>
      <c r="K2903" s="1">
        <v>0</v>
      </c>
      <c r="L2903" s="2">
        <f t="shared" si="2321"/>
        <v>240</v>
      </c>
      <c r="M2903" s="2">
        <f t="shared" si="2322"/>
        <v>7200</v>
      </c>
    </row>
    <row r="2904" spans="1:13" x14ac:dyDescent="0.25">
      <c r="A2904" s="27">
        <v>42724</v>
      </c>
      <c r="B2904" s="29" t="s">
        <v>17</v>
      </c>
      <c r="C2904" s="22">
        <v>5000</v>
      </c>
      <c r="D2904" s="29" t="s">
        <v>11</v>
      </c>
      <c r="E2904" s="32">
        <v>174.7</v>
      </c>
      <c r="F2904" s="32">
        <v>174.2</v>
      </c>
      <c r="G2904" s="29">
        <v>173.7</v>
      </c>
      <c r="H2904" s="18">
        <v>0</v>
      </c>
      <c r="I2904" s="1">
        <f t="shared" si="2320"/>
        <v>2500</v>
      </c>
      <c r="J2904" s="2">
        <f t="shared" si="2323"/>
        <v>2500</v>
      </c>
      <c r="K2904" s="1">
        <v>0</v>
      </c>
      <c r="L2904" s="2">
        <f t="shared" si="2321"/>
        <v>1</v>
      </c>
      <c r="M2904" s="2">
        <f t="shared" si="2322"/>
        <v>5000</v>
      </c>
    </row>
    <row r="2905" spans="1:13" x14ac:dyDescent="0.25">
      <c r="A2905" s="27">
        <v>42724</v>
      </c>
      <c r="B2905" s="29" t="s">
        <v>20</v>
      </c>
      <c r="C2905" s="22">
        <v>1250</v>
      </c>
      <c r="D2905" s="29" t="s">
        <v>11</v>
      </c>
      <c r="E2905" s="32">
        <v>229</v>
      </c>
      <c r="F2905" s="32">
        <v>227.5</v>
      </c>
      <c r="G2905" s="29">
        <v>226</v>
      </c>
      <c r="H2905" s="18">
        <v>0</v>
      </c>
      <c r="I2905" s="1">
        <f t="shared" si="2320"/>
        <v>1875</v>
      </c>
      <c r="J2905" s="2">
        <f t="shared" si="2323"/>
        <v>1875</v>
      </c>
      <c r="K2905" s="1">
        <v>0</v>
      </c>
      <c r="L2905" s="2">
        <f t="shared" si="2321"/>
        <v>3</v>
      </c>
      <c r="M2905" s="2">
        <f t="shared" si="2322"/>
        <v>3750</v>
      </c>
    </row>
    <row r="2906" spans="1:13" x14ac:dyDescent="0.25">
      <c r="A2906" s="27">
        <v>42724</v>
      </c>
      <c r="B2906" s="29" t="s">
        <v>15</v>
      </c>
      <c r="C2906" s="22">
        <v>5000</v>
      </c>
      <c r="D2906" s="29" t="s">
        <v>10</v>
      </c>
      <c r="E2906" s="32">
        <v>145.19999999999999</v>
      </c>
      <c r="F2906" s="32">
        <v>144.6</v>
      </c>
      <c r="G2906" s="29">
        <v>0</v>
      </c>
      <c r="H2906" s="18">
        <v>0</v>
      </c>
      <c r="I2906" s="1">
        <f t="shared" si="2320"/>
        <v>-2999.9999999999718</v>
      </c>
      <c r="J2906" s="2">
        <v>0</v>
      </c>
      <c r="K2906" s="1">
        <v>0</v>
      </c>
      <c r="L2906" s="2">
        <f t="shared" si="2321"/>
        <v>-0.59999999999999432</v>
      </c>
      <c r="M2906" s="2">
        <f t="shared" si="2322"/>
        <v>-2999.9999999999718</v>
      </c>
    </row>
    <row r="2907" spans="1:13" x14ac:dyDescent="0.25">
      <c r="A2907" s="27">
        <v>42723</v>
      </c>
      <c r="B2907" s="29" t="s">
        <v>16</v>
      </c>
      <c r="C2907" s="22">
        <v>100</v>
      </c>
      <c r="D2907" s="29" t="s">
        <v>10</v>
      </c>
      <c r="E2907" s="32">
        <v>3605</v>
      </c>
      <c r="F2907" s="32">
        <v>3635</v>
      </c>
      <c r="G2907" s="29">
        <v>0</v>
      </c>
      <c r="H2907" s="18">
        <v>0</v>
      </c>
      <c r="I2907" s="1">
        <f t="shared" si="2320"/>
        <v>3000</v>
      </c>
      <c r="J2907" s="2">
        <v>0</v>
      </c>
      <c r="K2907" s="1">
        <v>0</v>
      </c>
      <c r="L2907" s="2">
        <f t="shared" si="2321"/>
        <v>30</v>
      </c>
      <c r="M2907" s="2">
        <f t="shared" si="2322"/>
        <v>3000</v>
      </c>
    </row>
    <row r="2908" spans="1:13" x14ac:dyDescent="0.25">
      <c r="A2908" s="27">
        <v>42723</v>
      </c>
      <c r="B2908" s="29" t="s">
        <v>14</v>
      </c>
      <c r="C2908" s="22">
        <v>30</v>
      </c>
      <c r="D2908" s="29" t="s">
        <v>11</v>
      </c>
      <c r="E2908" s="32">
        <v>39520</v>
      </c>
      <c r="F2908" s="32">
        <v>39400</v>
      </c>
      <c r="G2908" s="29">
        <v>0</v>
      </c>
      <c r="H2908" s="18">
        <v>0</v>
      </c>
      <c r="I2908" s="1">
        <f t="shared" si="2320"/>
        <v>3600</v>
      </c>
      <c r="J2908" s="2">
        <v>0</v>
      </c>
      <c r="K2908" s="1">
        <v>0</v>
      </c>
      <c r="L2908" s="2">
        <f t="shared" si="2321"/>
        <v>120</v>
      </c>
      <c r="M2908" s="2">
        <f t="shared" si="2322"/>
        <v>3600</v>
      </c>
    </row>
    <row r="2909" spans="1:13" x14ac:dyDescent="0.25">
      <c r="A2909" s="27">
        <v>42723</v>
      </c>
      <c r="B2909" s="29" t="s">
        <v>16</v>
      </c>
      <c r="C2909" s="22">
        <v>100</v>
      </c>
      <c r="D2909" s="29" t="s">
        <v>11</v>
      </c>
      <c r="E2909" s="32">
        <v>3545</v>
      </c>
      <c r="F2909" s="32">
        <v>3530</v>
      </c>
      <c r="G2909" s="29">
        <v>3515</v>
      </c>
      <c r="H2909" s="18">
        <v>0</v>
      </c>
      <c r="I2909" s="1">
        <f t="shared" si="2320"/>
        <v>1500</v>
      </c>
      <c r="J2909" s="2">
        <f t="shared" si="2323"/>
        <v>1500</v>
      </c>
      <c r="K2909" s="1">
        <v>0</v>
      </c>
      <c r="L2909" s="2">
        <f t="shared" si="2321"/>
        <v>30</v>
      </c>
      <c r="M2909" s="2">
        <f t="shared" si="2322"/>
        <v>3000</v>
      </c>
    </row>
    <row r="2910" spans="1:13" x14ac:dyDescent="0.25">
      <c r="A2910" s="27">
        <v>42720</v>
      </c>
      <c r="B2910" s="29" t="s">
        <v>15</v>
      </c>
      <c r="C2910" s="22">
        <v>5000</v>
      </c>
      <c r="D2910" s="29" t="s">
        <v>10</v>
      </c>
      <c r="E2910" s="32">
        <v>151.4</v>
      </c>
      <c r="F2910" s="32">
        <v>150.6</v>
      </c>
      <c r="G2910" s="29">
        <v>0</v>
      </c>
      <c r="H2910" s="18">
        <v>0</v>
      </c>
      <c r="I2910" s="1">
        <f t="shared" si="2320"/>
        <v>-4000.0000000000568</v>
      </c>
      <c r="J2910" s="2">
        <v>0</v>
      </c>
      <c r="K2910" s="1">
        <v>0</v>
      </c>
      <c r="L2910" s="2">
        <f t="shared" si="2321"/>
        <v>-0.80000000000001137</v>
      </c>
      <c r="M2910" s="2">
        <f t="shared" si="2322"/>
        <v>-4000.0000000000568</v>
      </c>
    </row>
    <row r="2911" spans="1:13" x14ac:dyDescent="0.25">
      <c r="A2911" s="27">
        <v>42720</v>
      </c>
      <c r="B2911" s="29" t="s">
        <v>14</v>
      </c>
      <c r="C2911" s="22">
        <v>30</v>
      </c>
      <c r="D2911" s="29" t="s">
        <v>11</v>
      </c>
      <c r="E2911" s="32">
        <v>39520</v>
      </c>
      <c r="F2911" s="32">
        <v>39400</v>
      </c>
      <c r="G2911" s="29">
        <v>39280</v>
      </c>
      <c r="H2911" s="18">
        <v>0</v>
      </c>
      <c r="I2911" s="1">
        <f t="shared" si="2320"/>
        <v>3600</v>
      </c>
      <c r="J2911" s="2">
        <f t="shared" si="2323"/>
        <v>3600</v>
      </c>
      <c r="K2911" s="1">
        <v>0</v>
      </c>
      <c r="L2911" s="2">
        <f t="shared" si="2321"/>
        <v>240</v>
      </c>
      <c r="M2911" s="2">
        <f t="shared" si="2322"/>
        <v>7200</v>
      </c>
    </row>
    <row r="2912" spans="1:13" x14ac:dyDescent="0.25">
      <c r="A2912" s="27">
        <v>42720</v>
      </c>
      <c r="B2912" s="29" t="s">
        <v>15</v>
      </c>
      <c r="C2912" s="22">
        <v>5000</v>
      </c>
      <c r="D2912" s="29" t="s">
        <v>11</v>
      </c>
      <c r="E2912" s="32">
        <v>157</v>
      </c>
      <c r="F2912" s="32">
        <v>157.4</v>
      </c>
      <c r="G2912" s="29">
        <v>156.80000000000001</v>
      </c>
      <c r="H2912" s="18">
        <v>0</v>
      </c>
      <c r="I2912" s="1">
        <f t="shared" si="2320"/>
        <v>-2000.0000000000284</v>
      </c>
      <c r="J2912" s="2">
        <f t="shared" si="2323"/>
        <v>2999.9999999999718</v>
      </c>
      <c r="K2912" s="1">
        <v>0</v>
      </c>
      <c r="L2912" s="2">
        <f t="shared" si="2321"/>
        <v>0.19999999999998869</v>
      </c>
      <c r="M2912" s="2">
        <f t="shared" si="2322"/>
        <v>999.99999999994338</v>
      </c>
    </row>
    <row r="2913" spans="1:13" x14ac:dyDescent="0.25">
      <c r="A2913" s="27">
        <v>42720</v>
      </c>
      <c r="B2913" s="29" t="s">
        <v>17</v>
      </c>
      <c r="C2913" s="22">
        <v>5000</v>
      </c>
      <c r="D2913" s="29" t="s">
        <v>11</v>
      </c>
      <c r="E2913" s="32">
        <v>189.2</v>
      </c>
      <c r="F2913" s="32">
        <v>188.6</v>
      </c>
      <c r="G2913" s="29">
        <v>188</v>
      </c>
      <c r="H2913" s="18">
        <v>0</v>
      </c>
      <c r="I2913" s="1">
        <f t="shared" si="2320"/>
        <v>2999.9999999999718</v>
      </c>
      <c r="J2913" s="2">
        <f t="shared" si="2323"/>
        <v>2999.9999999999718</v>
      </c>
      <c r="K2913" s="1">
        <v>0</v>
      </c>
      <c r="L2913" s="2">
        <f t="shared" si="2321"/>
        <v>1.1999999999999886</v>
      </c>
      <c r="M2913" s="2">
        <f t="shared" si="2322"/>
        <v>5999.9999999999436</v>
      </c>
    </row>
    <row r="2914" spans="1:13" x14ac:dyDescent="0.25">
      <c r="A2914" s="27">
        <v>42720</v>
      </c>
      <c r="B2914" s="29" t="s">
        <v>19</v>
      </c>
      <c r="C2914" s="22">
        <v>100</v>
      </c>
      <c r="D2914" s="29" t="s">
        <v>11</v>
      </c>
      <c r="E2914" s="32">
        <v>27050</v>
      </c>
      <c r="F2914" s="32">
        <v>27000</v>
      </c>
      <c r="G2914" s="29">
        <v>0</v>
      </c>
      <c r="H2914" s="18">
        <v>0</v>
      </c>
      <c r="I2914" s="1">
        <f t="shared" si="2320"/>
        <v>5000</v>
      </c>
      <c r="J2914" s="2">
        <v>0</v>
      </c>
      <c r="K2914" s="1">
        <v>0</v>
      </c>
      <c r="L2914" s="2">
        <f t="shared" si="2321"/>
        <v>50</v>
      </c>
      <c r="M2914" s="2">
        <f t="shared" si="2322"/>
        <v>5000</v>
      </c>
    </row>
    <row r="2915" spans="1:13" x14ac:dyDescent="0.25">
      <c r="A2915" s="27">
        <v>42720</v>
      </c>
      <c r="B2915" s="29" t="s">
        <v>20</v>
      </c>
      <c r="C2915" s="22">
        <v>1250</v>
      </c>
      <c r="D2915" s="29" t="s">
        <v>11</v>
      </c>
      <c r="E2915" s="32">
        <v>231.5</v>
      </c>
      <c r="F2915" s="32">
        <v>230</v>
      </c>
      <c r="G2915" s="29">
        <v>228.5</v>
      </c>
      <c r="H2915" s="18">
        <v>0</v>
      </c>
      <c r="I2915" s="1">
        <f t="shared" si="2320"/>
        <v>1875</v>
      </c>
      <c r="J2915" s="2">
        <f t="shared" si="2323"/>
        <v>1875</v>
      </c>
      <c r="K2915" s="1">
        <v>0</v>
      </c>
      <c r="L2915" s="2">
        <f t="shared" si="2321"/>
        <v>3</v>
      </c>
      <c r="M2915" s="2">
        <f t="shared" si="2322"/>
        <v>3750</v>
      </c>
    </row>
    <row r="2916" spans="1:13" x14ac:dyDescent="0.25">
      <c r="A2916" s="27">
        <v>42719</v>
      </c>
      <c r="B2916" s="29" t="s">
        <v>19</v>
      </c>
      <c r="C2916" s="22">
        <v>100</v>
      </c>
      <c r="D2916" s="29" t="s">
        <v>11</v>
      </c>
      <c r="E2916" s="32">
        <v>27260</v>
      </c>
      <c r="F2916" s="32">
        <v>27200</v>
      </c>
      <c r="G2916" s="29">
        <v>27150</v>
      </c>
      <c r="H2916" s="18">
        <v>0</v>
      </c>
      <c r="I2916" s="1">
        <f t="shared" si="2320"/>
        <v>6000</v>
      </c>
      <c r="J2916" s="2">
        <f t="shared" si="2323"/>
        <v>5000</v>
      </c>
      <c r="K2916" s="1">
        <v>0</v>
      </c>
      <c r="L2916" s="2">
        <f t="shared" si="2321"/>
        <v>110</v>
      </c>
      <c r="M2916" s="2">
        <f t="shared" si="2322"/>
        <v>11000</v>
      </c>
    </row>
    <row r="2917" spans="1:13" x14ac:dyDescent="0.25">
      <c r="A2917" s="27">
        <v>42719</v>
      </c>
      <c r="B2917" s="29" t="s">
        <v>15</v>
      </c>
      <c r="C2917" s="22">
        <v>5000</v>
      </c>
      <c r="D2917" s="29" t="s">
        <v>11</v>
      </c>
      <c r="E2917" s="32">
        <v>159.19999999999999</v>
      </c>
      <c r="F2917" s="32">
        <v>158.6</v>
      </c>
      <c r="G2917" s="29">
        <v>158</v>
      </c>
      <c r="H2917" s="17">
        <v>0</v>
      </c>
      <c r="I2917" s="1">
        <f t="shared" si="2320"/>
        <v>2999.9999999999718</v>
      </c>
      <c r="J2917" s="2">
        <f t="shared" si="2323"/>
        <v>2999.9999999999718</v>
      </c>
      <c r="K2917" s="1">
        <v>0</v>
      </c>
      <c r="L2917" s="2">
        <f t="shared" si="2321"/>
        <v>1.1999999999999886</v>
      </c>
      <c r="M2917" s="2">
        <f t="shared" si="2322"/>
        <v>5999.9999999999436</v>
      </c>
    </row>
    <row r="2918" spans="1:13" x14ac:dyDescent="0.25">
      <c r="A2918" s="27">
        <v>42719</v>
      </c>
      <c r="B2918" s="29" t="s">
        <v>17</v>
      </c>
      <c r="C2918" s="22">
        <v>5000</v>
      </c>
      <c r="D2918" s="29" t="s">
        <v>11</v>
      </c>
      <c r="E2918" s="32">
        <v>189.1</v>
      </c>
      <c r="F2918" s="32">
        <v>188.6</v>
      </c>
      <c r="G2918" s="29">
        <v>188.1</v>
      </c>
      <c r="H2918" s="17">
        <v>0</v>
      </c>
      <c r="I2918" s="1">
        <f t="shared" si="2320"/>
        <v>2500</v>
      </c>
      <c r="J2918" s="2">
        <f t="shared" si="2323"/>
        <v>2500</v>
      </c>
      <c r="K2918" s="1">
        <v>0</v>
      </c>
      <c r="L2918" s="2">
        <f t="shared" si="2321"/>
        <v>1</v>
      </c>
      <c r="M2918" s="2">
        <f t="shared" si="2322"/>
        <v>5000</v>
      </c>
    </row>
    <row r="2919" spans="1:13" x14ac:dyDescent="0.25">
      <c r="A2919" s="27">
        <v>42718</v>
      </c>
      <c r="B2919" s="29" t="s">
        <v>19</v>
      </c>
      <c r="C2919" s="22">
        <v>100</v>
      </c>
      <c r="D2919" s="29" t="s">
        <v>10</v>
      </c>
      <c r="E2919" s="32">
        <v>27600</v>
      </c>
      <c r="F2919" s="32">
        <v>27650</v>
      </c>
      <c r="G2919" s="29">
        <v>0</v>
      </c>
      <c r="H2919" s="17">
        <v>0</v>
      </c>
      <c r="I2919" s="1">
        <f t="shared" si="2320"/>
        <v>5000</v>
      </c>
      <c r="J2919" s="1">
        <v>0</v>
      </c>
      <c r="K2919" s="1">
        <v>0</v>
      </c>
      <c r="L2919" s="2">
        <f t="shared" si="2321"/>
        <v>50</v>
      </c>
      <c r="M2919" s="2">
        <f t="shared" si="2322"/>
        <v>5000</v>
      </c>
    </row>
    <row r="2920" spans="1:13" x14ac:dyDescent="0.25">
      <c r="A2920" s="27">
        <v>42718</v>
      </c>
      <c r="B2920" s="29" t="s">
        <v>17</v>
      </c>
      <c r="C2920" s="22">
        <v>5000</v>
      </c>
      <c r="D2920" s="29" t="s">
        <v>10</v>
      </c>
      <c r="E2920" s="32">
        <v>182.8</v>
      </c>
      <c r="F2920" s="32">
        <v>183.3</v>
      </c>
      <c r="G2920" s="29">
        <v>183.8</v>
      </c>
      <c r="H2920" s="17">
        <v>0</v>
      </c>
      <c r="I2920" s="1">
        <f t="shared" si="2320"/>
        <v>2500</v>
      </c>
      <c r="J2920" s="2">
        <f t="shared" si="2323"/>
        <v>2500</v>
      </c>
      <c r="K2920" s="1">
        <v>0</v>
      </c>
      <c r="L2920" s="2">
        <f t="shared" si="2321"/>
        <v>1</v>
      </c>
      <c r="M2920" s="2">
        <f t="shared" si="2322"/>
        <v>5000</v>
      </c>
    </row>
    <row r="2921" spans="1:13" x14ac:dyDescent="0.25">
      <c r="A2921" s="27">
        <v>42717</v>
      </c>
      <c r="B2921" s="29" t="s">
        <v>16</v>
      </c>
      <c r="C2921" s="22">
        <v>100</v>
      </c>
      <c r="D2921" s="29" t="s">
        <v>11</v>
      </c>
      <c r="E2921" s="32">
        <v>3585</v>
      </c>
      <c r="F2921" s="32">
        <v>3560</v>
      </c>
      <c r="G2921" s="29">
        <v>3540</v>
      </c>
      <c r="H2921" s="17">
        <v>0</v>
      </c>
      <c r="I2921" s="1">
        <f t="shared" si="2320"/>
        <v>2500</v>
      </c>
      <c r="J2921" s="2">
        <f t="shared" si="2323"/>
        <v>2000</v>
      </c>
      <c r="K2921" s="1">
        <v>0</v>
      </c>
      <c r="L2921" s="2">
        <f t="shared" si="2321"/>
        <v>45</v>
      </c>
      <c r="M2921" s="2">
        <f t="shared" si="2322"/>
        <v>4500</v>
      </c>
    </row>
    <row r="2922" spans="1:13" x14ac:dyDescent="0.25">
      <c r="A2922" s="27">
        <v>42717</v>
      </c>
      <c r="B2922" s="29" t="s">
        <v>18</v>
      </c>
      <c r="C2922" s="22">
        <v>1000</v>
      </c>
      <c r="D2922" s="29" t="s">
        <v>10</v>
      </c>
      <c r="E2922" s="32">
        <v>390.85</v>
      </c>
      <c r="F2922" s="32">
        <v>392.85</v>
      </c>
      <c r="G2922" s="29">
        <v>0</v>
      </c>
      <c r="H2922" s="17">
        <v>0</v>
      </c>
      <c r="I2922" s="1">
        <f t="shared" si="2320"/>
        <v>2000</v>
      </c>
      <c r="J2922" s="1">
        <v>0</v>
      </c>
      <c r="K2922" s="1">
        <v>0</v>
      </c>
      <c r="L2922" s="2">
        <f t="shared" si="2321"/>
        <v>2</v>
      </c>
      <c r="M2922" s="2">
        <f t="shared" si="2322"/>
        <v>2000</v>
      </c>
    </row>
    <row r="2923" spans="1:13" x14ac:dyDescent="0.25">
      <c r="A2923" s="27">
        <v>42717</v>
      </c>
      <c r="B2923" s="29" t="s">
        <v>19</v>
      </c>
      <c r="C2923" s="22">
        <v>100</v>
      </c>
      <c r="D2923" s="29" t="s">
        <v>11</v>
      </c>
      <c r="E2923" s="32">
        <v>27585</v>
      </c>
      <c r="F2923" s="32">
        <v>27535</v>
      </c>
      <c r="G2923" s="29">
        <v>0</v>
      </c>
      <c r="H2923" s="17">
        <v>0</v>
      </c>
      <c r="I2923" s="1">
        <f t="shared" si="2320"/>
        <v>5000</v>
      </c>
      <c r="J2923" s="1">
        <v>0</v>
      </c>
      <c r="K2923" s="1">
        <v>0</v>
      </c>
      <c r="L2923" s="2">
        <f t="shared" si="2321"/>
        <v>50</v>
      </c>
      <c r="M2923" s="2">
        <f t="shared" si="2322"/>
        <v>5000</v>
      </c>
    </row>
    <row r="2924" spans="1:13" x14ac:dyDescent="0.25">
      <c r="A2924" s="27">
        <v>42716</v>
      </c>
      <c r="B2924" s="29" t="s">
        <v>18</v>
      </c>
      <c r="C2924" s="22">
        <v>1000</v>
      </c>
      <c r="D2924" s="29" t="s">
        <v>10</v>
      </c>
      <c r="E2924" s="32">
        <v>392.7</v>
      </c>
      <c r="F2924" s="32">
        <v>394.2</v>
      </c>
      <c r="G2924" s="29">
        <v>0</v>
      </c>
      <c r="H2924" s="17">
        <v>0</v>
      </c>
      <c r="I2924" s="1">
        <f t="shared" si="2320"/>
        <v>1500</v>
      </c>
      <c r="J2924" s="1">
        <v>0</v>
      </c>
      <c r="K2924" s="1">
        <v>0</v>
      </c>
      <c r="L2924" s="2">
        <f t="shared" si="2321"/>
        <v>1.5</v>
      </c>
      <c r="M2924" s="2">
        <f t="shared" si="2322"/>
        <v>1500</v>
      </c>
    </row>
    <row r="2925" spans="1:13" x14ac:dyDescent="0.25">
      <c r="A2925" s="27">
        <v>42716</v>
      </c>
      <c r="B2925" s="29" t="s">
        <v>17</v>
      </c>
      <c r="C2925" s="22">
        <v>5000</v>
      </c>
      <c r="D2925" s="29" t="s">
        <v>10</v>
      </c>
      <c r="E2925" s="32">
        <v>182.5</v>
      </c>
      <c r="F2925" s="32">
        <v>182</v>
      </c>
      <c r="G2925" s="29">
        <v>0</v>
      </c>
      <c r="H2925" s="17">
        <v>0</v>
      </c>
      <c r="I2925" s="1">
        <f t="shared" si="2320"/>
        <v>-2500</v>
      </c>
      <c r="J2925" s="1">
        <v>0</v>
      </c>
      <c r="K2925" s="1">
        <v>0</v>
      </c>
      <c r="L2925" s="2">
        <f t="shared" si="2321"/>
        <v>-0.5</v>
      </c>
      <c r="M2925" s="2">
        <f t="shared" si="2322"/>
        <v>-2500</v>
      </c>
    </row>
    <row r="2926" spans="1:13" x14ac:dyDescent="0.25">
      <c r="A2926" s="27">
        <v>42716</v>
      </c>
      <c r="B2926" s="29" t="s">
        <v>20</v>
      </c>
      <c r="C2926" s="22">
        <v>1250</v>
      </c>
      <c r="D2926" s="29" t="s">
        <v>11</v>
      </c>
      <c r="E2926" s="32">
        <v>242.8</v>
      </c>
      <c r="F2926" s="32">
        <v>241.3</v>
      </c>
      <c r="G2926" s="29">
        <v>0</v>
      </c>
      <c r="H2926" s="17">
        <v>0</v>
      </c>
      <c r="I2926" s="1">
        <f t="shared" si="2320"/>
        <v>1875</v>
      </c>
      <c r="J2926" s="1">
        <v>0</v>
      </c>
      <c r="K2926" s="1">
        <v>0</v>
      </c>
      <c r="L2926" s="2">
        <f t="shared" si="2321"/>
        <v>1.5</v>
      </c>
      <c r="M2926" s="2">
        <f t="shared" si="2322"/>
        <v>1875</v>
      </c>
    </row>
    <row r="2927" spans="1:13" x14ac:dyDescent="0.25">
      <c r="A2927" s="27">
        <v>42716</v>
      </c>
      <c r="B2927" s="29" t="s">
        <v>19</v>
      </c>
      <c r="C2927" s="22">
        <v>100</v>
      </c>
      <c r="D2927" s="29" t="s">
        <v>10</v>
      </c>
      <c r="E2927" s="32">
        <v>27450</v>
      </c>
      <c r="F2927" s="32">
        <v>27500</v>
      </c>
      <c r="G2927" s="29">
        <v>0</v>
      </c>
      <c r="H2927" s="17">
        <v>0</v>
      </c>
      <c r="I2927" s="1">
        <f t="shared" si="2320"/>
        <v>5000</v>
      </c>
      <c r="J2927" s="1">
        <v>0</v>
      </c>
      <c r="K2927" s="1">
        <v>0</v>
      </c>
      <c r="L2927" s="2">
        <f t="shared" si="2321"/>
        <v>50</v>
      </c>
      <c r="M2927" s="2">
        <f t="shared" si="2322"/>
        <v>5000</v>
      </c>
    </row>
    <row r="2928" spans="1:13" x14ac:dyDescent="0.25">
      <c r="A2928" s="27">
        <v>42713</v>
      </c>
      <c r="B2928" s="29" t="s">
        <v>16</v>
      </c>
      <c r="C2928" s="22">
        <v>100</v>
      </c>
      <c r="D2928" s="29" t="s">
        <v>10</v>
      </c>
      <c r="E2928" s="32">
        <v>3450</v>
      </c>
      <c r="F2928" s="32">
        <v>3470</v>
      </c>
      <c r="G2928" s="29">
        <v>3489</v>
      </c>
      <c r="H2928" s="17">
        <v>0</v>
      </c>
      <c r="I2928" s="1">
        <f t="shared" si="2320"/>
        <v>2000</v>
      </c>
      <c r="J2928" s="2">
        <f>(IF(D2928="SELL",IF(G2928="",0,F2928-G2928),IF(D2928="BUY",IF(G2928="",0,G2928-F2928))))*C2928</f>
        <v>1900</v>
      </c>
      <c r="K2928" s="1">
        <v>0</v>
      </c>
      <c r="L2928" s="2">
        <f t="shared" si="2321"/>
        <v>39</v>
      </c>
      <c r="M2928" s="2">
        <f t="shared" si="2322"/>
        <v>3900</v>
      </c>
    </row>
    <row r="2929" spans="1:13" x14ac:dyDescent="0.25">
      <c r="A2929" s="27">
        <v>42713</v>
      </c>
      <c r="B2929" s="29" t="s">
        <v>18</v>
      </c>
      <c r="C2929" s="22">
        <v>1000</v>
      </c>
      <c r="D2929" s="29" t="s">
        <v>11</v>
      </c>
      <c r="E2929" s="32">
        <v>396.5</v>
      </c>
      <c r="F2929" s="32">
        <v>395</v>
      </c>
      <c r="G2929" s="29">
        <v>0</v>
      </c>
      <c r="H2929" s="17">
        <v>0</v>
      </c>
      <c r="I2929" s="1">
        <f t="shared" si="2320"/>
        <v>1500</v>
      </c>
      <c r="J2929" s="1">
        <v>0</v>
      </c>
      <c r="K2929" s="1">
        <v>0</v>
      </c>
      <c r="L2929" s="2">
        <f t="shared" si="2321"/>
        <v>1.5</v>
      </c>
      <c r="M2929" s="2">
        <f t="shared" si="2322"/>
        <v>1500</v>
      </c>
    </row>
    <row r="2930" spans="1:13" x14ac:dyDescent="0.25">
      <c r="A2930" s="27">
        <v>42712</v>
      </c>
      <c r="B2930" s="29" t="s">
        <v>16</v>
      </c>
      <c r="C2930" s="22">
        <v>100</v>
      </c>
      <c r="D2930" s="29" t="s">
        <v>11</v>
      </c>
      <c r="E2930" s="32">
        <v>3455</v>
      </c>
      <c r="F2930" s="32">
        <v>3475</v>
      </c>
      <c r="G2930" s="29">
        <v>0</v>
      </c>
      <c r="H2930" s="17">
        <v>0</v>
      </c>
      <c r="I2930" s="1">
        <f t="shared" si="2320"/>
        <v>-2000</v>
      </c>
      <c r="J2930" s="1">
        <v>0</v>
      </c>
      <c r="K2930" s="1">
        <v>0</v>
      </c>
      <c r="L2930" s="2">
        <f t="shared" si="2321"/>
        <v>-20</v>
      </c>
      <c r="M2930" s="2">
        <f t="shared" si="2322"/>
        <v>-2000</v>
      </c>
    </row>
    <row r="2931" spans="1:13" x14ac:dyDescent="0.25">
      <c r="A2931" s="27">
        <v>42712</v>
      </c>
      <c r="B2931" s="29" t="s">
        <v>19</v>
      </c>
      <c r="C2931" s="22">
        <v>100</v>
      </c>
      <c r="D2931" s="29" t="s">
        <v>11</v>
      </c>
      <c r="E2931" s="32">
        <v>27850</v>
      </c>
      <c r="F2931" s="32">
        <v>27800</v>
      </c>
      <c r="G2931" s="29">
        <v>27750</v>
      </c>
      <c r="H2931" s="17">
        <v>0</v>
      </c>
      <c r="I2931" s="1">
        <f t="shared" si="2320"/>
        <v>5000</v>
      </c>
      <c r="J2931" s="2">
        <f>(IF(D2931="SELL",IF(G2931="",0,F2931-G2931),IF(D2931="BUY",IF(G2931="",0,G2931-F2931))))*C2931</f>
        <v>5000</v>
      </c>
      <c r="K2931" s="1">
        <v>0</v>
      </c>
      <c r="L2931" s="2">
        <f t="shared" si="2321"/>
        <v>100</v>
      </c>
      <c r="M2931" s="2">
        <f t="shared" si="2322"/>
        <v>10000</v>
      </c>
    </row>
    <row r="2932" spans="1:13" x14ac:dyDescent="0.25">
      <c r="A2932" s="27">
        <v>42712</v>
      </c>
      <c r="B2932" s="29" t="s">
        <v>17</v>
      </c>
      <c r="C2932" s="22">
        <v>5000</v>
      </c>
      <c r="D2932" s="29" t="s">
        <v>11</v>
      </c>
      <c r="E2932" s="32">
        <v>184</v>
      </c>
      <c r="F2932" s="32">
        <v>183.5</v>
      </c>
      <c r="G2932" s="29">
        <v>183</v>
      </c>
      <c r="H2932" s="17">
        <v>0</v>
      </c>
      <c r="I2932" s="1">
        <f t="shared" si="2320"/>
        <v>2500</v>
      </c>
      <c r="J2932" s="2">
        <f>(IF(D2932="SELL",IF(G2932="",0,F2932-G2932),IF(D2932="BUY",IF(G2932="",0,G2932-F2932))))*C2932</f>
        <v>2500</v>
      </c>
      <c r="K2932" s="1">
        <v>0</v>
      </c>
      <c r="L2932" s="2">
        <f t="shared" si="2321"/>
        <v>1</v>
      </c>
      <c r="M2932" s="2">
        <f t="shared" si="2322"/>
        <v>5000</v>
      </c>
    </row>
    <row r="2933" spans="1:13" x14ac:dyDescent="0.25">
      <c r="A2933" s="27">
        <v>42711</v>
      </c>
      <c r="B2933" s="29" t="s">
        <v>18</v>
      </c>
      <c r="C2933" s="22">
        <v>1000</v>
      </c>
      <c r="D2933" s="29" t="s">
        <v>10</v>
      </c>
      <c r="E2933" s="32">
        <v>405.5</v>
      </c>
      <c r="F2933" s="32">
        <v>404</v>
      </c>
      <c r="G2933" s="29">
        <v>0</v>
      </c>
      <c r="H2933" s="17">
        <v>0</v>
      </c>
      <c r="I2933" s="1">
        <f t="shared" si="2320"/>
        <v>-1500</v>
      </c>
      <c r="J2933" s="1">
        <v>0</v>
      </c>
      <c r="K2933" s="1">
        <v>0</v>
      </c>
      <c r="L2933" s="2">
        <f t="shared" si="2321"/>
        <v>-1.5</v>
      </c>
      <c r="M2933" s="2">
        <f t="shared" si="2322"/>
        <v>-1500</v>
      </c>
    </row>
    <row r="2934" spans="1:13" x14ac:dyDescent="0.25">
      <c r="A2934" s="27">
        <v>42711</v>
      </c>
      <c r="B2934" s="29" t="s">
        <v>16</v>
      </c>
      <c r="C2934" s="22">
        <v>100</v>
      </c>
      <c r="D2934" s="29" t="s">
        <v>11</v>
      </c>
      <c r="E2934" s="32">
        <v>3450</v>
      </c>
      <c r="F2934" s="32">
        <v>3430</v>
      </c>
      <c r="G2934" s="29">
        <v>3410</v>
      </c>
      <c r="H2934" s="17">
        <v>0</v>
      </c>
      <c r="I2934" s="1">
        <f t="shared" si="2320"/>
        <v>2000</v>
      </c>
      <c r="J2934" s="2">
        <f>(IF(D2934="SELL",IF(G2934="",0,F2934-G2934),IF(D2934="BUY",IF(G2934="",0,G2934-F2934))))*C2934</f>
        <v>2000</v>
      </c>
      <c r="K2934" s="1">
        <v>0</v>
      </c>
      <c r="L2934" s="2">
        <f t="shared" si="2321"/>
        <v>40</v>
      </c>
      <c r="M2934" s="2">
        <f t="shared" si="2322"/>
        <v>4000</v>
      </c>
    </row>
    <row r="2935" spans="1:13" x14ac:dyDescent="0.25">
      <c r="A2935" s="27">
        <v>42711</v>
      </c>
      <c r="B2935" s="29" t="s">
        <v>17</v>
      </c>
      <c r="C2935" s="22">
        <v>5000</v>
      </c>
      <c r="D2935" s="29" t="s">
        <v>10</v>
      </c>
      <c r="E2935" s="32">
        <v>190</v>
      </c>
      <c r="F2935" s="32">
        <v>190.5</v>
      </c>
      <c r="G2935" s="29">
        <v>0</v>
      </c>
      <c r="H2935" s="17">
        <v>0</v>
      </c>
      <c r="I2935" s="1">
        <f t="shared" si="2320"/>
        <v>2500</v>
      </c>
      <c r="J2935" s="1">
        <v>0</v>
      </c>
      <c r="K2935" s="1">
        <v>0</v>
      </c>
      <c r="L2935" s="2">
        <f t="shared" si="2321"/>
        <v>0.5</v>
      </c>
      <c r="M2935" s="2">
        <f t="shared" si="2322"/>
        <v>2500</v>
      </c>
    </row>
    <row r="2936" spans="1:13" x14ac:dyDescent="0.25">
      <c r="A2936" s="27">
        <v>42710</v>
      </c>
      <c r="B2936" s="29" t="s">
        <v>16</v>
      </c>
      <c r="C2936" s="22">
        <v>100</v>
      </c>
      <c r="D2936" s="29" t="s">
        <v>10</v>
      </c>
      <c r="E2936" s="32">
        <v>3475</v>
      </c>
      <c r="F2936" s="32">
        <v>3450</v>
      </c>
      <c r="G2936" s="29">
        <v>0</v>
      </c>
      <c r="H2936" s="17">
        <v>0</v>
      </c>
      <c r="I2936" s="1">
        <f t="shared" si="2320"/>
        <v>-2500</v>
      </c>
      <c r="J2936" s="1">
        <v>0</v>
      </c>
      <c r="K2936" s="1">
        <v>0</v>
      </c>
      <c r="L2936" s="2">
        <f t="shared" si="2321"/>
        <v>-25</v>
      </c>
      <c r="M2936" s="2">
        <f t="shared" si="2322"/>
        <v>-2500</v>
      </c>
    </row>
    <row r="2937" spans="1:13" x14ac:dyDescent="0.25">
      <c r="A2937" s="27">
        <v>42710</v>
      </c>
      <c r="B2937" s="29" t="s">
        <v>19</v>
      </c>
      <c r="C2937" s="22">
        <v>100</v>
      </c>
      <c r="D2937" s="29" t="s">
        <v>11</v>
      </c>
      <c r="E2937" s="32">
        <v>28000</v>
      </c>
      <c r="F2937" s="32">
        <v>27950</v>
      </c>
      <c r="G2937" s="29">
        <v>27900</v>
      </c>
      <c r="H2937" s="17">
        <v>0</v>
      </c>
      <c r="I2937" s="1">
        <f t="shared" si="2320"/>
        <v>5000</v>
      </c>
      <c r="J2937" s="2">
        <f t="shared" ref="J2937:J2945" si="2324">(IF(D2937="SELL",IF(G2937="",0,F2937-G2937),IF(D2937="BUY",IF(G2937="",0,G2937-F2937))))*C2937</f>
        <v>5000</v>
      </c>
      <c r="K2937" s="1">
        <v>0</v>
      </c>
      <c r="L2937" s="2">
        <f t="shared" si="2321"/>
        <v>100</v>
      </c>
      <c r="M2937" s="2">
        <f t="shared" si="2322"/>
        <v>10000</v>
      </c>
    </row>
    <row r="2938" spans="1:13" x14ac:dyDescent="0.25">
      <c r="A2938" s="27">
        <v>42709</v>
      </c>
      <c r="B2938" s="29" t="s">
        <v>16</v>
      </c>
      <c r="C2938" s="22">
        <v>100</v>
      </c>
      <c r="D2938" s="29" t="s">
        <v>11</v>
      </c>
      <c r="E2938" s="32">
        <v>3495</v>
      </c>
      <c r="F2938" s="32">
        <v>3515</v>
      </c>
      <c r="G2938" s="29">
        <v>0</v>
      </c>
      <c r="H2938" s="17">
        <v>0</v>
      </c>
      <c r="I2938" s="1">
        <f t="shared" si="2320"/>
        <v>-2000</v>
      </c>
      <c r="J2938" s="1">
        <v>0</v>
      </c>
      <c r="K2938" s="1">
        <v>0</v>
      </c>
      <c r="L2938" s="2">
        <f t="shared" si="2321"/>
        <v>-20</v>
      </c>
      <c r="M2938" s="2">
        <f t="shared" si="2322"/>
        <v>-2000</v>
      </c>
    </row>
    <row r="2939" spans="1:13" x14ac:dyDescent="0.25">
      <c r="A2939" s="27">
        <v>42709</v>
      </c>
      <c r="B2939" s="29" t="s">
        <v>19</v>
      </c>
      <c r="C2939" s="22">
        <v>100</v>
      </c>
      <c r="D2939" s="29" t="s">
        <v>11</v>
      </c>
      <c r="E2939" s="32">
        <v>28100</v>
      </c>
      <c r="F2939" s="32">
        <v>28050</v>
      </c>
      <c r="G2939" s="29">
        <v>28000</v>
      </c>
      <c r="H2939" s="17">
        <v>0</v>
      </c>
      <c r="I2939" s="1">
        <f t="shared" si="2320"/>
        <v>5000</v>
      </c>
      <c r="J2939" s="2">
        <f t="shared" si="2324"/>
        <v>5000</v>
      </c>
      <c r="K2939" s="1">
        <v>0</v>
      </c>
      <c r="L2939" s="2">
        <f t="shared" si="2321"/>
        <v>100</v>
      </c>
      <c r="M2939" s="2">
        <f t="shared" si="2322"/>
        <v>10000</v>
      </c>
    </row>
    <row r="2940" spans="1:13" x14ac:dyDescent="0.25">
      <c r="A2940" s="27">
        <v>42706</v>
      </c>
      <c r="B2940" s="29" t="s">
        <v>16</v>
      </c>
      <c r="C2940" s="22">
        <v>100</v>
      </c>
      <c r="D2940" s="29" t="s">
        <v>11</v>
      </c>
      <c r="E2940" s="32">
        <v>3460</v>
      </c>
      <c r="F2940" s="32">
        <v>3440</v>
      </c>
      <c r="G2940" s="29">
        <v>0</v>
      </c>
      <c r="H2940" s="17">
        <v>0</v>
      </c>
      <c r="I2940" s="1">
        <f t="shared" si="2320"/>
        <v>2000</v>
      </c>
      <c r="J2940" s="1">
        <v>0</v>
      </c>
      <c r="K2940" s="1">
        <v>0</v>
      </c>
      <c r="L2940" s="2">
        <f t="shared" si="2321"/>
        <v>20</v>
      </c>
      <c r="M2940" s="2">
        <f t="shared" si="2322"/>
        <v>2000</v>
      </c>
    </row>
    <row r="2941" spans="1:13" x14ac:dyDescent="0.25">
      <c r="A2941" s="27">
        <v>42706</v>
      </c>
      <c r="B2941" s="29" t="s">
        <v>17</v>
      </c>
      <c r="C2941" s="22">
        <v>5000</v>
      </c>
      <c r="D2941" s="29" t="s">
        <v>11</v>
      </c>
      <c r="E2941" s="32">
        <v>183</v>
      </c>
      <c r="F2941" s="32">
        <v>182.5</v>
      </c>
      <c r="G2941" s="29">
        <v>182</v>
      </c>
      <c r="H2941" s="17">
        <v>181.5</v>
      </c>
      <c r="I2941" s="1">
        <f t="shared" si="2320"/>
        <v>2500</v>
      </c>
      <c r="J2941" s="2">
        <f t="shared" si="2324"/>
        <v>2500</v>
      </c>
      <c r="K2941" s="2">
        <f>(IF(D2941="SELL",IF(H2941="",0,G2941-H2941),IF(D2941="BUY",IF(H2941="",0,(H2941-G2941)))))*C2941</f>
        <v>2500</v>
      </c>
      <c r="L2941" s="2">
        <f t="shared" si="2321"/>
        <v>1.5</v>
      </c>
      <c r="M2941" s="2">
        <f t="shared" si="2322"/>
        <v>7500</v>
      </c>
    </row>
    <row r="2942" spans="1:13" x14ac:dyDescent="0.25">
      <c r="A2942" s="27">
        <v>42706</v>
      </c>
      <c r="B2942" s="29" t="s">
        <v>18</v>
      </c>
      <c r="C2942" s="22">
        <v>1000</v>
      </c>
      <c r="D2942" s="29" t="s">
        <v>11</v>
      </c>
      <c r="E2942" s="32">
        <v>396</v>
      </c>
      <c r="F2942" s="32">
        <v>398</v>
      </c>
      <c r="G2942" s="29">
        <v>0</v>
      </c>
      <c r="H2942" s="17">
        <v>0</v>
      </c>
      <c r="I2942" s="1">
        <f t="shared" si="2320"/>
        <v>-2000</v>
      </c>
      <c r="J2942" s="1">
        <v>0</v>
      </c>
      <c r="K2942" s="1">
        <v>0</v>
      </c>
      <c r="L2942" s="2">
        <f t="shared" si="2321"/>
        <v>-2</v>
      </c>
      <c r="M2942" s="2">
        <f t="shared" si="2322"/>
        <v>-2000</v>
      </c>
    </row>
    <row r="2943" spans="1:13" x14ac:dyDescent="0.25">
      <c r="A2943" s="27">
        <v>42706</v>
      </c>
      <c r="B2943" s="29" t="s">
        <v>19</v>
      </c>
      <c r="C2943" s="22">
        <v>100</v>
      </c>
      <c r="D2943" s="29" t="s">
        <v>10</v>
      </c>
      <c r="E2943" s="32">
        <v>28150</v>
      </c>
      <c r="F2943" s="32">
        <v>28200</v>
      </c>
      <c r="G2943" s="29">
        <v>28250</v>
      </c>
      <c r="H2943" s="17">
        <v>28300</v>
      </c>
      <c r="I2943" s="1">
        <f t="shared" si="2320"/>
        <v>5000</v>
      </c>
      <c r="J2943" s="2">
        <f t="shared" si="2324"/>
        <v>5000</v>
      </c>
      <c r="K2943" s="2">
        <f>(IF(D2943="SELL",IF(H2943="",0,G2943-H2943),IF(D2943="BUY",IF(H2943="",0,(H2943-G2943)))))*C2943</f>
        <v>5000</v>
      </c>
      <c r="L2943" s="2">
        <f t="shared" si="2321"/>
        <v>150</v>
      </c>
      <c r="M2943" s="2">
        <f t="shared" si="2322"/>
        <v>15000</v>
      </c>
    </row>
    <row r="2944" spans="1:13" x14ac:dyDescent="0.25">
      <c r="A2944" s="27">
        <v>42704</v>
      </c>
      <c r="B2944" s="29" t="s">
        <v>20</v>
      </c>
      <c r="C2944" s="22">
        <v>1250</v>
      </c>
      <c r="D2944" s="29" t="s">
        <v>10</v>
      </c>
      <c r="E2944" s="32">
        <v>226.5</v>
      </c>
      <c r="F2944" s="32">
        <v>228</v>
      </c>
      <c r="G2944" s="29">
        <v>229.5</v>
      </c>
      <c r="H2944" s="17">
        <v>0</v>
      </c>
      <c r="I2944" s="1">
        <f t="shared" si="2320"/>
        <v>1875</v>
      </c>
      <c r="J2944" s="2">
        <f t="shared" si="2324"/>
        <v>1875</v>
      </c>
      <c r="K2944" s="1">
        <v>0</v>
      </c>
      <c r="L2944" s="2">
        <f t="shared" si="2321"/>
        <v>3</v>
      </c>
      <c r="M2944" s="2">
        <f t="shared" si="2322"/>
        <v>3750</v>
      </c>
    </row>
    <row r="2945" spans="1:13" x14ac:dyDescent="0.25">
      <c r="A2945" s="27">
        <v>42704</v>
      </c>
      <c r="B2945" s="29" t="s">
        <v>14</v>
      </c>
      <c r="C2945" s="22">
        <v>30</v>
      </c>
      <c r="D2945" s="29" t="s">
        <v>11</v>
      </c>
      <c r="E2945" s="32">
        <v>40650</v>
      </c>
      <c r="F2945" s="32">
        <v>40450</v>
      </c>
      <c r="G2945" s="29">
        <v>40250</v>
      </c>
      <c r="H2945" s="17">
        <v>0</v>
      </c>
      <c r="I2945" s="1">
        <f t="shared" ref="I2945:I3038" si="2325">(IF(D2945="SELL",E2945-F2945,IF(D2945="BUY",F2945-E2945)))*C2945</f>
        <v>6000</v>
      </c>
      <c r="J2945" s="2">
        <f t="shared" si="2324"/>
        <v>6000</v>
      </c>
      <c r="K2945" s="1">
        <v>0</v>
      </c>
      <c r="L2945" s="2">
        <f t="shared" ref="L2945:L3044" si="2326">(J2945+I2945+K2945)/C2945</f>
        <v>400</v>
      </c>
      <c r="M2945" s="2">
        <f t="shared" ref="M2945:M3044" si="2327">L2945*C2945</f>
        <v>12000</v>
      </c>
    </row>
    <row r="2946" spans="1:13" x14ac:dyDescent="0.25">
      <c r="A2946" s="27">
        <v>42704</v>
      </c>
      <c r="B2946" s="29" t="s">
        <v>19</v>
      </c>
      <c r="C2946" s="22">
        <v>100</v>
      </c>
      <c r="D2946" s="29" t="s">
        <v>11</v>
      </c>
      <c r="E2946" s="32">
        <v>28669</v>
      </c>
      <c r="F2946" s="32">
        <v>28621</v>
      </c>
      <c r="G2946" s="29">
        <v>0</v>
      </c>
      <c r="H2946" s="17">
        <v>0</v>
      </c>
      <c r="I2946" s="1">
        <f t="shared" si="2325"/>
        <v>4800</v>
      </c>
      <c r="J2946" s="1">
        <v>0</v>
      </c>
      <c r="K2946" s="1">
        <v>0</v>
      </c>
      <c r="L2946" s="2">
        <f t="shared" si="2326"/>
        <v>48</v>
      </c>
      <c r="M2946" s="2">
        <f t="shared" si="2327"/>
        <v>4800</v>
      </c>
    </row>
    <row r="2947" spans="1:13" x14ac:dyDescent="0.25">
      <c r="A2947" s="27">
        <v>42704</v>
      </c>
      <c r="B2947" s="29" t="s">
        <v>18</v>
      </c>
      <c r="C2947" s="22">
        <v>1000</v>
      </c>
      <c r="D2947" s="29" t="s">
        <v>11</v>
      </c>
      <c r="E2947" s="32">
        <v>386.5</v>
      </c>
      <c r="F2947" s="32">
        <v>388.5</v>
      </c>
      <c r="G2947" s="29">
        <v>0</v>
      </c>
      <c r="H2947" s="17">
        <v>0</v>
      </c>
      <c r="I2947" s="1">
        <f t="shared" si="2325"/>
        <v>-2000</v>
      </c>
      <c r="J2947" s="1">
        <v>0</v>
      </c>
      <c r="K2947" s="1">
        <v>0</v>
      </c>
      <c r="L2947" s="2">
        <f t="shared" si="2326"/>
        <v>-2</v>
      </c>
      <c r="M2947" s="2">
        <f t="shared" si="2327"/>
        <v>-2000</v>
      </c>
    </row>
    <row r="2948" spans="1:13" x14ac:dyDescent="0.25">
      <c r="A2948" s="27">
        <v>42703</v>
      </c>
      <c r="B2948" s="29" t="s">
        <v>16</v>
      </c>
      <c r="C2948" s="22">
        <v>100</v>
      </c>
      <c r="D2948" s="29" t="s">
        <v>11</v>
      </c>
      <c r="E2948" s="32">
        <v>3175</v>
      </c>
      <c r="F2948" s="32">
        <v>3155</v>
      </c>
      <c r="G2948" s="29">
        <v>3135</v>
      </c>
      <c r="H2948" s="17">
        <v>0</v>
      </c>
      <c r="I2948" s="1">
        <f t="shared" si="2325"/>
        <v>2000</v>
      </c>
      <c r="J2948" s="2">
        <f t="shared" ref="J2948:J2955" si="2328">(IF(D2948="SELL",IF(G2948="",0,F2948-G2948),IF(D2948="BUY",IF(G2948="",0,G2948-F2948))))*C2948</f>
        <v>2000</v>
      </c>
      <c r="K2948" s="1">
        <v>0</v>
      </c>
      <c r="L2948" s="2">
        <f t="shared" si="2326"/>
        <v>40</v>
      </c>
      <c r="M2948" s="2">
        <f t="shared" si="2327"/>
        <v>4000</v>
      </c>
    </row>
    <row r="2949" spans="1:13" x14ac:dyDescent="0.25">
      <c r="A2949" s="27">
        <v>42703</v>
      </c>
      <c r="B2949" s="29" t="s">
        <v>19</v>
      </c>
      <c r="C2949" s="22">
        <v>100</v>
      </c>
      <c r="D2949" s="29" t="s">
        <v>11</v>
      </c>
      <c r="E2949" s="32">
        <v>28690</v>
      </c>
      <c r="F2949" s="32">
        <v>28640</v>
      </c>
      <c r="G2949" s="29">
        <v>28590</v>
      </c>
      <c r="H2949" s="17">
        <v>0</v>
      </c>
      <c r="I2949" s="1">
        <f t="shared" si="2325"/>
        <v>5000</v>
      </c>
      <c r="J2949" s="2">
        <f t="shared" si="2328"/>
        <v>5000</v>
      </c>
      <c r="K2949" s="1">
        <v>0</v>
      </c>
      <c r="L2949" s="2">
        <f t="shared" si="2326"/>
        <v>100</v>
      </c>
      <c r="M2949" s="2">
        <f t="shared" si="2327"/>
        <v>10000</v>
      </c>
    </row>
    <row r="2950" spans="1:13" x14ac:dyDescent="0.25">
      <c r="A2950" s="27">
        <v>42703</v>
      </c>
      <c r="B2950" s="29" t="s">
        <v>14</v>
      </c>
      <c r="C2950" s="22">
        <v>30</v>
      </c>
      <c r="D2950" s="29" t="s">
        <v>11</v>
      </c>
      <c r="E2950" s="32">
        <v>40450</v>
      </c>
      <c r="F2950" s="32">
        <v>40250</v>
      </c>
      <c r="G2950" s="29">
        <v>0</v>
      </c>
      <c r="H2950" s="17">
        <v>0</v>
      </c>
      <c r="I2950" s="1">
        <f t="shared" si="2325"/>
        <v>6000</v>
      </c>
      <c r="J2950" s="2">
        <v>0</v>
      </c>
      <c r="K2950" s="1">
        <v>0</v>
      </c>
      <c r="L2950" s="2">
        <f t="shared" si="2326"/>
        <v>200</v>
      </c>
      <c r="M2950" s="2">
        <f t="shared" si="2327"/>
        <v>6000</v>
      </c>
    </row>
    <row r="2951" spans="1:13" x14ac:dyDescent="0.25">
      <c r="A2951" s="27">
        <v>42702</v>
      </c>
      <c r="B2951" s="29" t="s">
        <v>19</v>
      </c>
      <c r="C2951" s="22">
        <v>100</v>
      </c>
      <c r="D2951" s="29" t="s">
        <v>11</v>
      </c>
      <c r="E2951" s="32">
        <v>28750</v>
      </c>
      <c r="F2951" s="32">
        <v>28650</v>
      </c>
      <c r="G2951" s="29">
        <v>28550</v>
      </c>
      <c r="H2951" s="17">
        <v>0</v>
      </c>
      <c r="I2951" s="1">
        <f t="shared" si="2325"/>
        <v>10000</v>
      </c>
      <c r="J2951" s="2">
        <f t="shared" si="2328"/>
        <v>10000</v>
      </c>
      <c r="K2951" s="1">
        <v>0</v>
      </c>
      <c r="L2951" s="2">
        <f t="shared" si="2326"/>
        <v>200</v>
      </c>
      <c r="M2951" s="2">
        <f t="shared" si="2327"/>
        <v>20000</v>
      </c>
    </row>
    <row r="2952" spans="1:13" x14ac:dyDescent="0.25">
      <c r="A2952" s="27">
        <v>42702</v>
      </c>
      <c r="B2952" s="29" t="s">
        <v>16</v>
      </c>
      <c r="C2952" s="22">
        <v>100</v>
      </c>
      <c r="D2952" s="29" t="s">
        <v>10</v>
      </c>
      <c r="E2952" s="32">
        <v>3150</v>
      </c>
      <c r="F2952" s="32">
        <v>3170</v>
      </c>
      <c r="G2952" s="29">
        <v>3190</v>
      </c>
      <c r="H2952" s="17">
        <v>0</v>
      </c>
      <c r="I2952" s="1">
        <f t="shared" si="2325"/>
        <v>2000</v>
      </c>
      <c r="J2952" s="2">
        <f t="shared" si="2328"/>
        <v>2000</v>
      </c>
      <c r="K2952" s="1">
        <v>0</v>
      </c>
      <c r="L2952" s="2">
        <f t="shared" si="2326"/>
        <v>40</v>
      </c>
      <c r="M2952" s="2">
        <f t="shared" si="2327"/>
        <v>4000</v>
      </c>
    </row>
    <row r="2953" spans="1:13" x14ac:dyDescent="0.25">
      <c r="A2953" s="27">
        <v>42702</v>
      </c>
      <c r="B2953" s="29" t="s">
        <v>18</v>
      </c>
      <c r="C2953" s="22">
        <v>1000</v>
      </c>
      <c r="D2953" s="29" t="s">
        <v>10</v>
      </c>
      <c r="E2953" s="32">
        <v>412.5</v>
      </c>
      <c r="F2953" s="32">
        <v>414</v>
      </c>
      <c r="G2953" s="29">
        <v>415.5</v>
      </c>
      <c r="H2953" s="17">
        <v>0</v>
      </c>
      <c r="I2953" s="1">
        <f t="shared" si="2325"/>
        <v>1500</v>
      </c>
      <c r="J2953" s="2">
        <f t="shared" si="2328"/>
        <v>1500</v>
      </c>
      <c r="K2953" s="1">
        <v>0</v>
      </c>
      <c r="L2953" s="2">
        <f t="shared" si="2326"/>
        <v>3</v>
      </c>
      <c r="M2953" s="2">
        <f t="shared" si="2327"/>
        <v>3000</v>
      </c>
    </row>
    <row r="2954" spans="1:13" x14ac:dyDescent="0.25">
      <c r="A2954" s="27">
        <v>42702</v>
      </c>
      <c r="B2954" s="29" t="s">
        <v>17</v>
      </c>
      <c r="C2954" s="22">
        <v>5000</v>
      </c>
      <c r="D2954" s="29" t="s">
        <v>11</v>
      </c>
      <c r="E2954" s="32">
        <v>202.5</v>
      </c>
      <c r="F2954" s="32">
        <v>202</v>
      </c>
      <c r="G2954" s="29">
        <v>201.5</v>
      </c>
      <c r="H2954" s="17">
        <v>201</v>
      </c>
      <c r="I2954" s="1">
        <f t="shared" si="2325"/>
        <v>2500</v>
      </c>
      <c r="J2954" s="2">
        <f t="shared" si="2328"/>
        <v>2500</v>
      </c>
      <c r="K2954" s="2">
        <f>(IF(D2954="SELL",IF(H2954="",0,G2954-H2954),IF(D2954="BUY",IF(H2954="",0,(H2954-G2954)))))*C2954</f>
        <v>2500</v>
      </c>
      <c r="L2954" s="2">
        <f t="shared" si="2326"/>
        <v>1.5</v>
      </c>
      <c r="M2954" s="2">
        <f t="shared" si="2327"/>
        <v>7500</v>
      </c>
    </row>
    <row r="2955" spans="1:13" x14ac:dyDescent="0.25">
      <c r="A2955" s="27">
        <v>42699</v>
      </c>
      <c r="B2955" s="29" t="s">
        <v>14</v>
      </c>
      <c r="C2955" s="22">
        <v>30</v>
      </c>
      <c r="D2955" s="29" t="s">
        <v>10</v>
      </c>
      <c r="E2955" s="32">
        <v>40200</v>
      </c>
      <c r="F2955" s="32">
        <v>40350</v>
      </c>
      <c r="G2955" s="29">
        <v>40500</v>
      </c>
      <c r="H2955" s="17">
        <v>0</v>
      </c>
      <c r="I2955" s="1">
        <f t="shared" si="2325"/>
        <v>4500</v>
      </c>
      <c r="J2955" s="2">
        <f t="shared" si="2328"/>
        <v>4500</v>
      </c>
      <c r="K2955" s="1">
        <v>0</v>
      </c>
      <c r="L2955" s="2">
        <f t="shared" si="2326"/>
        <v>300</v>
      </c>
      <c r="M2955" s="2">
        <f t="shared" si="2327"/>
        <v>9000</v>
      </c>
    </row>
    <row r="2956" spans="1:13" x14ac:dyDescent="0.25">
      <c r="A2956" s="27">
        <v>42698</v>
      </c>
      <c r="B2956" s="29" t="s">
        <v>19</v>
      </c>
      <c r="C2956" s="22">
        <v>100</v>
      </c>
      <c r="D2956" s="29" t="s">
        <v>11</v>
      </c>
      <c r="E2956" s="32">
        <v>28710</v>
      </c>
      <c r="F2956" s="32">
        <v>28610</v>
      </c>
      <c r="G2956" s="29">
        <v>0</v>
      </c>
      <c r="H2956" s="17">
        <v>0</v>
      </c>
      <c r="I2956" s="1">
        <f t="shared" si="2325"/>
        <v>10000</v>
      </c>
      <c r="J2956" s="1">
        <v>0</v>
      </c>
      <c r="K2956" s="1">
        <v>0</v>
      </c>
      <c r="L2956" s="2">
        <f t="shared" si="2326"/>
        <v>100</v>
      </c>
      <c r="M2956" s="2">
        <f t="shared" si="2327"/>
        <v>10000</v>
      </c>
    </row>
    <row r="2957" spans="1:13" x14ac:dyDescent="0.25">
      <c r="A2957" s="27">
        <v>42698</v>
      </c>
      <c r="B2957" s="29" t="s">
        <v>14</v>
      </c>
      <c r="C2957" s="22">
        <v>30</v>
      </c>
      <c r="D2957" s="29" t="s">
        <v>11</v>
      </c>
      <c r="E2957" s="32">
        <v>40260</v>
      </c>
      <c r="F2957" s="32">
        <v>40100</v>
      </c>
      <c r="G2957" s="29">
        <v>0</v>
      </c>
      <c r="H2957" s="17">
        <v>0</v>
      </c>
      <c r="I2957" s="1">
        <f t="shared" si="2325"/>
        <v>4800</v>
      </c>
      <c r="J2957" s="1">
        <v>0</v>
      </c>
      <c r="K2957" s="1">
        <v>0</v>
      </c>
      <c r="L2957" s="2">
        <f t="shared" si="2326"/>
        <v>160</v>
      </c>
      <c r="M2957" s="2">
        <f t="shared" si="2327"/>
        <v>4800</v>
      </c>
    </row>
    <row r="2958" spans="1:13" x14ac:dyDescent="0.25">
      <c r="A2958" s="27">
        <v>42698</v>
      </c>
      <c r="B2958" s="29" t="s">
        <v>21</v>
      </c>
      <c r="C2958" s="22">
        <v>250</v>
      </c>
      <c r="D2958" s="29" t="s">
        <v>11</v>
      </c>
      <c r="E2958" s="32">
        <v>795</v>
      </c>
      <c r="F2958" s="32">
        <v>791</v>
      </c>
      <c r="G2958" s="29">
        <v>787</v>
      </c>
      <c r="H2958" s="17">
        <v>783</v>
      </c>
      <c r="I2958" s="1">
        <f t="shared" si="2325"/>
        <v>1000</v>
      </c>
      <c r="J2958" s="2">
        <f>(IF(D2958="SELL",IF(G2958="",0,F2958-G2958),IF(D2958="BUY",IF(G2958="",0,G2958-F2958))))*C2958</f>
        <v>1000</v>
      </c>
      <c r="K2958" s="2">
        <f>(IF(D2958="SELL",IF(H2958="",0,G2958-H2958),IF(D2958="BUY",IF(H2958="",0,(H2958-G2958)))))*C2958</f>
        <v>1000</v>
      </c>
      <c r="L2958" s="2">
        <f t="shared" si="2326"/>
        <v>12</v>
      </c>
      <c r="M2958" s="2">
        <f t="shared" si="2327"/>
        <v>3000</v>
      </c>
    </row>
    <row r="2959" spans="1:13" x14ac:dyDescent="0.25">
      <c r="A2959" s="27">
        <v>42697</v>
      </c>
      <c r="B2959" s="29" t="s">
        <v>19</v>
      </c>
      <c r="C2959" s="22">
        <v>100</v>
      </c>
      <c r="D2959" s="29" t="s">
        <v>11</v>
      </c>
      <c r="E2959" s="32">
        <v>29200</v>
      </c>
      <c r="F2959" s="32">
        <v>29100</v>
      </c>
      <c r="G2959" s="29">
        <v>0</v>
      </c>
      <c r="H2959" s="17">
        <v>0</v>
      </c>
      <c r="I2959" s="1">
        <f t="shared" si="2325"/>
        <v>10000</v>
      </c>
      <c r="J2959" s="1">
        <v>0</v>
      </c>
      <c r="K2959" s="1">
        <v>0</v>
      </c>
      <c r="L2959" s="2">
        <f t="shared" si="2326"/>
        <v>100</v>
      </c>
      <c r="M2959" s="2">
        <f t="shared" si="2327"/>
        <v>10000</v>
      </c>
    </row>
    <row r="2960" spans="1:13" x14ac:dyDescent="0.25">
      <c r="A2960" s="27">
        <v>42695</v>
      </c>
      <c r="B2960" s="29" t="s">
        <v>18</v>
      </c>
      <c r="C2960" s="22">
        <v>1000</v>
      </c>
      <c r="D2960" s="29" t="s">
        <v>11</v>
      </c>
      <c r="E2960" s="32">
        <v>380</v>
      </c>
      <c r="F2960" s="32">
        <v>378</v>
      </c>
      <c r="G2960" s="29">
        <v>376</v>
      </c>
      <c r="H2960" s="17">
        <v>0</v>
      </c>
      <c r="I2960" s="1">
        <f t="shared" si="2325"/>
        <v>2000</v>
      </c>
      <c r="J2960" s="2">
        <f>(IF(D2960="SELL",IF(G2960="",0,F2960-G2960),IF(D2960="BUY",IF(G2960="",0,G2960-F2960))))*C2960</f>
        <v>2000</v>
      </c>
      <c r="K2960" s="1">
        <v>0</v>
      </c>
      <c r="L2960" s="2">
        <f t="shared" si="2326"/>
        <v>4</v>
      </c>
      <c r="M2960" s="2">
        <f t="shared" si="2327"/>
        <v>4000</v>
      </c>
    </row>
    <row r="2961" spans="1:13" x14ac:dyDescent="0.25">
      <c r="A2961" s="27">
        <v>42695</v>
      </c>
      <c r="B2961" s="29" t="s">
        <v>17</v>
      </c>
      <c r="C2961" s="22">
        <v>5000</v>
      </c>
      <c r="D2961" s="29" t="s">
        <v>11</v>
      </c>
      <c r="E2961" s="32">
        <v>174.5</v>
      </c>
      <c r="F2961" s="32">
        <v>174</v>
      </c>
      <c r="G2961" s="29">
        <v>0</v>
      </c>
      <c r="H2961" s="17">
        <v>0</v>
      </c>
      <c r="I2961" s="1">
        <f t="shared" si="2325"/>
        <v>2500</v>
      </c>
      <c r="J2961" s="1">
        <v>0</v>
      </c>
      <c r="K2961" s="1">
        <v>0</v>
      </c>
      <c r="L2961" s="2">
        <f t="shared" si="2326"/>
        <v>0.5</v>
      </c>
      <c r="M2961" s="2">
        <f t="shared" si="2327"/>
        <v>2500</v>
      </c>
    </row>
    <row r="2962" spans="1:13" x14ac:dyDescent="0.25">
      <c r="A2962" s="27">
        <v>42695</v>
      </c>
      <c r="B2962" s="29" t="s">
        <v>19</v>
      </c>
      <c r="C2962" s="22">
        <v>100</v>
      </c>
      <c r="D2962" s="29" t="s">
        <v>10</v>
      </c>
      <c r="E2962" s="32">
        <v>29050</v>
      </c>
      <c r="F2962" s="32">
        <v>29150</v>
      </c>
      <c r="G2962" s="29">
        <v>0</v>
      </c>
      <c r="H2962" s="17">
        <v>0</v>
      </c>
      <c r="I2962" s="1">
        <f t="shared" si="2325"/>
        <v>10000</v>
      </c>
      <c r="J2962" s="1">
        <v>0</v>
      </c>
      <c r="K2962" s="1">
        <v>0</v>
      </c>
      <c r="L2962" s="2">
        <f t="shared" si="2326"/>
        <v>100</v>
      </c>
      <c r="M2962" s="2">
        <f t="shared" si="2327"/>
        <v>10000</v>
      </c>
    </row>
    <row r="2963" spans="1:13" x14ac:dyDescent="0.25">
      <c r="A2963" s="27">
        <v>42692</v>
      </c>
      <c r="B2963" s="29" t="s">
        <v>15</v>
      </c>
      <c r="C2963" s="22">
        <v>5000</v>
      </c>
      <c r="D2963" s="29" t="s">
        <v>11</v>
      </c>
      <c r="E2963" s="32">
        <v>145.5</v>
      </c>
      <c r="F2963" s="32">
        <v>144.55000000000001</v>
      </c>
      <c r="G2963" s="29">
        <v>0</v>
      </c>
      <c r="H2963" s="17">
        <v>0</v>
      </c>
      <c r="I2963" s="1">
        <f t="shared" si="2325"/>
        <v>4749.9999999999436</v>
      </c>
      <c r="J2963" s="1">
        <v>0</v>
      </c>
      <c r="K2963" s="1">
        <v>0</v>
      </c>
      <c r="L2963" s="2">
        <f t="shared" si="2326"/>
        <v>0.94999999999998874</v>
      </c>
      <c r="M2963" s="2">
        <f t="shared" si="2327"/>
        <v>4749.9999999999436</v>
      </c>
    </row>
    <row r="2964" spans="1:13" x14ac:dyDescent="0.25">
      <c r="A2964" s="27">
        <v>42692</v>
      </c>
      <c r="B2964" s="29" t="s">
        <v>21</v>
      </c>
      <c r="C2964" s="22">
        <v>250</v>
      </c>
      <c r="D2964" s="29" t="s">
        <v>11</v>
      </c>
      <c r="E2964" s="32">
        <v>755</v>
      </c>
      <c r="F2964" s="32">
        <v>751</v>
      </c>
      <c r="G2964" s="29">
        <v>747</v>
      </c>
      <c r="H2964" s="17">
        <v>744</v>
      </c>
      <c r="I2964" s="1">
        <f t="shared" si="2325"/>
        <v>1000</v>
      </c>
      <c r="J2964" s="2">
        <f>(IF(D2964="SELL",IF(G2964="",0,F2964-G2964),IF(D2964="BUY",IF(G2964="",0,G2964-F2964))))*C2964</f>
        <v>1000</v>
      </c>
      <c r="K2964" s="2">
        <f>(IF(D2964="SELL",IF(H2964="",0,G2964-H2964),IF(D2964="BUY",IF(H2964="",0,(H2964-G2964)))))*C2964</f>
        <v>750</v>
      </c>
      <c r="L2964" s="2">
        <f t="shared" si="2326"/>
        <v>11</v>
      </c>
      <c r="M2964" s="2">
        <f t="shared" si="2327"/>
        <v>2750</v>
      </c>
    </row>
    <row r="2965" spans="1:13" x14ac:dyDescent="0.25">
      <c r="A2965" s="27">
        <v>42692</v>
      </c>
      <c r="B2965" s="29" t="s">
        <v>16</v>
      </c>
      <c r="C2965" s="22">
        <v>100</v>
      </c>
      <c r="D2965" s="29" t="s">
        <v>11</v>
      </c>
      <c r="E2965" s="32">
        <v>3078</v>
      </c>
      <c r="F2965" s="32">
        <v>3052</v>
      </c>
      <c r="G2965" s="29">
        <v>0</v>
      </c>
      <c r="H2965" s="17">
        <v>0</v>
      </c>
      <c r="I2965" s="1">
        <f t="shared" si="2325"/>
        <v>2600</v>
      </c>
      <c r="J2965" s="1">
        <v>0</v>
      </c>
      <c r="K2965" s="1">
        <v>0</v>
      </c>
      <c r="L2965" s="2">
        <f t="shared" si="2326"/>
        <v>26</v>
      </c>
      <c r="M2965" s="2">
        <f t="shared" si="2327"/>
        <v>2600</v>
      </c>
    </row>
    <row r="2966" spans="1:13" x14ac:dyDescent="0.25">
      <c r="A2966" s="27">
        <v>42691</v>
      </c>
      <c r="B2966" s="29" t="s">
        <v>19</v>
      </c>
      <c r="C2966" s="22">
        <v>100</v>
      </c>
      <c r="D2966" s="29" t="s">
        <v>11</v>
      </c>
      <c r="E2966" s="32">
        <v>29400</v>
      </c>
      <c r="F2966" s="32">
        <v>29300</v>
      </c>
      <c r="G2966" s="29">
        <v>0</v>
      </c>
      <c r="H2966" s="17">
        <v>0</v>
      </c>
      <c r="I2966" s="1">
        <f t="shared" si="2325"/>
        <v>10000</v>
      </c>
      <c r="J2966" s="1">
        <v>0</v>
      </c>
      <c r="K2966" s="1">
        <v>0</v>
      </c>
      <c r="L2966" s="2">
        <f t="shared" si="2326"/>
        <v>100</v>
      </c>
      <c r="M2966" s="2">
        <f t="shared" si="2327"/>
        <v>10000</v>
      </c>
    </row>
    <row r="2967" spans="1:13" x14ac:dyDescent="0.25">
      <c r="A2967" s="27">
        <v>42691</v>
      </c>
      <c r="B2967" s="29" t="s">
        <v>20</v>
      </c>
      <c r="C2967" s="22">
        <v>1250</v>
      </c>
      <c r="D2967" s="29" t="s">
        <v>11</v>
      </c>
      <c r="E2967" s="32">
        <v>190</v>
      </c>
      <c r="F2967" s="32">
        <v>189</v>
      </c>
      <c r="G2967" s="29">
        <v>188</v>
      </c>
      <c r="H2967" s="17">
        <v>187</v>
      </c>
      <c r="I2967" s="1">
        <f t="shared" si="2325"/>
        <v>1250</v>
      </c>
      <c r="J2967" s="2">
        <f>(IF(D2967="SELL",IF(G2967="",0,F2967-G2967),IF(D2967="BUY",IF(G2967="",0,G2967-F2967))))*C2967</f>
        <v>1250</v>
      </c>
      <c r="K2967" s="2">
        <f>(IF(D2967="SELL",IF(H2967="",0,G2967-H2967),IF(D2967="BUY",IF(H2967="",0,(H2967-G2967)))))*C2967</f>
        <v>1250</v>
      </c>
      <c r="L2967" s="2">
        <f t="shared" si="2326"/>
        <v>3</v>
      </c>
      <c r="M2967" s="2">
        <f t="shared" si="2327"/>
        <v>3750</v>
      </c>
    </row>
    <row r="2968" spans="1:13" x14ac:dyDescent="0.25">
      <c r="A2968" s="27">
        <v>42691</v>
      </c>
      <c r="B2968" s="29" t="s">
        <v>15</v>
      </c>
      <c r="C2968" s="22">
        <v>5000</v>
      </c>
      <c r="D2968" s="29" t="s">
        <v>11</v>
      </c>
      <c r="E2968" s="32">
        <v>145</v>
      </c>
      <c r="F2968" s="32">
        <v>146</v>
      </c>
      <c r="G2968" s="29">
        <v>0</v>
      </c>
      <c r="H2968" s="17">
        <v>0</v>
      </c>
      <c r="I2968" s="1">
        <f t="shared" si="2325"/>
        <v>-5000</v>
      </c>
      <c r="J2968" s="1">
        <v>0</v>
      </c>
      <c r="K2968" s="1">
        <v>0</v>
      </c>
      <c r="L2968" s="2">
        <f t="shared" si="2326"/>
        <v>-1</v>
      </c>
      <c r="M2968" s="2">
        <f t="shared" si="2327"/>
        <v>-5000</v>
      </c>
    </row>
    <row r="2969" spans="1:13" x14ac:dyDescent="0.25">
      <c r="A2969" s="27">
        <v>42690</v>
      </c>
      <c r="B2969" s="29" t="s">
        <v>14</v>
      </c>
      <c r="C2969" s="22">
        <v>30</v>
      </c>
      <c r="D2969" s="29" t="s">
        <v>11</v>
      </c>
      <c r="E2969" s="32">
        <v>41600</v>
      </c>
      <c r="F2969" s="32">
        <v>41450</v>
      </c>
      <c r="G2969" s="29">
        <v>0</v>
      </c>
      <c r="H2969" s="17">
        <v>0</v>
      </c>
      <c r="I2969" s="1">
        <f t="shared" si="2325"/>
        <v>4500</v>
      </c>
      <c r="J2969" s="1">
        <v>0</v>
      </c>
      <c r="K2969" s="1">
        <v>0</v>
      </c>
      <c r="L2969" s="2">
        <f t="shared" si="2326"/>
        <v>150</v>
      </c>
      <c r="M2969" s="2">
        <f t="shared" si="2327"/>
        <v>4500</v>
      </c>
    </row>
    <row r="2970" spans="1:13" x14ac:dyDescent="0.25">
      <c r="A2970" s="27">
        <v>42690</v>
      </c>
      <c r="B2970" s="29" t="s">
        <v>20</v>
      </c>
      <c r="C2970" s="22">
        <v>1250</v>
      </c>
      <c r="D2970" s="29" t="s">
        <v>11</v>
      </c>
      <c r="E2970" s="32">
        <v>185</v>
      </c>
      <c r="F2970" s="32">
        <v>184</v>
      </c>
      <c r="G2970" s="29">
        <v>0</v>
      </c>
      <c r="H2970" s="17">
        <v>0</v>
      </c>
      <c r="I2970" s="1">
        <f t="shared" si="2325"/>
        <v>1250</v>
      </c>
      <c r="J2970" s="1">
        <v>0</v>
      </c>
      <c r="K2970" s="1">
        <v>0</v>
      </c>
      <c r="L2970" s="2">
        <f t="shared" si="2326"/>
        <v>1</v>
      </c>
      <c r="M2970" s="2">
        <f t="shared" si="2327"/>
        <v>1250</v>
      </c>
    </row>
    <row r="2971" spans="1:13" x14ac:dyDescent="0.25">
      <c r="A2971" s="27">
        <v>42690</v>
      </c>
      <c r="B2971" s="29" t="s">
        <v>21</v>
      </c>
      <c r="C2971" s="22">
        <v>250</v>
      </c>
      <c r="D2971" s="29" t="s">
        <v>11</v>
      </c>
      <c r="E2971" s="32">
        <v>773</v>
      </c>
      <c r="F2971" s="32">
        <v>769</v>
      </c>
      <c r="G2971" s="29">
        <v>765</v>
      </c>
      <c r="H2971" s="17">
        <v>761</v>
      </c>
      <c r="I2971" s="1">
        <f t="shared" si="2325"/>
        <v>1000</v>
      </c>
      <c r="J2971" s="2">
        <f>(IF(D2971="SELL",IF(G2971="",0,F2971-G2971),IF(D2971="BUY",IF(G2971="",0,G2971-F2971))))*C2971</f>
        <v>1000</v>
      </c>
      <c r="K2971" s="2">
        <f>(IF(D2971="SELL",IF(H2971="",0,G2971-H2971),IF(D2971="BUY",IF(H2971="",0,(H2971-G2971)))))*C2971</f>
        <v>1000</v>
      </c>
      <c r="L2971" s="2">
        <f t="shared" si="2326"/>
        <v>12</v>
      </c>
      <c r="M2971" s="2">
        <f t="shared" si="2327"/>
        <v>3000</v>
      </c>
    </row>
    <row r="2972" spans="1:13" x14ac:dyDescent="0.25">
      <c r="A2972" s="27">
        <v>42690</v>
      </c>
      <c r="B2972" s="29" t="s">
        <v>16</v>
      </c>
      <c r="C2972" s="22">
        <v>100</v>
      </c>
      <c r="D2972" s="29" t="s">
        <v>11</v>
      </c>
      <c r="E2972" s="32">
        <v>3090</v>
      </c>
      <c r="F2972" s="32">
        <v>3070</v>
      </c>
      <c r="G2972" s="29">
        <v>0</v>
      </c>
      <c r="H2972" s="17">
        <v>0</v>
      </c>
      <c r="I2972" s="1">
        <f t="shared" si="2325"/>
        <v>2000</v>
      </c>
      <c r="J2972" s="1">
        <v>0</v>
      </c>
      <c r="K2972" s="1">
        <v>0</v>
      </c>
      <c r="L2972" s="2">
        <f t="shared" si="2326"/>
        <v>20</v>
      </c>
      <c r="M2972" s="2">
        <f t="shared" si="2327"/>
        <v>2000</v>
      </c>
    </row>
    <row r="2973" spans="1:13" x14ac:dyDescent="0.25">
      <c r="A2973" s="27">
        <v>42689</v>
      </c>
      <c r="B2973" s="29" t="s">
        <v>16</v>
      </c>
      <c r="C2973" s="22">
        <v>100</v>
      </c>
      <c r="D2973" s="29" t="s">
        <v>11</v>
      </c>
      <c r="E2973" s="32">
        <v>3025</v>
      </c>
      <c r="F2973" s="32">
        <v>3045</v>
      </c>
      <c r="G2973" s="29">
        <v>0</v>
      </c>
      <c r="H2973" s="17">
        <v>0</v>
      </c>
      <c r="I2973" s="1">
        <f t="shared" si="2325"/>
        <v>-2000</v>
      </c>
      <c r="J2973" s="1">
        <v>0</v>
      </c>
      <c r="K2973" s="1">
        <v>0</v>
      </c>
      <c r="L2973" s="2">
        <f t="shared" si="2326"/>
        <v>-20</v>
      </c>
      <c r="M2973" s="2">
        <f t="shared" si="2327"/>
        <v>-2000</v>
      </c>
    </row>
    <row r="2974" spans="1:13" x14ac:dyDescent="0.25">
      <c r="A2974" s="27">
        <v>42689</v>
      </c>
      <c r="B2974" s="29" t="s">
        <v>19</v>
      </c>
      <c r="C2974" s="22">
        <v>100</v>
      </c>
      <c r="D2974" s="29" t="s">
        <v>11</v>
      </c>
      <c r="E2974" s="32">
        <v>29375</v>
      </c>
      <c r="F2974" s="32">
        <v>29275</v>
      </c>
      <c r="G2974" s="29">
        <v>0</v>
      </c>
      <c r="H2974" s="17">
        <v>0</v>
      </c>
      <c r="I2974" s="1">
        <f t="shared" si="2325"/>
        <v>10000</v>
      </c>
      <c r="J2974" s="1">
        <v>0</v>
      </c>
      <c r="K2974" s="1">
        <v>0</v>
      </c>
      <c r="L2974" s="2">
        <f t="shared" si="2326"/>
        <v>100</v>
      </c>
      <c r="M2974" s="2">
        <f t="shared" si="2327"/>
        <v>10000</v>
      </c>
    </row>
    <row r="2975" spans="1:13" x14ac:dyDescent="0.25">
      <c r="A2975" s="27">
        <v>42689</v>
      </c>
      <c r="B2975" s="29" t="s">
        <v>21</v>
      </c>
      <c r="C2975" s="22">
        <v>250</v>
      </c>
      <c r="D2975" s="29" t="s">
        <v>11</v>
      </c>
      <c r="E2975" s="32">
        <v>755</v>
      </c>
      <c r="F2975" s="32">
        <v>751</v>
      </c>
      <c r="G2975" s="29">
        <v>0</v>
      </c>
      <c r="H2975" s="17">
        <v>0</v>
      </c>
      <c r="I2975" s="1">
        <f t="shared" si="2325"/>
        <v>1000</v>
      </c>
      <c r="J2975" s="1">
        <v>0</v>
      </c>
      <c r="K2975" s="1">
        <v>0</v>
      </c>
      <c r="L2975" s="2">
        <f t="shared" si="2326"/>
        <v>4</v>
      </c>
      <c r="M2975" s="2">
        <f t="shared" si="2327"/>
        <v>1000</v>
      </c>
    </row>
    <row r="2976" spans="1:13" x14ac:dyDescent="0.25">
      <c r="A2976" s="27">
        <v>42689</v>
      </c>
      <c r="B2976" s="29" t="s">
        <v>20</v>
      </c>
      <c r="C2976" s="22">
        <v>1250</v>
      </c>
      <c r="D2976" s="29" t="s">
        <v>11</v>
      </c>
      <c r="E2976" s="32">
        <v>191</v>
      </c>
      <c r="F2976" s="32">
        <v>190</v>
      </c>
      <c r="G2976" s="29">
        <v>0</v>
      </c>
      <c r="H2976" s="17">
        <v>0</v>
      </c>
      <c r="I2976" s="1">
        <f t="shared" si="2325"/>
        <v>1250</v>
      </c>
      <c r="J2976" s="1">
        <v>0</v>
      </c>
      <c r="K2976" s="1">
        <v>0</v>
      </c>
      <c r="L2976" s="2">
        <f t="shared" si="2326"/>
        <v>1</v>
      </c>
      <c r="M2976" s="2">
        <f t="shared" si="2327"/>
        <v>1250</v>
      </c>
    </row>
    <row r="2977" spans="1:13" x14ac:dyDescent="0.25">
      <c r="A2977" s="27">
        <v>42685</v>
      </c>
      <c r="B2977" s="29" t="s">
        <v>19</v>
      </c>
      <c r="C2977" s="22">
        <v>100</v>
      </c>
      <c r="D2977" s="29" t="s">
        <v>10</v>
      </c>
      <c r="E2977" s="32">
        <v>29700</v>
      </c>
      <c r="F2977" s="32">
        <v>29800</v>
      </c>
      <c r="G2977" s="29">
        <v>0</v>
      </c>
      <c r="H2977" s="18">
        <v>0</v>
      </c>
      <c r="I2977" s="1">
        <f t="shared" si="2325"/>
        <v>10000</v>
      </c>
      <c r="J2977" s="1">
        <v>0</v>
      </c>
      <c r="K2977" s="2">
        <v>0</v>
      </c>
      <c r="L2977" s="2">
        <f t="shared" si="2326"/>
        <v>100</v>
      </c>
      <c r="M2977" s="2">
        <f t="shared" si="2327"/>
        <v>10000</v>
      </c>
    </row>
    <row r="2978" spans="1:13" x14ac:dyDescent="0.25">
      <c r="A2978" s="27">
        <v>42685</v>
      </c>
      <c r="B2978" s="29" t="s">
        <v>16</v>
      </c>
      <c r="C2978" s="22">
        <v>100</v>
      </c>
      <c r="D2978" s="29" t="s">
        <v>11</v>
      </c>
      <c r="E2978" s="32">
        <v>3000</v>
      </c>
      <c r="F2978" s="32">
        <v>2980</v>
      </c>
      <c r="G2978" s="29">
        <v>0</v>
      </c>
      <c r="H2978" s="18">
        <v>0</v>
      </c>
      <c r="I2978" s="2">
        <f t="shared" si="2325"/>
        <v>2000</v>
      </c>
      <c r="J2978" s="2">
        <v>0</v>
      </c>
      <c r="K2978" s="2">
        <v>0</v>
      </c>
      <c r="L2978" s="2">
        <f t="shared" si="2326"/>
        <v>20</v>
      </c>
      <c r="M2978" s="2">
        <f t="shared" si="2327"/>
        <v>2000</v>
      </c>
    </row>
    <row r="2979" spans="1:13" x14ac:dyDescent="0.25">
      <c r="A2979" s="27">
        <v>42685</v>
      </c>
      <c r="B2979" s="29" t="s">
        <v>14</v>
      </c>
      <c r="C2979" s="22">
        <v>30</v>
      </c>
      <c r="D2979" s="29" t="s">
        <v>11</v>
      </c>
      <c r="E2979" s="32">
        <v>44300</v>
      </c>
      <c r="F2979" s="32">
        <v>44150</v>
      </c>
      <c r="G2979" s="29">
        <v>0</v>
      </c>
      <c r="H2979" s="18">
        <v>0</v>
      </c>
      <c r="I2979" s="2">
        <f t="shared" si="2325"/>
        <v>4500</v>
      </c>
      <c r="J2979" s="2">
        <v>0</v>
      </c>
      <c r="K2979" s="2">
        <v>0</v>
      </c>
      <c r="L2979" s="2">
        <f t="shared" si="2326"/>
        <v>150</v>
      </c>
      <c r="M2979" s="2">
        <f t="shared" si="2327"/>
        <v>4500</v>
      </c>
    </row>
    <row r="2980" spans="1:13" x14ac:dyDescent="0.25">
      <c r="A2980" s="27">
        <v>42685</v>
      </c>
      <c r="B2980" s="29" t="s">
        <v>15</v>
      </c>
      <c r="C2980" s="22">
        <v>5000</v>
      </c>
      <c r="D2980" s="29" t="s">
        <v>11</v>
      </c>
      <c r="E2980" s="32">
        <v>144.4</v>
      </c>
      <c r="F2980" s="32">
        <v>145.4</v>
      </c>
      <c r="G2980" s="29">
        <v>0</v>
      </c>
      <c r="H2980" s="18">
        <v>0</v>
      </c>
      <c r="I2980" s="2">
        <f t="shared" si="2325"/>
        <v>-5000</v>
      </c>
      <c r="J2980" s="2">
        <v>0</v>
      </c>
      <c r="K2980" s="2">
        <v>0</v>
      </c>
      <c r="L2980" s="2">
        <f t="shared" si="2326"/>
        <v>-1</v>
      </c>
      <c r="M2980" s="2">
        <f t="shared" si="2327"/>
        <v>-5000</v>
      </c>
    </row>
    <row r="2981" spans="1:13" x14ac:dyDescent="0.25">
      <c r="A2981" s="27">
        <v>42684</v>
      </c>
      <c r="B2981" s="29" t="s">
        <v>19</v>
      </c>
      <c r="C2981" s="22">
        <v>100</v>
      </c>
      <c r="D2981" s="29" t="s">
        <v>10</v>
      </c>
      <c r="E2981" s="32">
        <v>30000</v>
      </c>
      <c r="F2981" s="32">
        <v>30100</v>
      </c>
      <c r="G2981" s="29">
        <v>0</v>
      </c>
      <c r="H2981" s="18">
        <v>0</v>
      </c>
      <c r="I2981" s="2">
        <f t="shared" si="2325"/>
        <v>10000</v>
      </c>
      <c r="J2981" s="2">
        <v>0</v>
      </c>
      <c r="K2981" s="2">
        <v>0</v>
      </c>
      <c r="L2981" s="2">
        <f t="shared" si="2326"/>
        <v>100</v>
      </c>
      <c r="M2981" s="2">
        <f t="shared" si="2327"/>
        <v>10000</v>
      </c>
    </row>
    <row r="2982" spans="1:13" x14ac:dyDescent="0.25">
      <c r="A2982" s="27">
        <v>42684</v>
      </c>
      <c r="B2982" s="29" t="s">
        <v>14</v>
      </c>
      <c r="C2982" s="22">
        <v>30</v>
      </c>
      <c r="D2982" s="29" t="s">
        <v>11</v>
      </c>
      <c r="E2982" s="32">
        <v>44100</v>
      </c>
      <c r="F2982" s="32">
        <v>43950</v>
      </c>
      <c r="G2982" s="29">
        <v>0</v>
      </c>
      <c r="H2982" s="18">
        <v>0</v>
      </c>
      <c r="I2982" s="2">
        <f t="shared" si="2325"/>
        <v>4500</v>
      </c>
      <c r="J2982" s="2">
        <v>0</v>
      </c>
      <c r="K2982" s="2">
        <v>0</v>
      </c>
      <c r="L2982" s="2">
        <f t="shared" si="2326"/>
        <v>150</v>
      </c>
      <c r="M2982" s="2">
        <f t="shared" si="2327"/>
        <v>4500</v>
      </c>
    </row>
    <row r="2983" spans="1:13" x14ac:dyDescent="0.25">
      <c r="A2983" s="27">
        <v>42684</v>
      </c>
      <c r="B2983" s="29" t="s">
        <v>20</v>
      </c>
      <c r="C2983" s="22">
        <v>1250</v>
      </c>
      <c r="D2983" s="29" t="s">
        <v>11</v>
      </c>
      <c r="E2983" s="32">
        <v>179.5</v>
      </c>
      <c r="F2983" s="32">
        <v>178.5</v>
      </c>
      <c r="G2983" s="29">
        <v>177.5</v>
      </c>
      <c r="H2983" s="18">
        <v>176.5</v>
      </c>
      <c r="I2983" s="2">
        <f t="shared" si="2325"/>
        <v>1250</v>
      </c>
      <c r="J2983" s="2">
        <f>(IF(D2983="SELL",IF(G2983="",0,F2983-G2983),IF(D2983="BUY",IF(G2983="",0,G2983-F2983))))*C2983</f>
        <v>1250</v>
      </c>
      <c r="K2983" s="2">
        <f>(IF(D2983="SELL",IF(H2983="",0,G2983-H2983),IF(D2983="BUY",IF(H2983="",0,(H2983-G2983)))))*C2983</f>
        <v>1250</v>
      </c>
      <c r="L2983" s="2">
        <f t="shared" si="2326"/>
        <v>3</v>
      </c>
      <c r="M2983" s="2">
        <f t="shared" si="2327"/>
        <v>3750</v>
      </c>
    </row>
    <row r="2984" spans="1:13" x14ac:dyDescent="0.25">
      <c r="A2984" s="27">
        <v>42684</v>
      </c>
      <c r="B2984" s="29" t="s">
        <v>16</v>
      </c>
      <c r="C2984" s="22">
        <v>100</v>
      </c>
      <c r="D2984" s="29" t="s">
        <v>10</v>
      </c>
      <c r="E2984" s="32">
        <v>3010</v>
      </c>
      <c r="F2984" s="32">
        <v>3030</v>
      </c>
      <c r="G2984" s="29">
        <v>0</v>
      </c>
      <c r="H2984" s="18">
        <v>0</v>
      </c>
      <c r="I2984" s="2">
        <f t="shared" si="2325"/>
        <v>2000</v>
      </c>
      <c r="J2984" s="2">
        <v>0</v>
      </c>
      <c r="K2984" s="2">
        <v>0</v>
      </c>
      <c r="L2984" s="2">
        <f t="shared" si="2326"/>
        <v>20</v>
      </c>
      <c r="M2984" s="2">
        <f t="shared" si="2327"/>
        <v>2000</v>
      </c>
    </row>
    <row r="2985" spans="1:13" x14ac:dyDescent="0.25">
      <c r="A2985" s="27">
        <v>42683</v>
      </c>
      <c r="B2985" s="29" t="s">
        <v>16</v>
      </c>
      <c r="C2985" s="22">
        <v>100</v>
      </c>
      <c r="D2985" s="29" t="s">
        <v>10</v>
      </c>
      <c r="E2985" s="32">
        <v>2950</v>
      </c>
      <c r="F2985" s="32">
        <v>2970</v>
      </c>
      <c r="G2985" s="29">
        <v>0</v>
      </c>
      <c r="H2985" s="18">
        <v>0</v>
      </c>
      <c r="I2985" s="2">
        <f t="shared" si="2325"/>
        <v>2000</v>
      </c>
      <c r="J2985" s="2">
        <v>0</v>
      </c>
      <c r="K2985" s="2">
        <v>0</v>
      </c>
      <c r="L2985" s="2">
        <f t="shared" si="2326"/>
        <v>20</v>
      </c>
      <c r="M2985" s="2">
        <f t="shared" si="2327"/>
        <v>2000</v>
      </c>
    </row>
    <row r="2986" spans="1:13" x14ac:dyDescent="0.25">
      <c r="A2986" s="27">
        <v>42683</v>
      </c>
      <c r="B2986" s="29" t="s">
        <v>16</v>
      </c>
      <c r="C2986" s="22">
        <v>100</v>
      </c>
      <c r="D2986" s="29" t="s">
        <v>10</v>
      </c>
      <c r="E2986" s="32">
        <v>2930</v>
      </c>
      <c r="F2986" s="32">
        <v>2950</v>
      </c>
      <c r="G2986" s="29">
        <v>0</v>
      </c>
      <c r="H2986" s="18">
        <v>0</v>
      </c>
      <c r="I2986" s="2">
        <f t="shared" si="2325"/>
        <v>2000</v>
      </c>
      <c r="J2986" s="2">
        <v>0</v>
      </c>
      <c r="K2986" s="2">
        <v>0</v>
      </c>
      <c r="L2986" s="2">
        <f t="shared" si="2326"/>
        <v>20</v>
      </c>
      <c r="M2986" s="2">
        <f t="shared" si="2327"/>
        <v>2000</v>
      </c>
    </row>
    <row r="2987" spans="1:13" x14ac:dyDescent="0.25">
      <c r="A2987" s="27">
        <v>42683</v>
      </c>
      <c r="B2987" s="29" t="s">
        <v>17</v>
      </c>
      <c r="C2987" s="22">
        <v>5000</v>
      </c>
      <c r="D2987" s="29" t="s">
        <v>11</v>
      </c>
      <c r="E2987" s="32">
        <v>163.19999999999999</v>
      </c>
      <c r="F2987" s="32">
        <v>164.2</v>
      </c>
      <c r="G2987" s="29">
        <v>0</v>
      </c>
      <c r="H2987" s="18">
        <v>0</v>
      </c>
      <c r="I2987" s="2">
        <f t="shared" si="2325"/>
        <v>-5000</v>
      </c>
      <c r="J2987" s="2">
        <v>0</v>
      </c>
      <c r="K2987" s="2">
        <v>0</v>
      </c>
      <c r="L2987" s="2">
        <f t="shared" si="2326"/>
        <v>-1</v>
      </c>
      <c r="M2987" s="2">
        <f t="shared" si="2327"/>
        <v>-5000</v>
      </c>
    </row>
    <row r="2988" spans="1:13" x14ac:dyDescent="0.25">
      <c r="A2988" s="27">
        <v>42683</v>
      </c>
      <c r="B2988" s="29" t="s">
        <v>19</v>
      </c>
      <c r="C2988" s="22">
        <v>100</v>
      </c>
      <c r="D2988" s="29" t="s">
        <v>10</v>
      </c>
      <c r="E2988" s="32">
        <v>30800</v>
      </c>
      <c r="F2988" s="32">
        <v>30880</v>
      </c>
      <c r="G2988" s="29">
        <v>0</v>
      </c>
      <c r="H2988" s="18">
        <v>0</v>
      </c>
      <c r="I2988" s="2">
        <f t="shared" si="2325"/>
        <v>8000</v>
      </c>
      <c r="J2988" s="2">
        <v>0</v>
      </c>
      <c r="K2988" s="2">
        <v>0</v>
      </c>
      <c r="L2988" s="2">
        <f t="shared" si="2326"/>
        <v>80</v>
      </c>
      <c r="M2988" s="2">
        <f t="shared" si="2327"/>
        <v>8000</v>
      </c>
    </row>
    <row r="2989" spans="1:13" x14ac:dyDescent="0.25">
      <c r="A2989" s="27">
        <v>42682</v>
      </c>
      <c r="B2989" s="29" t="s">
        <v>17</v>
      </c>
      <c r="C2989" s="22">
        <v>5000</v>
      </c>
      <c r="D2989" s="29" t="s">
        <v>11</v>
      </c>
      <c r="E2989" s="32">
        <v>164</v>
      </c>
      <c r="F2989" s="32">
        <v>163.5</v>
      </c>
      <c r="G2989" s="29">
        <v>163</v>
      </c>
      <c r="H2989" s="18">
        <v>0</v>
      </c>
      <c r="I2989" s="2">
        <f t="shared" si="2325"/>
        <v>2500</v>
      </c>
      <c r="J2989" s="2">
        <f>(IF(D2989="SELL",IF(G2989="",0,F2989-G2989),IF(D2989="BUY",IF(G2989="",0,G2989-F2989))))*C2989</f>
        <v>2500</v>
      </c>
      <c r="K2989" s="2">
        <v>0</v>
      </c>
      <c r="L2989" s="2">
        <f t="shared" si="2326"/>
        <v>1</v>
      </c>
      <c r="M2989" s="2">
        <f t="shared" si="2327"/>
        <v>5000</v>
      </c>
    </row>
    <row r="2990" spans="1:13" x14ac:dyDescent="0.25">
      <c r="A2990" s="27">
        <v>42682</v>
      </c>
      <c r="B2990" s="29" t="s">
        <v>16</v>
      </c>
      <c r="C2990" s="22">
        <v>100</v>
      </c>
      <c r="D2990" s="29" t="s">
        <v>10</v>
      </c>
      <c r="E2990" s="32">
        <v>3000</v>
      </c>
      <c r="F2990" s="32">
        <v>3020</v>
      </c>
      <c r="G2990" s="29">
        <v>0</v>
      </c>
      <c r="H2990" s="18">
        <v>0</v>
      </c>
      <c r="I2990" s="2">
        <f t="shared" si="2325"/>
        <v>2000</v>
      </c>
      <c r="J2990" s="2">
        <v>0</v>
      </c>
      <c r="K2990" s="2">
        <v>0</v>
      </c>
      <c r="L2990" s="2">
        <f t="shared" si="2326"/>
        <v>20</v>
      </c>
      <c r="M2990" s="2">
        <f t="shared" si="2327"/>
        <v>2000</v>
      </c>
    </row>
    <row r="2991" spans="1:13" x14ac:dyDescent="0.25">
      <c r="A2991" s="27">
        <v>42682</v>
      </c>
      <c r="B2991" s="29" t="s">
        <v>19</v>
      </c>
      <c r="C2991" s="22">
        <v>100</v>
      </c>
      <c r="D2991" s="29" t="s">
        <v>11</v>
      </c>
      <c r="E2991" s="32">
        <v>30100</v>
      </c>
      <c r="F2991" s="32">
        <v>30020</v>
      </c>
      <c r="G2991" s="29">
        <v>0</v>
      </c>
      <c r="H2991" s="18">
        <v>0</v>
      </c>
      <c r="I2991" s="2">
        <f t="shared" si="2325"/>
        <v>8000</v>
      </c>
      <c r="J2991" s="2">
        <v>0</v>
      </c>
      <c r="K2991" s="2">
        <v>0</v>
      </c>
      <c r="L2991" s="2">
        <f t="shared" si="2326"/>
        <v>80</v>
      </c>
      <c r="M2991" s="2">
        <f t="shared" si="2327"/>
        <v>8000</v>
      </c>
    </row>
    <row r="2992" spans="1:13" x14ac:dyDescent="0.25">
      <c r="A2992" s="27">
        <v>42681</v>
      </c>
      <c r="B2992" s="29" t="s">
        <v>15</v>
      </c>
      <c r="C2992" s="22">
        <v>5000</v>
      </c>
      <c r="D2992" s="29" t="s">
        <v>10</v>
      </c>
      <c r="E2992" s="32">
        <v>140.69999999999999</v>
      </c>
      <c r="F2992" s="32">
        <v>141.19999999999999</v>
      </c>
      <c r="G2992" s="29">
        <v>0</v>
      </c>
      <c r="H2992" s="18">
        <v>0</v>
      </c>
      <c r="I2992" s="2">
        <f t="shared" si="2325"/>
        <v>2500</v>
      </c>
      <c r="J2992" s="2">
        <v>0</v>
      </c>
      <c r="K2992" s="2">
        <v>0</v>
      </c>
      <c r="L2992" s="2">
        <f t="shared" si="2326"/>
        <v>0.5</v>
      </c>
      <c r="M2992" s="2">
        <f t="shared" si="2327"/>
        <v>2500</v>
      </c>
    </row>
    <row r="2993" spans="1:13" x14ac:dyDescent="0.25">
      <c r="A2993" s="27">
        <v>42681</v>
      </c>
      <c r="B2993" s="29" t="s">
        <v>20</v>
      </c>
      <c r="C2993" s="22">
        <v>1250</v>
      </c>
      <c r="D2993" s="29" t="s">
        <v>11</v>
      </c>
      <c r="E2993" s="32">
        <v>190.1</v>
      </c>
      <c r="F2993" s="32">
        <v>189.1</v>
      </c>
      <c r="G2993" s="29">
        <v>0</v>
      </c>
      <c r="H2993" s="18">
        <v>0</v>
      </c>
      <c r="I2993" s="2">
        <f t="shared" si="2325"/>
        <v>1250</v>
      </c>
      <c r="J2993" s="2">
        <v>0</v>
      </c>
      <c r="K2993" s="2">
        <v>0</v>
      </c>
      <c r="L2993" s="2">
        <f t="shared" si="2326"/>
        <v>1</v>
      </c>
      <c r="M2993" s="2">
        <f t="shared" si="2327"/>
        <v>1250</v>
      </c>
    </row>
    <row r="2994" spans="1:13" x14ac:dyDescent="0.25">
      <c r="A2994" s="27">
        <v>42681</v>
      </c>
      <c r="B2994" s="29" t="s">
        <v>19</v>
      </c>
      <c r="C2994" s="22">
        <v>100</v>
      </c>
      <c r="D2994" s="29" t="s">
        <v>11</v>
      </c>
      <c r="E2994" s="32">
        <v>30280</v>
      </c>
      <c r="F2994" s="32">
        <v>30230</v>
      </c>
      <c r="G2994" s="29">
        <v>0</v>
      </c>
      <c r="H2994" s="18">
        <v>0</v>
      </c>
      <c r="I2994" s="2">
        <f t="shared" si="2325"/>
        <v>5000</v>
      </c>
      <c r="J2994" s="2">
        <v>0</v>
      </c>
      <c r="K2994" s="2">
        <v>0</v>
      </c>
      <c r="L2994" s="2">
        <f t="shared" si="2326"/>
        <v>50</v>
      </c>
      <c r="M2994" s="2">
        <f t="shared" si="2327"/>
        <v>5000</v>
      </c>
    </row>
    <row r="2995" spans="1:13" x14ac:dyDescent="0.25">
      <c r="A2995" s="27">
        <v>42681</v>
      </c>
      <c r="B2995" s="29" t="s">
        <v>16</v>
      </c>
      <c r="C2995" s="22">
        <v>100</v>
      </c>
      <c r="D2995" s="29" t="s">
        <v>10</v>
      </c>
      <c r="E2995" s="32">
        <v>2980</v>
      </c>
      <c r="F2995" s="32">
        <v>2992</v>
      </c>
      <c r="G2995" s="29">
        <v>0</v>
      </c>
      <c r="H2995" s="18">
        <v>0</v>
      </c>
      <c r="I2995" s="2">
        <f t="shared" si="2325"/>
        <v>1200</v>
      </c>
      <c r="J2995" s="2">
        <v>0</v>
      </c>
      <c r="K2995" s="2">
        <v>0</v>
      </c>
      <c r="L2995" s="2">
        <f t="shared" si="2326"/>
        <v>12</v>
      </c>
      <c r="M2995" s="2">
        <f t="shared" si="2327"/>
        <v>1200</v>
      </c>
    </row>
    <row r="2996" spans="1:13" x14ac:dyDescent="0.25">
      <c r="A2996" s="27">
        <v>42678</v>
      </c>
      <c r="B2996" s="29" t="s">
        <v>14</v>
      </c>
      <c r="C2996" s="22">
        <v>30</v>
      </c>
      <c r="D2996" s="29" t="s">
        <v>10</v>
      </c>
      <c r="E2996" s="32">
        <v>43150</v>
      </c>
      <c r="F2996" s="32">
        <v>43300</v>
      </c>
      <c r="G2996" s="29">
        <v>43450</v>
      </c>
      <c r="H2996" s="18">
        <v>0</v>
      </c>
      <c r="I2996" s="2">
        <f t="shared" si="2325"/>
        <v>4500</v>
      </c>
      <c r="J2996" s="2">
        <f t="shared" ref="J2996:J3010" si="2329">(IF(D2996="SELL",IF(G2996="",0,F2996-G2996),IF(D2996="BUY",IF(G2996="",0,G2996-F2996))))*C2996</f>
        <v>4500</v>
      </c>
      <c r="K2996" s="2">
        <v>0</v>
      </c>
      <c r="L2996" s="2">
        <f t="shared" si="2326"/>
        <v>300</v>
      </c>
      <c r="M2996" s="2">
        <f t="shared" si="2327"/>
        <v>9000</v>
      </c>
    </row>
    <row r="2997" spans="1:13" x14ac:dyDescent="0.25">
      <c r="A2997" s="27">
        <v>42678</v>
      </c>
      <c r="B2997" s="29" t="s">
        <v>16</v>
      </c>
      <c r="C2997" s="22">
        <v>100</v>
      </c>
      <c r="D2997" s="29" t="s">
        <v>11</v>
      </c>
      <c r="E2997" s="32">
        <v>2988</v>
      </c>
      <c r="F2997" s="32">
        <v>2978</v>
      </c>
      <c r="G2997" s="29">
        <v>2968</v>
      </c>
      <c r="H2997" s="18">
        <v>2958</v>
      </c>
      <c r="I2997" s="2">
        <f t="shared" si="2325"/>
        <v>1000</v>
      </c>
      <c r="J2997" s="2">
        <f t="shared" si="2329"/>
        <v>1000</v>
      </c>
      <c r="K2997" s="2">
        <f>(IF(D2997="SELL",IF(H2997="",0,G2997-H2997),IF(D2997="BUY",IF(H2997="",0,(H2997-G2997)))))*C2997</f>
        <v>1000</v>
      </c>
      <c r="L2997" s="2">
        <f t="shared" si="2326"/>
        <v>30</v>
      </c>
      <c r="M2997" s="2">
        <f t="shared" si="2327"/>
        <v>3000</v>
      </c>
    </row>
    <row r="2998" spans="1:13" x14ac:dyDescent="0.25">
      <c r="A2998" s="27">
        <v>42678</v>
      </c>
      <c r="B2998" s="29" t="s">
        <v>17</v>
      </c>
      <c r="C2998" s="22">
        <v>5000</v>
      </c>
      <c r="D2998" s="29" t="s">
        <v>10</v>
      </c>
      <c r="E2998" s="32">
        <v>164.4</v>
      </c>
      <c r="F2998" s="32">
        <v>164.9</v>
      </c>
      <c r="G2998" s="29">
        <v>165.4</v>
      </c>
      <c r="H2998" s="18">
        <v>0</v>
      </c>
      <c r="I2998" s="2">
        <f t="shared" si="2325"/>
        <v>2500</v>
      </c>
      <c r="J2998" s="2">
        <f t="shared" si="2329"/>
        <v>2500</v>
      </c>
      <c r="K2998" s="2">
        <v>0</v>
      </c>
      <c r="L2998" s="2">
        <f t="shared" si="2326"/>
        <v>1</v>
      </c>
      <c r="M2998" s="2">
        <f t="shared" si="2327"/>
        <v>5000</v>
      </c>
    </row>
    <row r="2999" spans="1:13" x14ac:dyDescent="0.25">
      <c r="A2999" s="27">
        <v>42677</v>
      </c>
      <c r="B2999" s="29" t="s">
        <v>19</v>
      </c>
      <c r="C2999" s="22">
        <v>100</v>
      </c>
      <c r="D2999" s="29" t="s">
        <v>11</v>
      </c>
      <c r="E2999" s="32">
        <v>30600</v>
      </c>
      <c r="F2999" s="32">
        <v>30550</v>
      </c>
      <c r="G2999" s="29">
        <v>30500</v>
      </c>
      <c r="H2999" s="18">
        <v>0</v>
      </c>
      <c r="I2999" s="2">
        <f t="shared" si="2325"/>
        <v>5000</v>
      </c>
      <c r="J2999" s="2">
        <f t="shared" si="2329"/>
        <v>5000</v>
      </c>
      <c r="K2999" s="2">
        <v>0</v>
      </c>
      <c r="L2999" s="2">
        <f t="shared" si="2326"/>
        <v>100</v>
      </c>
      <c r="M2999" s="2">
        <f t="shared" si="2327"/>
        <v>10000</v>
      </c>
    </row>
    <row r="3000" spans="1:13" x14ac:dyDescent="0.25">
      <c r="A3000" s="27">
        <v>42677</v>
      </c>
      <c r="B3000" s="29" t="s">
        <v>14</v>
      </c>
      <c r="C3000" s="22">
        <v>30</v>
      </c>
      <c r="D3000" s="29" t="s">
        <v>11</v>
      </c>
      <c r="E3000" s="32">
        <v>43950</v>
      </c>
      <c r="F3000" s="32">
        <v>43800</v>
      </c>
      <c r="G3000" s="29">
        <v>43650</v>
      </c>
      <c r="H3000" s="18">
        <v>43500</v>
      </c>
      <c r="I3000" s="2">
        <f t="shared" si="2325"/>
        <v>4500</v>
      </c>
      <c r="J3000" s="2">
        <f t="shared" si="2329"/>
        <v>4500</v>
      </c>
      <c r="K3000" s="2">
        <f>(IF(D3000="SELL",IF(H3000="",0,G3000-H3000),IF(D3000="BUY",IF(H3000="",0,(H3000-G3000)))))*C3000</f>
        <v>4500</v>
      </c>
      <c r="L3000" s="2">
        <f t="shared" si="2326"/>
        <v>450</v>
      </c>
      <c r="M3000" s="2">
        <f t="shared" si="2327"/>
        <v>13500</v>
      </c>
    </row>
    <row r="3001" spans="1:13" x14ac:dyDescent="0.25">
      <c r="A3001" s="27">
        <v>42677</v>
      </c>
      <c r="B3001" s="29" t="s">
        <v>16</v>
      </c>
      <c r="C3001" s="22">
        <v>100</v>
      </c>
      <c r="D3001" s="29" t="s">
        <v>11</v>
      </c>
      <c r="E3001" s="32">
        <v>3060</v>
      </c>
      <c r="F3001" s="32">
        <v>3045</v>
      </c>
      <c r="G3001" s="29">
        <v>3030</v>
      </c>
      <c r="H3001" s="18">
        <v>0</v>
      </c>
      <c r="I3001" s="2">
        <f t="shared" si="2325"/>
        <v>1500</v>
      </c>
      <c r="J3001" s="2">
        <f t="shared" si="2329"/>
        <v>1500</v>
      </c>
      <c r="K3001" s="2">
        <v>0</v>
      </c>
      <c r="L3001" s="2">
        <f t="shared" si="2326"/>
        <v>30</v>
      </c>
      <c r="M3001" s="2">
        <f t="shared" si="2327"/>
        <v>3000</v>
      </c>
    </row>
    <row r="3002" spans="1:13" x14ac:dyDescent="0.25">
      <c r="A3002" s="27">
        <v>42677</v>
      </c>
      <c r="B3002" s="29" t="s">
        <v>20</v>
      </c>
      <c r="C3002" s="22">
        <v>1250</v>
      </c>
      <c r="D3002" s="29" t="s">
        <v>11</v>
      </c>
      <c r="E3002" s="32">
        <v>185</v>
      </c>
      <c r="F3002" s="32">
        <v>183.5</v>
      </c>
      <c r="G3002" s="29">
        <v>0</v>
      </c>
      <c r="H3002" s="18">
        <v>0</v>
      </c>
      <c r="I3002" s="2">
        <f t="shared" si="2325"/>
        <v>1875</v>
      </c>
      <c r="J3002" s="2">
        <v>0</v>
      </c>
      <c r="K3002" s="2">
        <f>(IF(D3002="SELL",IF(H3002="",0,G3002-H3002),IF(D3002="BUY",IF(H3002="",0,(H3002-G3002)))))*C3002</f>
        <v>0</v>
      </c>
      <c r="L3002" s="2">
        <f t="shared" si="2326"/>
        <v>1.5</v>
      </c>
      <c r="M3002" s="2">
        <f t="shared" si="2327"/>
        <v>1875</v>
      </c>
    </row>
    <row r="3003" spans="1:13" x14ac:dyDescent="0.25">
      <c r="A3003" s="27">
        <v>42677</v>
      </c>
      <c r="B3003" s="29" t="s">
        <v>17</v>
      </c>
      <c r="C3003" s="22">
        <v>5000</v>
      </c>
      <c r="D3003" s="29" t="s">
        <v>10</v>
      </c>
      <c r="E3003" s="32">
        <v>161.80000000000001</v>
      </c>
      <c r="F3003" s="32">
        <v>162.30000000000001</v>
      </c>
      <c r="G3003" s="29">
        <v>162.80000000000001</v>
      </c>
      <c r="H3003" s="18">
        <v>163.30000000000001</v>
      </c>
      <c r="I3003" s="2">
        <f t="shared" si="2325"/>
        <v>2500</v>
      </c>
      <c r="J3003" s="2">
        <f t="shared" si="2329"/>
        <v>2500</v>
      </c>
      <c r="K3003" s="2">
        <f>(IF(D3003="SELL",IF(H3003="",0,G3003-H3003),IF(D3003="BUY",IF(H3003="",0,(H3003-G3003)))))*C3003</f>
        <v>2500</v>
      </c>
      <c r="L3003" s="2">
        <f t="shared" si="2326"/>
        <v>1.5</v>
      </c>
      <c r="M3003" s="2">
        <f t="shared" si="2327"/>
        <v>7500</v>
      </c>
    </row>
    <row r="3004" spans="1:13" x14ac:dyDescent="0.25">
      <c r="A3004" s="27">
        <v>42676</v>
      </c>
      <c r="B3004" s="29" t="s">
        <v>19</v>
      </c>
      <c r="C3004" s="22">
        <v>100</v>
      </c>
      <c r="D3004" s="29" t="s">
        <v>10</v>
      </c>
      <c r="E3004" s="32">
        <v>30400</v>
      </c>
      <c r="F3004" s="32">
        <v>30460</v>
      </c>
      <c r="G3004" s="29">
        <v>30520</v>
      </c>
      <c r="H3004" s="18">
        <v>0</v>
      </c>
      <c r="I3004" s="2">
        <f t="shared" si="2325"/>
        <v>6000</v>
      </c>
      <c r="J3004" s="2">
        <f t="shared" si="2329"/>
        <v>6000</v>
      </c>
      <c r="K3004" s="2">
        <v>0</v>
      </c>
      <c r="L3004" s="2">
        <f t="shared" si="2326"/>
        <v>120</v>
      </c>
      <c r="M3004" s="2">
        <f t="shared" si="2327"/>
        <v>12000</v>
      </c>
    </row>
    <row r="3005" spans="1:13" x14ac:dyDescent="0.25">
      <c r="A3005" s="27">
        <v>42676</v>
      </c>
      <c r="B3005" s="29" t="s">
        <v>20</v>
      </c>
      <c r="C3005" s="22">
        <v>1250</v>
      </c>
      <c r="D3005" s="29" t="s">
        <v>11</v>
      </c>
      <c r="E3005" s="32">
        <v>192</v>
      </c>
      <c r="F3005" s="32">
        <v>190.5</v>
      </c>
      <c r="G3005" s="29">
        <v>189</v>
      </c>
      <c r="H3005" s="18">
        <v>0</v>
      </c>
      <c r="I3005" s="2">
        <f t="shared" si="2325"/>
        <v>1875</v>
      </c>
      <c r="J3005" s="2">
        <f t="shared" si="2329"/>
        <v>1875</v>
      </c>
      <c r="K3005" s="2">
        <v>0</v>
      </c>
      <c r="L3005" s="2">
        <f t="shared" si="2326"/>
        <v>3</v>
      </c>
      <c r="M3005" s="2">
        <f t="shared" si="2327"/>
        <v>3750</v>
      </c>
    </row>
    <row r="3006" spans="1:13" x14ac:dyDescent="0.25">
      <c r="A3006" s="27">
        <v>42676</v>
      </c>
      <c r="B3006" s="29" t="s">
        <v>17</v>
      </c>
      <c r="C3006" s="22">
        <v>5000</v>
      </c>
      <c r="D3006" s="29" t="s">
        <v>11</v>
      </c>
      <c r="E3006" s="32">
        <v>162.5</v>
      </c>
      <c r="F3006" s="32">
        <v>161.9</v>
      </c>
      <c r="G3006" s="29">
        <v>0</v>
      </c>
      <c r="H3006" s="18">
        <v>0</v>
      </c>
      <c r="I3006" s="2">
        <f t="shared" si="2325"/>
        <v>2999.9999999999718</v>
      </c>
      <c r="J3006" s="2">
        <v>0</v>
      </c>
      <c r="K3006" s="2">
        <v>0</v>
      </c>
      <c r="L3006" s="2">
        <f t="shared" si="2326"/>
        <v>0.59999999999999432</v>
      </c>
      <c r="M3006" s="2">
        <f t="shared" si="2327"/>
        <v>2999.9999999999718</v>
      </c>
    </row>
    <row r="3007" spans="1:13" x14ac:dyDescent="0.25">
      <c r="A3007" s="27">
        <v>42675</v>
      </c>
      <c r="B3007" s="29" t="s">
        <v>19</v>
      </c>
      <c r="C3007" s="22">
        <v>100</v>
      </c>
      <c r="D3007" s="29" t="s">
        <v>10</v>
      </c>
      <c r="E3007" s="32">
        <v>30050</v>
      </c>
      <c r="F3007" s="32">
        <v>30110</v>
      </c>
      <c r="G3007" s="29">
        <v>30170</v>
      </c>
      <c r="H3007" s="18">
        <v>118.6</v>
      </c>
      <c r="I3007" s="2">
        <f t="shared" si="2325"/>
        <v>6000</v>
      </c>
      <c r="J3007" s="2">
        <f t="shared" si="2329"/>
        <v>6000</v>
      </c>
      <c r="K3007" s="2">
        <v>0</v>
      </c>
      <c r="L3007" s="2">
        <f t="shared" si="2326"/>
        <v>120</v>
      </c>
      <c r="M3007" s="2">
        <f t="shared" si="2327"/>
        <v>12000</v>
      </c>
    </row>
    <row r="3008" spans="1:13" x14ac:dyDescent="0.25">
      <c r="A3008" s="27">
        <v>42675</v>
      </c>
      <c r="B3008" s="29" t="s">
        <v>17</v>
      </c>
      <c r="C3008" s="22">
        <v>5000</v>
      </c>
      <c r="D3008" s="29" t="s">
        <v>11</v>
      </c>
      <c r="E3008" s="32">
        <v>165</v>
      </c>
      <c r="F3008" s="32">
        <v>164.4</v>
      </c>
      <c r="G3008" s="29">
        <v>163.80000000000001</v>
      </c>
      <c r="H3008" s="18">
        <v>319.8</v>
      </c>
      <c r="I3008" s="2">
        <f t="shared" si="2325"/>
        <v>2999.9999999999718</v>
      </c>
      <c r="J3008" s="2">
        <f t="shared" si="2329"/>
        <v>2999.9999999999718</v>
      </c>
      <c r="K3008" s="2">
        <v>0</v>
      </c>
      <c r="L3008" s="2">
        <f t="shared" si="2326"/>
        <v>1.1999999999999886</v>
      </c>
      <c r="M3008" s="2">
        <f t="shared" si="2327"/>
        <v>5999.9999999999436</v>
      </c>
    </row>
    <row r="3009" spans="1:13" x14ac:dyDescent="0.25">
      <c r="A3009" s="27">
        <v>42675</v>
      </c>
      <c r="B3009" s="29" t="s">
        <v>20</v>
      </c>
      <c r="C3009" s="22">
        <v>1250</v>
      </c>
      <c r="D3009" s="29" t="s">
        <v>11</v>
      </c>
      <c r="E3009" s="32">
        <v>201</v>
      </c>
      <c r="F3009" s="32">
        <v>199.5</v>
      </c>
      <c r="G3009" s="29">
        <v>198</v>
      </c>
      <c r="H3009" s="18">
        <v>0</v>
      </c>
      <c r="I3009" s="2">
        <f t="shared" si="2325"/>
        <v>1875</v>
      </c>
      <c r="J3009" s="2">
        <f t="shared" si="2329"/>
        <v>1875</v>
      </c>
      <c r="K3009" s="2">
        <v>0</v>
      </c>
      <c r="L3009" s="2">
        <f t="shared" si="2326"/>
        <v>3</v>
      </c>
      <c r="M3009" s="2">
        <f t="shared" si="2327"/>
        <v>3750</v>
      </c>
    </row>
    <row r="3010" spans="1:13" x14ac:dyDescent="0.25">
      <c r="A3010" s="27">
        <v>42675</v>
      </c>
      <c r="B3010" s="29" t="s">
        <v>16</v>
      </c>
      <c r="C3010" s="22">
        <v>100</v>
      </c>
      <c r="D3010" s="29" t="s">
        <v>11</v>
      </c>
      <c r="E3010" s="32">
        <v>3150</v>
      </c>
      <c r="F3010" s="32">
        <v>3135</v>
      </c>
      <c r="G3010" s="29">
        <v>3120</v>
      </c>
      <c r="H3010" s="18">
        <v>29525</v>
      </c>
      <c r="I3010" s="2">
        <f t="shared" si="2325"/>
        <v>1500</v>
      </c>
      <c r="J3010" s="2">
        <f t="shared" si="2329"/>
        <v>1500</v>
      </c>
      <c r="K3010" s="2">
        <v>0</v>
      </c>
      <c r="L3010" s="2">
        <f t="shared" si="2326"/>
        <v>30</v>
      </c>
      <c r="M3010" s="2">
        <f t="shared" si="2327"/>
        <v>3000</v>
      </c>
    </row>
    <row r="3011" spans="1:13" x14ac:dyDescent="0.25">
      <c r="A3011" s="27">
        <v>42675</v>
      </c>
      <c r="B3011" s="29" t="s">
        <v>15</v>
      </c>
      <c r="C3011" s="22">
        <v>5000</v>
      </c>
      <c r="D3011" s="29" t="s">
        <v>10</v>
      </c>
      <c r="E3011" s="32">
        <v>138.19999999999999</v>
      </c>
      <c r="F3011" s="32">
        <v>138.80000000000001</v>
      </c>
      <c r="G3011" s="29">
        <v>0</v>
      </c>
      <c r="H3011" s="18">
        <v>0</v>
      </c>
      <c r="I3011" s="2">
        <f t="shared" si="2325"/>
        <v>3000.0000000001137</v>
      </c>
      <c r="J3011" s="2">
        <v>0</v>
      </c>
      <c r="K3011" s="2">
        <f>(IF(D3011="SELL",IF(H3011="",0,G3011-H3011),IF(D3011="BUY",IF(H3011="",0,(H3011-G3011)))))*C3011</f>
        <v>0</v>
      </c>
      <c r="L3011" s="2">
        <f t="shared" si="2326"/>
        <v>0.60000000000002274</v>
      </c>
      <c r="M3011" s="2">
        <f t="shared" si="2327"/>
        <v>3000.0000000001137</v>
      </c>
    </row>
    <row r="3012" spans="1:13" x14ac:dyDescent="0.25">
      <c r="A3012" s="27">
        <v>42671</v>
      </c>
      <c r="B3012" s="29" t="s">
        <v>19</v>
      </c>
      <c r="C3012" s="22">
        <v>100</v>
      </c>
      <c r="D3012" s="29" t="s">
        <v>11</v>
      </c>
      <c r="E3012" s="32">
        <v>29920</v>
      </c>
      <c r="F3012" s="32">
        <v>29860</v>
      </c>
      <c r="G3012" s="29">
        <v>29800</v>
      </c>
      <c r="H3012" s="18">
        <v>0</v>
      </c>
      <c r="I3012" s="2">
        <f t="shared" si="2325"/>
        <v>6000</v>
      </c>
      <c r="J3012" s="2">
        <f>(IF(D3012="SELL",IF(G3012="",0,F3012-G3012),IF(D3012="BUY",IF(G3012="",0,G3012-F3012))))*C3012</f>
        <v>6000</v>
      </c>
      <c r="K3012" s="2">
        <v>0</v>
      </c>
      <c r="L3012" s="2">
        <f t="shared" si="2326"/>
        <v>120</v>
      </c>
      <c r="M3012" s="2">
        <f t="shared" si="2327"/>
        <v>12000</v>
      </c>
    </row>
    <row r="3013" spans="1:13" x14ac:dyDescent="0.25">
      <c r="A3013" s="27">
        <v>42671</v>
      </c>
      <c r="B3013" s="29" t="s">
        <v>17</v>
      </c>
      <c r="C3013" s="22">
        <v>5000</v>
      </c>
      <c r="D3013" s="29" t="s">
        <v>10</v>
      </c>
      <c r="E3013" s="32">
        <v>158</v>
      </c>
      <c r="F3013" s="32">
        <v>158.5</v>
      </c>
      <c r="G3013" s="29">
        <v>159</v>
      </c>
      <c r="H3013" s="18">
        <v>159.5</v>
      </c>
      <c r="I3013" s="2">
        <f t="shared" si="2325"/>
        <v>2500</v>
      </c>
      <c r="J3013" s="2">
        <f>(IF(D3013="SELL",IF(G3013="",0,F3013-G3013),IF(D3013="BUY",IF(G3013="",0,G3013-F3013))))*C3013</f>
        <v>2500</v>
      </c>
      <c r="K3013" s="2">
        <f>(IF(D3013="SELL",IF(H3013="",0,G3013-H3013),IF(D3013="BUY",IF(H3013="",0,(H3013-G3013)))))*C3013</f>
        <v>2500</v>
      </c>
      <c r="L3013" s="2">
        <f t="shared" si="2326"/>
        <v>1.5</v>
      </c>
      <c r="M3013" s="2">
        <f t="shared" si="2327"/>
        <v>7500</v>
      </c>
    </row>
    <row r="3014" spans="1:13" x14ac:dyDescent="0.25">
      <c r="A3014" s="27">
        <v>42671</v>
      </c>
      <c r="B3014" s="29" t="s">
        <v>20</v>
      </c>
      <c r="C3014" s="22">
        <v>1250</v>
      </c>
      <c r="D3014" s="29" t="s">
        <v>11</v>
      </c>
      <c r="E3014" s="32">
        <v>206.5</v>
      </c>
      <c r="F3014" s="32">
        <v>205</v>
      </c>
      <c r="G3014" s="29">
        <v>203.5</v>
      </c>
      <c r="H3014" s="18">
        <v>0</v>
      </c>
      <c r="I3014" s="2">
        <f t="shared" si="2325"/>
        <v>1875</v>
      </c>
      <c r="J3014" s="2">
        <f>(IF(D3014="SELL",IF(G3014="",0,F3014-G3014),IF(D3014="BUY",IF(G3014="",0,G3014-F3014))))*C3014</f>
        <v>1875</v>
      </c>
      <c r="K3014" s="2">
        <v>0</v>
      </c>
      <c r="L3014" s="2">
        <f t="shared" si="2326"/>
        <v>3</v>
      </c>
      <c r="M3014" s="2">
        <f t="shared" si="2327"/>
        <v>3750</v>
      </c>
    </row>
    <row r="3015" spans="1:13" x14ac:dyDescent="0.25">
      <c r="A3015" s="27">
        <v>42671</v>
      </c>
      <c r="B3015" s="29" t="s">
        <v>16</v>
      </c>
      <c r="C3015" s="22">
        <v>100</v>
      </c>
      <c r="D3015" s="29" t="s">
        <v>11</v>
      </c>
      <c r="E3015" s="32">
        <v>3325</v>
      </c>
      <c r="F3015" s="32">
        <v>3310</v>
      </c>
      <c r="G3015" s="29">
        <v>3295</v>
      </c>
      <c r="H3015" s="18">
        <v>0</v>
      </c>
      <c r="I3015" s="2">
        <f t="shared" si="2325"/>
        <v>1500</v>
      </c>
      <c r="J3015" s="2">
        <f>(IF(D3015="SELL",IF(G3015="",0,F3015-G3015),IF(D3015="BUY",IF(G3015="",0,G3015-F3015))))*C3015</f>
        <v>1500</v>
      </c>
      <c r="K3015" s="2">
        <v>0</v>
      </c>
      <c r="L3015" s="2">
        <f t="shared" si="2326"/>
        <v>30</v>
      </c>
      <c r="M3015" s="2">
        <f t="shared" si="2327"/>
        <v>3000</v>
      </c>
    </row>
    <row r="3016" spans="1:13" x14ac:dyDescent="0.25">
      <c r="A3016" s="27">
        <v>42671</v>
      </c>
      <c r="B3016" s="29" t="s">
        <v>14</v>
      </c>
      <c r="C3016" s="22">
        <v>30</v>
      </c>
      <c r="D3016" s="29" t="s">
        <v>11</v>
      </c>
      <c r="E3016" s="32">
        <v>42250</v>
      </c>
      <c r="F3016" s="32">
        <v>42100</v>
      </c>
      <c r="G3016" s="29">
        <v>0</v>
      </c>
      <c r="H3016" s="18">
        <v>0</v>
      </c>
      <c r="I3016" s="2">
        <f t="shared" si="2325"/>
        <v>4500</v>
      </c>
      <c r="J3016" s="2">
        <v>0</v>
      </c>
      <c r="K3016" s="2">
        <f>(IF(D3016="SELL",IF(H3016="",0,G3016-H3016),IF(D3016="BUY",IF(H3016="",0,(H3016-G3016)))))*C3016</f>
        <v>0</v>
      </c>
      <c r="L3016" s="2">
        <f t="shared" si="2326"/>
        <v>150</v>
      </c>
      <c r="M3016" s="2">
        <f t="shared" si="2327"/>
        <v>4500</v>
      </c>
    </row>
    <row r="3017" spans="1:13" x14ac:dyDescent="0.25">
      <c r="A3017" s="27">
        <v>42670</v>
      </c>
      <c r="B3017" s="29" t="s">
        <v>19</v>
      </c>
      <c r="C3017" s="22">
        <v>100</v>
      </c>
      <c r="D3017" s="29" t="s">
        <v>10</v>
      </c>
      <c r="E3017" s="32">
        <v>29880</v>
      </c>
      <c r="F3017" s="32">
        <v>29940</v>
      </c>
      <c r="G3017" s="29">
        <v>0</v>
      </c>
      <c r="H3017" s="18">
        <v>0</v>
      </c>
      <c r="I3017" s="2">
        <f t="shared" si="2325"/>
        <v>6000</v>
      </c>
      <c r="J3017" s="2">
        <v>0</v>
      </c>
      <c r="K3017" s="2">
        <f>(IF(D3017="SELL",IF(H3017="",0,G3017-H3017),IF(D3017="BUY",IF(H3017="",0,(H3017-G3017)))))*C3017</f>
        <v>0</v>
      </c>
      <c r="L3017" s="2">
        <f t="shared" si="2326"/>
        <v>60</v>
      </c>
      <c r="M3017" s="2">
        <f t="shared" si="2327"/>
        <v>6000</v>
      </c>
    </row>
    <row r="3018" spans="1:13" x14ac:dyDescent="0.25">
      <c r="A3018" s="27">
        <v>42670</v>
      </c>
      <c r="B3018" s="29" t="s">
        <v>14</v>
      </c>
      <c r="C3018" s="22">
        <v>30</v>
      </c>
      <c r="D3018" s="29" t="s">
        <v>10</v>
      </c>
      <c r="E3018" s="32">
        <v>42150</v>
      </c>
      <c r="F3018" s="32">
        <v>42270</v>
      </c>
      <c r="G3018" s="29">
        <v>0</v>
      </c>
      <c r="H3018" s="18">
        <v>0</v>
      </c>
      <c r="I3018" s="2">
        <f t="shared" si="2325"/>
        <v>3600</v>
      </c>
      <c r="J3018" s="2">
        <v>0</v>
      </c>
      <c r="K3018" s="2">
        <f>(IF(D3018="SELL",IF(H3018="",0,G3018-H3018),IF(D3018="BUY",IF(H3018="",0,(H3018-G3018)))))*C3018</f>
        <v>0</v>
      </c>
      <c r="L3018" s="2">
        <f t="shared" si="2326"/>
        <v>120</v>
      </c>
      <c r="M3018" s="2">
        <f t="shared" si="2327"/>
        <v>3600</v>
      </c>
    </row>
    <row r="3019" spans="1:13" x14ac:dyDescent="0.25">
      <c r="A3019" s="27">
        <v>42670</v>
      </c>
      <c r="B3019" s="29" t="s">
        <v>16</v>
      </c>
      <c r="C3019" s="22">
        <v>100</v>
      </c>
      <c r="D3019" s="29" t="s">
        <v>11</v>
      </c>
      <c r="E3019" s="32">
        <v>3305</v>
      </c>
      <c r="F3019" s="32">
        <v>3290</v>
      </c>
      <c r="G3019" s="29">
        <v>0</v>
      </c>
      <c r="H3019" s="18">
        <v>0</v>
      </c>
      <c r="I3019" s="2">
        <f t="shared" si="2325"/>
        <v>1500</v>
      </c>
      <c r="J3019" s="2">
        <f t="shared" ref="J3019:J3026" si="2330">(IF(D3019="SELL",IF(G3019="",0,F3019-G3019),IF(D3019="BUY",IF(G3019="",0,G3019-F3019))))*C3019</f>
        <v>329000</v>
      </c>
      <c r="K3019" s="2">
        <f>(IF(D3019="SELL",IF(H3019="",0,G3019-H3019),IF(D3019="BUY",IF(H3019="",0,(H3019-G3019)))))*C3019</f>
        <v>0</v>
      </c>
      <c r="L3019" s="2">
        <f t="shared" si="2326"/>
        <v>3305</v>
      </c>
      <c r="M3019" s="2">
        <f t="shared" si="2327"/>
        <v>330500</v>
      </c>
    </row>
    <row r="3020" spans="1:13" x14ac:dyDescent="0.25">
      <c r="A3020" s="27">
        <v>42670</v>
      </c>
      <c r="B3020" s="29" t="s">
        <v>20</v>
      </c>
      <c r="C3020" s="22">
        <v>1250</v>
      </c>
      <c r="D3020" s="29" t="s">
        <v>10</v>
      </c>
      <c r="E3020" s="32">
        <v>204</v>
      </c>
      <c r="F3020" s="32">
        <v>205</v>
      </c>
      <c r="G3020" s="29">
        <v>206</v>
      </c>
      <c r="H3020" s="18">
        <v>0</v>
      </c>
      <c r="I3020" s="2">
        <f t="shared" si="2325"/>
        <v>1250</v>
      </c>
      <c r="J3020" s="2">
        <f t="shared" si="2330"/>
        <v>1250</v>
      </c>
      <c r="K3020" s="2">
        <v>0</v>
      </c>
      <c r="L3020" s="2">
        <f t="shared" si="2326"/>
        <v>2</v>
      </c>
      <c r="M3020" s="2">
        <f t="shared" si="2327"/>
        <v>2500</v>
      </c>
    </row>
    <row r="3021" spans="1:13" x14ac:dyDescent="0.25">
      <c r="A3021" s="27">
        <v>42670</v>
      </c>
      <c r="B3021" s="29" t="s">
        <v>17</v>
      </c>
      <c r="C3021" s="22">
        <v>5000</v>
      </c>
      <c r="D3021" s="29" t="s">
        <v>11</v>
      </c>
      <c r="E3021" s="32">
        <v>156.19999999999999</v>
      </c>
      <c r="F3021" s="32">
        <v>157</v>
      </c>
      <c r="G3021" s="29">
        <v>0</v>
      </c>
      <c r="H3021" s="18">
        <v>0</v>
      </c>
      <c r="I3021" s="2">
        <f t="shared" si="2325"/>
        <v>-4000.0000000000568</v>
      </c>
      <c r="J3021" s="2">
        <f t="shared" si="2330"/>
        <v>785000</v>
      </c>
      <c r="K3021" s="2">
        <f>(IF(D3021="SELL",IF(H3021="",0,G3021-H3021),IF(D3021="BUY",IF(H3021="",0,(H3021-G3021)))))*C3021</f>
        <v>0</v>
      </c>
      <c r="L3021" s="2">
        <f t="shared" si="2326"/>
        <v>156.19999999999999</v>
      </c>
      <c r="M3021" s="2">
        <f t="shared" si="2327"/>
        <v>781000</v>
      </c>
    </row>
    <row r="3022" spans="1:13" x14ac:dyDescent="0.25">
      <c r="A3022" s="27">
        <v>42669</v>
      </c>
      <c r="B3022" s="29" t="s">
        <v>14</v>
      </c>
      <c r="C3022" s="22">
        <v>30</v>
      </c>
      <c r="D3022" s="29" t="s">
        <v>11</v>
      </c>
      <c r="E3022" s="32">
        <v>42450</v>
      </c>
      <c r="F3022" s="32">
        <v>42330</v>
      </c>
      <c r="G3022" s="29">
        <v>42210</v>
      </c>
      <c r="H3022" s="18">
        <v>0</v>
      </c>
      <c r="I3022" s="2">
        <f t="shared" si="2325"/>
        <v>3600</v>
      </c>
      <c r="J3022" s="2">
        <f t="shared" si="2330"/>
        <v>3600</v>
      </c>
      <c r="K3022" s="2">
        <v>0</v>
      </c>
      <c r="L3022" s="2">
        <f t="shared" si="2326"/>
        <v>240</v>
      </c>
      <c r="M3022" s="2">
        <f t="shared" si="2327"/>
        <v>7200</v>
      </c>
    </row>
    <row r="3023" spans="1:13" x14ac:dyDescent="0.25">
      <c r="A3023" s="27">
        <v>42669</v>
      </c>
      <c r="B3023" s="29" t="s">
        <v>20</v>
      </c>
      <c r="C3023" s="22">
        <v>1250</v>
      </c>
      <c r="D3023" s="29" t="s">
        <v>11</v>
      </c>
      <c r="E3023" s="32">
        <v>184</v>
      </c>
      <c r="F3023" s="32">
        <v>182.5</v>
      </c>
      <c r="G3023" s="29">
        <v>181</v>
      </c>
      <c r="H3023" s="18">
        <v>0</v>
      </c>
      <c r="I3023" s="2">
        <f t="shared" si="2325"/>
        <v>1875</v>
      </c>
      <c r="J3023" s="2">
        <f t="shared" si="2330"/>
        <v>1875</v>
      </c>
      <c r="K3023" s="2">
        <v>0</v>
      </c>
      <c r="L3023" s="2">
        <f t="shared" si="2326"/>
        <v>3</v>
      </c>
      <c r="M3023" s="2">
        <f t="shared" si="2327"/>
        <v>3750</v>
      </c>
    </row>
    <row r="3024" spans="1:13" x14ac:dyDescent="0.25">
      <c r="A3024" s="27">
        <v>42669</v>
      </c>
      <c r="B3024" s="29" t="s">
        <v>16</v>
      </c>
      <c r="C3024" s="22">
        <v>100</v>
      </c>
      <c r="D3024" s="29" t="s">
        <v>10</v>
      </c>
      <c r="E3024" s="32">
        <v>3307</v>
      </c>
      <c r="F3024" s="32">
        <v>3322</v>
      </c>
      <c r="G3024" s="29">
        <v>3337</v>
      </c>
      <c r="H3024" s="18">
        <v>0</v>
      </c>
      <c r="I3024" s="2">
        <f t="shared" si="2325"/>
        <v>1500</v>
      </c>
      <c r="J3024" s="2">
        <f t="shared" si="2330"/>
        <v>1500</v>
      </c>
      <c r="K3024" s="2">
        <v>0</v>
      </c>
      <c r="L3024" s="2">
        <f t="shared" si="2326"/>
        <v>30</v>
      </c>
      <c r="M3024" s="2">
        <f t="shared" si="2327"/>
        <v>3000</v>
      </c>
    </row>
    <row r="3025" spans="1:13" x14ac:dyDescent="0.25">
      <c r="A3025" s="27">
        <v>42668</v>
      </c>
      <c r="B3025" s="29" t="s">
        <v>14</v>
      </c>
      <c r="C3025" s="22">
        <v>30</v>
      </c>
      <c r="D3025" s="29" t="s">
        <v>10</v>
      </c>
      <c r="E3025" s="32">
        <v>42200</v>
      </c>
      <c r="F3025" s="32">
        <v>42320</v>
      </c>
      <c r="G3025" s="29">
        <v>42440</v>
      </c>
      <c r="H3025" s="18">
        <v>0</v>
      </c>
      <c r="I3025" s="2">
        <f t="shared" si="2325"/>
        <v>3600</v>
      </c>
      <c r="J3025" s="2">
        <f t="shared" si="2330"/>
        <v>3600</v>
      </c>
      <c r="K3025" s="2">
        <v>0</v>
      </c>
      <c r="L3025" s="2">
        <f t="shared" si="2326"/>
        <v>240</v>
      </c>
      <c r="M3025" s="2">
        <f t="shared" si="2327"/>
        <v>7200</v>
      </c>
    </row>
    <row r="3026" spans="1:13" x14ac:dyDescent="0.25">
      <c r="A3026" s="27">
        <v>42668</v>
      </c>
      <c r="B3026" s="29" t="s">
        <v>22</v>
      </c>
      <c r="C3026" s="22">
        <v>5000</v>
      </c>
      <c r="D3026" s="29" t="s">
        <v>10</v>
      </c>
      <c r="E3026" s="32">
        <v>110.8</v>
      </c>
      <c r="F3026" s="32">
        <v>111.4</v>
      </c>
      <c r="G3026" s="29">
        <v>112</v>
      </c>
      <c r="H3026" s="18">
        <v>0</v>
      </c>
      <c r="I3026" s="2">
        <f t="shared" si="2325"/>
        <v>3000.0000000000427</v>
      </c>
      <c r="J3026" s="2">
        <f t="shared" si="2330"/>
        <v>2999.9999999999718</v>
      </c>
      <c r="K3026" s="2">
        <v>0</v>
      </c>
      <c r="L3026" s="2">
        <f t="shared" si="2326"/>
        <v>1.2000000000000028</v>
      </c>
      <c r="M3026" s="2">
        <f t="shared" si="2327"/>
        <v>6000.0000000000146</v>
      </c>
    </row>
    <row r="3027" spans="1:13" x14ac:dyDescent="0.25">
      <c r="A3027" s="27">
        <v>42668</v>
      </c>
      <c r="B3027" s="29" t="s">
        <v>16</v>
      </c>
      <c r="C3027" s="22">
        <v>100</v>
      </c>
      <c r="D3027" s="29" t="s">
        <v>10</v>
      </c>
      <c r="E3027" s="32">
        <v>3395</v>
      </c>
      <c r="F3027" s="32">
        <v>3410</v>
      </c>
      <c r="G3027" s="29">
        <v>0</v>
      </c>
      <c r="H3027" s="18">
        <v>0</v>
      </c>
      <c r="I3027" s="2">
        <f t="shared" si="2325"/>
        <v>1500</v>
      </c>
      <c r="J3027" s="2">
        <v>0</v>
      </c>
      <c r="K3027" s="2">
        <f>(IF(D3027="SELL",IF(H3027="",0,G3027-H3027),IF(D3027="BUY",IF(H3027="",0,(H3027-G3027)))))*C3027</f>
        <v>0</v>
      </c>
      <c r="L3027" s="2">
        <f t="shared" si="2326"/>
        <v>15</v>
      </c>
      <c r="M3027" s="2">
        <f t="shared" si="2327"/>
        <v>1500</v>
      </c>
    </row>
    <row r="3028" spans="1:13" x14ac:dyDescent="0.25">
      <c r="A3028" s="27">
        <v>42668</v>
      </c>
      <c r="B3028" s="29" t="s">
        <v>20</v>
      </c>
      <c r="C3028" s="22">
        <v>1250</v>
      </c>
      <c r="D3028" s="29" t="s">
        <v>11</v>
      </c>
      <c r="E3028" s="32">
        <v>188.5</v>
      </c>
      <c r="F3028" s="32">
        <v>190.5</v>
      </c>
      <c r="G3028" s="29">
        <v>0</v>
      </c>
      <c r="H3028" s="18">
        <v>0</v>
      </c>
      <c r="I3028" s="2">
        <f t="shared" si="2325"/>
        <v>-2500</v>
      </c>
      <c r="J3028" s="2">
        <v>0</v>
      </c>
      <c r="K3028" s="2">
        <f>(IF(D3028="SELL",IF(H3028="",0,G3028-H3028),IF(D3028="BUY",IF(H3028="",0,(H3028-G3028)))))*C3028</f>
        <v>0</v>
      </c>
      <c r="L3028" s="2">
        <f t="shared" si="2326"/>
        <v>-2</v>
      </c>
      <c r="M3028" s="2">
        <f t="shared" si="2327"/>
        <v>-2500</v>
      </c>
    </row>
    <row r="3029" spans="1:13" x14ac:dyDescent="0.25">
      <c r="A3029" s="27">
        <v>42667</v>
      </c>
      <c r="B3029" s="29" t="s">
        <v>16</v>
      </c>
      <c r="C3029" s="22">
        <v>100</v>
      </c>
      <c r="D3029" s="29" t="s">
        <v>10</v>
      </c>
      <c r="E3029" s="32">
        <v>3395</v>
      </c>
      <c r="F3029" s="32">
        <v>3410</v>
      </c>
      <c r="G3029" s="29">
        <v>0</v>
      </c>
      <c r="H3029" s="18">
        <v>0</v>
      </c>
      <c r="I3029" s="2">
        <f t="shared" si="2325"/>
        <v>1500</v>
      </c>
      <c r="J3029" s="2">
        <v>0</v>
      </c>
      <c r="K3029" s="2">
        <f>(IF(D3029="SELL",IF(H3029="",0,G3029-H3029),IF(D3029="BUY",IF(H3029="",0,(H3029-G3029)))))*C3029</f>
        <v>0</v>
      </c>
      <c r="L3029" s="2">
        <f t="shared" si="2326"/>
        <v>15</v>
      </c>
      <c r="M3029" s="2">
        <f t="shared" si="2327"/>
        <v>1500</v>
      </c>
    </row>
    <row r="3030" spans="1:13" x14ac:dyDescent="0.25">
      <c r="A3030" s="27">
        <v>42667</v>
      </c>
      <c r="B3030" s="29" t="s">
        <v>17</v>
      </c>
      <c r="C3030" s="22">
        <v>5000</v>
      </c>
      <c r="D3030" s="29" t="s">
        <v>11</v>
      </c>
      <c r="E3030" s="32">
        <v>150.80000000000001</v>
      </c>
      <c r="F3030" s="32">
        <v>151.6</v>
      </c>
      <c r="G3030" s="29">
        <v>0</v>
      </c>
      <c r="H3030" s="18">
        <v>0</v>
      </c>
      <c r="I3030" s="2">
        <f t="shared" si="2325"/>
        <v>-3999.9999999999145</v>
      </c>
      <c r="J3030" s="2">
        <v>0</v>
      </c>
      <c r="K3030" s="2">
        <f>(IF(D3030="SELL",IF(H3030="",0,G3030-H3030),IF(D3030="BUY",IF(H3030="",0,(H3030-G3030)))))*C3030</f>
        <v>0</v>
      </c>
      <c r="L3030" s="2">
        <f t="shared" si="2326"/>
        <v>-0.79999999999998295</v>
      </c>
      <c r="M3030" s="2">
        <f t="shared" si="2327"/>
        <v>-3999.9999999999145</v>
      </c>
    </row>
    <row r="3031" spans="1:13" x14ac:dyDescent="0.25">
      <c r="A3031" s="27">
        <v>42667</v>
      </c>
      <c r="B3031" s="29" t="s">
        <v>14</v>
      </c>
      <c r="C3031" s="22">
        <v>30</v>
      </c>
      <c r="D3031" s="29" t="s">
        <v>11</v>
      </c>
      <c r="E3031" s="32">
        <v>42150</v>
      </c>
      <c r="F3031" s="32">
        <v>42350</v>
      </c>
      <c r="G3031" s="29">
        <v>0</v>
      </c>
      <c r="H3031" s="18">
        <v>0</v>
      </c>
      <c r="I3031" s="2">
        <f t="shared" si="2325"/>
        <v>-6000</v>
      </c>
      <c r="J3031" s="2">
        <f>(IF(D3031="SELL",IF(G3031="",0,F3031-G3031),IF(D3031="BUY",IF(G3031="",0,G3031-F3031))))*C3031</f>
        <v>1270500</v>
      </c>
      <c r="K3031" s="2">
        <f>(IF(D3031="SELL",IF(H3031="",0,G3031-H3031),IF(D3031="BUY",IF(H3031="",0,(H3031-G3031)))))*C3031</f>
        <v>0</v>
      </c>
      <c r="L3031" s="2">
        <f t="shared" si="2326"/>
        <v>42150</v>
      </c>
      <c r="M3031" s="2">
        <f t="shared" si="2327"/>
        <v>1264500</v>
      </c>
    </row>
    <row r="3032" spans="1:13" x14ac:dyDescent="0.25">
      <c r="A3032" s="27">
        <v>42664</v>
      </c>
      <c r="B3032" s="29" t="s">
        <v>17</v>
      </c>
      <c r="C3032" s="22">
        <v>5000</v>
      </c>
      <c r="D3032" s="29" t="s">
        <v>11</v>
      </c>
      <c r="E3032" s="32">
        <v>152.30000000000001</v>
      </c>
      <c r="F3032" s="32">
        <v>151.69999999999999</v>
      </c>
      <c r="G3032" s="29">
        <v>151.1</v>
      </c>
      <c r="H3032" s="18">
        <v>0</v>
      </c>
      <c r="I3032" s="2">
        <f t="shared" si="2325"/>
        <v>3000.0000000001137</v>
      </c>
      <c r="J3032" s="2">
        <f>(IF(D3032="SELL",IF(G3032="",0,F3032-G3032),IF(D3032="BUY",IF(G3032="",0,G3032-F3032))))*C3032</f>
        <v>2999.9999999999718</v>
      </c>
      <c r="K3032" s="2">
        <v>0</v>
      </c>
      <c r="L3032" s="2">
        <f t="shared" si="2326"/>
        <v>1.2000000000000171</v>
      </c>
      <c r="M3032" s="2">
        <f t="shared" si="2327"/>
        <v>6000.0000000000855</v>
      </c>
    </row>
    <row r="3033" spans="1:13" x14ac:dyDescent="0.25">
      <c r="A3033" s="27">
        <v>42664</v>
      </c>
      <c r="B3033" s="29" t="s">
        <v>14</v>
      </c>
      <c r="C3033" s="22">
        <v>30</v>
      </c>
      <c r="D3033" s="29" t="s">
        <v>10</v>
      </c>
      <c r="E3033" s="32">
        <v>41850</v>
      </c>
      <c r="F3033" s="32">
        <v>41970</v>
      </c>
      <c r="G3033" s="29">
        <v>0</v>
      </c>
      <c r="H3033" s="18">
        <v>0</v>
      </c>
      <c r="I3033" s="2">
        <f t="shared" si="2325"/>
        <v>3600</v>
      </c>
      <c r="J3033" s="2">
        <v>0</v>
      </c>
      <c r="K3033" s="2">
        <v>0</v>
      </c>
      <c r="L3033" s="2">
        <f t="shared" si="2326"/>
        <v>120</v>
      </c>
      <c r="M3033" s="2">
        <f t="shared" si="2327"/>
        <v>3600</v>
      </c>
    </row>
    <row r="3034" spans="1:13" x14ac:dyDescent="0.25">
      <c r="A3034" s="27">
        <v>42664</v>
      </c>
      <c r="B3034" s="29" t="s">
        <v>16</v>
      </c>
      <c r="C3034" s="22">
        <v>100</v>
      </c>
      <c r="D3034" s="29" t="s">
        <v>10</v>
      </c>
      <c r="E3034" s="32">
        <v>3390</v>
      </c>
      <c r="F3034" s="32">
        <v>3405</v>
      </c>
      <c r="G3034" s="29">
        <v>3420</v>
      </c>
      <c r="H3034" s="18">
        <v>0</v>
      </c>
      <c r="I3034" s="2">
        <f t="shared" si="2325"/>
        <v>1500</v>
      </c>
      <c r="J3034" s="2">
        <f t="shared" ref="J3034:J3039" si="2331">(IF(D3034="SELL",IF(G3034="",0,F3034-G3034),IF(D3034="BUY",IF(G3034="",0,G3034-F3034))))*C3034</f>
        <v>1500</v>
      </c>
      <c r="K3034" s="2">
        <v>0</v>
      </c>
      <c r="L3034" s="2">
        <f t="shared" si="2326"/>
        <v>30</v>
      </c>
      <c r="M3034" s="2">
        <f t="shared" si="2327"/>
        <v>3000</v>
      </c>
    </row>
    <row r="3035" spans="1:13" x14ac:dyDescent="0.25">
      <c r="A3035" s="27">
        <v>42663</v>
      </c>
      <c r="B3035" s="29" t="s">
        <v>14</v>
      </c>
      <c r="C3035" s="22">
        <v>30</v>
      </c>
      <c r="D3035" s="29" t="s">
        <v>11</v>
      </c>
      <c r="E3035" s="32">
        <v>42300</v>
      </c>
      <c r="F3035" s="32">
        <v>42180</v>
      </c>
      <c r="G3035" s="29">
        <v>42060</v>
      </c>
      <c r="H3035" s="18">
        <v>0</v>
      </c>
      <c r="I3035" s="2">
        <f t="shared" si="2325"/>
        <v>3600</v>
      </c>
      <c r="J3035" s="2">
        <f t="shared" si="2331"/>
        <v>3600</v>
      </c>
      <c r="K3035" s="2">
        <v>0</v>
      </c>
      <c r="L3035" s="2">
        <f t="shared" si="2326"/>
        <v>240</v>
      </c>
      <c r="M3035" s="2">
        <f t="shared" si="2327"/>
        <v>7200</v>
      </c>
    </row>
    <row r="3036" spans="1:13" x14ac:dyDescent="0.25">
      <c r="A3036" s="27">
        <v>42663</v>
      </c>
      <c r="B3036" s="29" t="s">
        <v>19</v>
      </c>
      <c r="C3036" s="22">
        <v>100</v>
      </c>
      <c r="D3036" s="29" t="s">
        <v>11</v>
      </c>
      <c r="E3036" s="32">
        <v>29990</v>
      </c>
      <c r="F3036" s="32">
        <v>29930</v>
      </c>
      <c r="G3036" s="29">
        <v>0</v>
      </c>
      <c r="H3036" s="18">
        <v>0</v>
      </c>
      <c r="I3036" s="2">
        <f t="shared" si="2325"/>
        <v>6000</v>
      </c>
      <c r="J3036" s="2">
        <f t="shared" si="2331"/>
        <v>2993000</v>
      </c>
      <c r="K3036" s="2">
        <v>0</v>
      </c>
      <c r="L3036" s="2">
        <f t="shared" si="2326"/>
        <v>29990</v>
      </c>
      <c r="M3036" s="2">
        <f t="shared" si="2327"/>
        <v>2999000</v>
      </c>
    </row>
    <row r="3037" spans="1:13" x14ac:dyDescent="0.25">
      <c r="A3037" s="27">
        <v>42663</v>
      </c>
      <c r="B3037" s="29" t="s">
        <v>17</v>
      </c>
      <c r="C3037" s="22">
        <v>5000</v>
      </c>
      <c r="D3037" s="29" t="s">
        <v>11</v>
      </c>
      <c r="E3037" s="32">
        <v>153.6</v>
      </c>
      <c r="F3037" s="32">
        <v>153</v>
      </c>
      <c r="G3037" s="29">
        <v>152.4</v>
      </c>
      <c r="H3037" s="18">
        <v>0</v>
      </c>
      <c r="I3037" s="2">
        <f t="shared" si="2325"/>
        <v>2999.9999999999718</v>
      </c>
      <c r="J3037" s="2">
        <f t="shared" si="2331"/>
        <v>2999.9999999999718</v>
      </c>
      <c r="K3037" s="2">
        <v>0</v>
      </c>
      <c r="L3037" s="2">
        <f t="shared" si="2326"/>
        <v>1.1999999999999886</v>
      </c>
      <c r="M3037" s="2">
        <f t="shared" si="2327"/>
        <v>5999.9999999999436</v>
      </c>
    </row>
    <row r="3038" spans="1:13" x14ac:dyDescent="0.25">
      <c r="A3038" s="27">
        <v>42663</v>
      </c>
      <c r="B3038" s="29" t="s">
        <v>20</v>
      </c>
      <c r="C3038" s="22">
        <v>1250</v>
      </c>
      <c r="D3038" s="29" t="s">
        <v>11</v>
      </c>
      <c r="E3038" s="32">
        <v>213.5</v>
      </c>
      <c r="F3038" s="32">
        <v>212</v>
      </c>
      <c r="G3038" s="29">
        <v>210.5</v>
      </c>
      <c r="H3038" s="18">
        <v>0</v>
      </c>
      <c r="I3038" s="2">
        <f t="shared" si="2325"/>
        <v>1875</v>
      </c>
      <c r="J3038" s="2">
        <f t="shared" si="2331"/>
        <v>1875</v>
      </c>
      <c r="K3038" s="2">
        <v>0</v>
      </c>
      <c r="L3038" s="2">
        <f t="shared" si="2326"/>
        <v>3</v>
      </c>
      <c r="M3038" s="2">
        <f t="shared" si="2327"/>
        <v>3750</v>
      </c>
    </row>
    <row r="3039" spans="1:13" x14ac:dyDescent="0.25">
      <c r="A3039" s="27">
        <v>42663</v>
      </c>
      <c r="B3039" s="29" t="s">
        <v>21</v>
      </c>
      <c r="C3039" s="22">
        <v>250</v>
      </c>
      <c r="D3039" s="29" t="s">
        <v>11</v>
      </c>
      <c r="E3039" s="32">
        <v>687</v>
      </c>
      <c r="F3039" s="32">
        <v>680</v>
      </c>
      <c r="G3039" s="29">
        <v>0</v>
      </c>
      <c r="H3039" s="18">
        <v>0</v>
      </c>
      <c r="I3039" s="2">
        <f t="shared" ref="I3039:I3044" si="2332">(IF(D3039="SELL",E3039-F3039,IF(D3039="BUY",F3039-E3039)))*C3039</f>
        <v>1750</v>
      </c>
      <c r="J3039" s="2">
        <f t="shared" si="2331"/>
        <v>170000</v>
      </c>
      <c r="K3039" s="2">
        <v>0</v>
      </c>
      <c r="L3039" s="2">
        <f t="shared" si="2326"/>
        <v>687</v>
      </c>
      <c r="M3039" s="2">
        <f t="shared" si="2327"/>
        <v>171750</v>
      </c>
    </row>
    <row r="3040" spans="1:13" x14ac:dyDescent="0.25">
      <c r="A3040" s="27">
        <v>42662</v>
      </c>
      <c r="B3040" s="29" t="s">
        <v>19</v>
      </c>
      <c r="C3040" s="22">
        <v>100</v>
      </c>
      <c r="D3040" s="29" t="s">
        <v>10</v>
      </c>
      <c r="E3040" s="32">
        <v>29750</v>
      </c>
      <c r="F3040" s="32">
        <v>29820</v>
      </c>
      <c r="G3040" s="29">
        <v>0</v>
      </c>
      <c r="H3040" s="18">
        <v>0</v>
      </c>
      <c r="I3040" s="2">
        <f t="shared" si="2332"/>
        <v>7000</v>
      </c>
      <c r="J3040" s="2">
        <v>0</v>
      </c>
      <c r="K3040" s="2">
        <v>0</v>
      </c>
      <c r="L3040" s="2">
        <f t="shared" si="2326"/>
        <v>70</v>
      </c>
      <c r="M3040" s="2">
        <f t="shared" si="2327"/>
        <v>7000</v>
      </c>
    </row>
    <row r="3041" spans="1:13" x14ac:dyDescent="0.25">
      <c r="A3041" s="27">
        <v>42662</v>
      </c>
      <c r="B3041" s="29" t="s">
        <v>14</v>
      </c>
      <c r="C3041" s="22">
        <v>30</v>
      </c>
      <c r="D3041" s="29" t="s">
        <v>10</v>
      </c>
      <c r="E3041" s="32">
        <v>42150</v>
      </c>
      <c r="F3041" s="32">
        <v>42270</v>
      </c>
      <c r="G3041" s="29">
        <v>42390</v>
      </c>
      <c r="H3041" s="18">
        <v>0</v>
      </c>
      <c r="I3041" s="2">
        <f t="shared" si="2332"/>
        <v>3600</v>
      </c>
      <c r="J3041" s="2">
        <f>(IF(D3041="SELL",IF(G3041="",0,F3041-G3041),IF(D3041="BUY",IF(G3041="",0,G3041-F3041))))*C3041</f>
        <v>3600</v>
      </c>
      <c r="K3041" s="2">
        <v>0</v>
      </c>
      <c r="L3041" s="2">
        <f t="shared" si="2326"/>
        <v>240</v>
      </c>
      <c r="M3041" s="2">
        <f t="shared" si="2327"/>
        <v>7200</v>
      </c>
    </row>
    <row r="3042" spans="1:13" x14ac:dyDescent="0.25">
      <c r="A3042" s="27">
        <v>42662</v>
      </c>
      <c r="B3042" s="29" t="s">
        <v>22</v>
      </c>
      <c r="C3042" s="22">
        <v>5000</v>
      </c>
      <c r="D3042" s="29" t="s">
        <v>10</v>
      </c>
      <c r="E3042" s="32">
        <v>109</v>
      </c>
      <c r="F3042" s="32">
        <v>108.4</v>
      </c>
      <c r="G3042" s="29">
        <v>107.8</v>
      </c>
      <c r="H3042" s="18">
        <v>0</v>
      </c>
      <c r="I3042" s="2">
        <f t="shared" si="2332"/>
        <v>-2999.9999999999718</v>
      </c>
      <c r="J3042" s="2">
        <v>0</v>
      </c>
      <c r="K3042" s="2">
        <v>0</v>
      </c>
      <c r="L3042" s="2">
        <f t="shared" si="2326"/>
        <v>-0.59999999999999432</v>
      </c>
      <c r="M3042" s="2">
        <f t="shared" si="2327"/>
        <v>-2999.9999999999718</v>
      </c>
    </row>
    <row r="3043" spans="1:13" x14ac:dyDescent="0.25">
      <c r="A3043" s="27">
        <v>42662</v>
      </c>
      <c r="B3043" s="29" t="s">
        <v>16</v>
      </c>
      <c r="C3043" s="22">
        <v>100</v>
      </c>
      <c r="D3043" s="29" t="s">
        <v>10</v>
      </c>
      <c r="E3043" s="32">
        <v>3425</v>
      </c>
      <c r="F3043" s="32">
        <v>3440</v>
      </c>
      <c r="G3043" s="29">
        <v>3455</v>
      </c>
      <c r="H3043" s="18">
        <v>0</v>
      </c>
      <c r="I3043" s="2">
        <f t="shared" si="2332"/>
        <v>1500</v>
      </c>
      <c r="J3043" s="2">
        <f>(IF(D3043="SELL",IF(G3043="",0,F3043-G3043),IF(D3043="BUY",IF(G3043="",0,G3043-F3043))))*C3043</f>
        <v>1500</v>
      </c>
      <c r="K3043" s="2">
        <v>0</v>
      </c>
      <c r="L3043" s="2">
        <f t="shared" si="2326"/>
        <v>30</v>
      </c>
      <c r="M3043" s="2">
        <f t="shared" si="2327"/>
        <v>3000</v>
      </c>
    </row>
    <row r="3044" spans="1:13" x14ac:dyDescent="0.25">
      <c r="A3044" s="27">
        <v>42662</v>
      </c>
      <c r="B3044" s="29" t="s">
        <v>17</v>
      </c>
      <c r="C3044" s="22">
        <v>5000</v>
      </c>
      <c r="D3044" s="29" t="s">
        <v>10</v>
      </c>
      <c r="E3044" s="32">
        <v>152.4</v>
      </c>
      <c r="F3044" s="32">
        <v>151.6</v>
      </c>
      <c r="G3044" s="29">
        <v>0</v>
      </c>
      <c r="H3044" s="18">
        <v>0</v>
      </c>
      <c r="I3044" s="2">
        <f t="shared" si="2332"/>
        <v>-4000.0000000000568</v>
      </c>
      <c r="J3044" s="8">
        <f>(IF(D3044="SELL",IF(G3044="",0,F3044-G3044),IF(D3044="BUY",IF(G3044="",0,G3044-F3044))))*C3044</f>
        <v>-758000</v>
      </c>
      <c r="K3044" s="2">
        <v>0</v>
      </c>
      <c r="L3044" s="2">
        <f t="shared" si="2326"/>
        <v>-152.4</v>
      </c>
      <c r="M3044" s="2">
        <f t="shared" si="2327"/>
        <v>-762000</v>
      </c>
    </row>
  </sheetData>
  <mergeCells count="20">
    <mergeCell ref="A1:C5"/>
    <mergeCell ref="D1:K3"/>
    <mergeCell ref="D4:K4"/>
    <mergeCell ref="A6:C10"/>
    <mergeCell ref="D6:M8"/>
    <mergeCell ref="D9:M9"/>
    <mergeCell ref="D10:M10"/>
    <mergeCell ref="A11:A13"/>
    <mergeCell ref="B11:B13"/>
    <mergeCell ref="C11:C13"/>
    <mergeCell ref="D11:D13"/>
    <mergeCell ref="E11:E13"/>
    <mergeCell ref="F11:F13"/>
    <mergeCell ref="M11:M13"/>
    <mergeCell ref="G11:G13"/>
    <mergeCell ref="H11:H13"/>
    <mergeCell ref="I11:I13"/>
    <mergeCell ref="J11:J13"/>
    <mergeCell ref="K11:K13"/>
    <mergeCell ref="L11:L13"/>
  </mergeCells>
  <pageMargins left="0.7" right="0.7" top="0.75" bottom="0.75" header="0.3" footer="0.3"/>
  <pageSetup orientation="portrait" r:id="rId1"/>
  <ignoredErrors>
    <ignoredError sqref="J1403 J1393 J880:K88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868"/>
  <sheetViews>
    <sheetView topLeftCell="A5" workbookViewId="0">
      <pane xSplit="1" ySplit="9" topLeftCell="B19" activePane="bottomRight" state="frozen"/>
      <selection activeCell="A5" sqref="A5"/>
      <selection pane="topRight" activeCell="B5" sqref="B5"/>
      <selection pane="bottomLeft" activeCell="A9" sqref="A9"/>
      <selection pane="bottomRight" activeCell="A20" sqref="A20:XFD20"/>
    </sheetView>
  </sheetViews>
  <sheetFormatPr defaultRowHeight="15" x14ac:dyDescent="0.25"/>
  <cols>
    <col min="1" max="1" width="18.140625" customWidth="1"/>
    <col min="2" max="2" width="17.5703125" customWidth="1"/>
    <col min="3" max="3" width="15.140625" customWidth="1"/>
    <col min="4" max="5" width="14.42578125" customWidth="1"/>
    <col min="6" max="6" width="12.85546875" customWidth="1"/>
    <col min="7" max="7" width="14.28515625" customWidth="1"/>
    <col min="8" max="8" width="18.42578125" customWidth="1"/>
    <col min="9" max="9" width="13.140625" customWidth="1"/>
    <col min="10" max="10" width="14.140625" customWidth="1"/>
    <col min="11" max="11" width="12.140625" bestFit="1" customWidth="1"/>
  </cols>
  <sheetData>
    <row r="1" spans="1:11" ht="15" customHeight="1" x14ac:dyDescent="0.25">
      <c r="A1" s="67"/>
      <c r="B1" s="68"/>
      <c r="C1" s="69"/>
      <c r="D1" s="73" t="s">
        <v>28</v>
      </c>
      <c r="E1" s="74"/>
      <c r="F1" s="74"/>
      <c r="G1" s="74"/>
      <c r="H1" s="74"/>
      <c r="I1" s="74"/>
    </row>
    <row r="2" spans="1:11" ht="15" customHeight="1" x14ac:dyDescent="0.25">
      <c r="A2" s="70"/>
      <c r="B2" s="71"/>
      <c r="C2" s="72"/>
      <c r="D2" s="73"/>
      <c r="E2" s="74"/>
      <c r="F2" s="74"/>
      <c r="G2" s="74"/>
      <c r="H2" s="74"/>
      <c r="I2" s="74"/>
    </row>
    <row r="3" spans="1:11" ht="15" customHeight="1" x14ac:dyDescent="0.25">
      <c r="A3" s="70"/>
      <c r="B3" s="71"/>
      <c r="C3" s="72"/>
      <c r="D3" s="73"/>
      <c r="E3" s="74"/>
      <c r="F3" s="74"/>
      <c r="G3" s="74"/>
      <c r="H3" s="74"/>
      <c r="I3" s="74"/>
    </row>
    <row r="4" spans="1:11" ht="15.75" x14ac:dyDescent="0.25">
      <c r="A4" s="70"/>
      <c r="B4" s="71"/>
      <c r="C4" s="72"/>
      <c r="D4" s="75" t="s">
        <v>60</v>
      </c>
      <c r="E4" s="76"/>
      <c r="F4" s="76"/>
      <c r="G4" s="76"/>
      <c r="H4" s="76"/>
      <c r="I4" s="76"/>
    </row>
    <row r="5" spans="1:11" ht="15" customHeight="1" x14ac:dyDescent="0.25">
      <c r="A5" s="70"/>
      <c r="B5" s="71"/>
      <c r="C5" s="72"/>
      <c r="K5" s="14"/>
    </row>
    <row r="6" spans="1:11" x14ac:dyDescent="0.25">
      <c r="A6" s="77"/>
      <c r="B6" s="78"/>
      <c r="C6" s="79"/>
      <c r="D6" s="85" t="s">
        <v>28</v>
      </c>
      <c r="E6" s="85"/>
      <c r="F6" s="85"/>
      <c r="G6" s="85"/>
      <c r="H6" s="85"/>
      <c r="I6" s="85"/>
      <c r="J6" s="85"/>
      <c r="K6" s="86"/>
    </row>
    <row r="7" spans="1:11" x14ac:dyDescent="0.25">
      <c r="A7" s="80"/>
      <c r="B7" s="71"/>
      <c r="C7" s="81"/>
      <c r="D7" s="74"/>
      <c r="E7" s="74"/>
      <c r="F7" s="74"/>
      <c r="G7" s="74"/>
      <c r="H7" s="74"/>
      <c r="I7" s="74"/>
      <c r="J7" s="74"/>
      <c r="K7" s="87"/>
    </row>
    <row r="8" spans="1:11" x14ac:dyDescent="0.25">
      <c r="A8" s="80"/>
      <c r="B8" s="71"/>
      <c r="C8" s="81"/>
      <c r="D8" s="88"/>
      <c r="E8" s="88"/>
      <c r="F8" s="88"/>
      <c r="G8" s="88"/>
      <c r="H8" s="88"/>
      <c r="I8" s="88"/>
      <c r="J8" s="88"/>
      <c r="K8" s="89"/>
    </row>
    <row r="9" spans="1:11" ht="15.75" x14ac:dyDescent="0.25">
      <c r="A9" s="80"/>
      <c r="B9" s="71"/>
      <c r="C9" s="81"/>
      <c r="D9" s="90" t="s">
        <v>24</v>
      </c>
      <c r="E9" s="91"/>
      <c r="F9" s="91"/>
      <c r="G9" s="91"/>
      <c r="H9" s="91"/>
      <c r="I9" s="91"/>
      <c r="J9" s="91"/>
      <c r="K9" s="92"/>
    </row>
    <row r="10" spans="1:11" ht="16.5" thickBot="1" x14ac:dyDescent="0.3">
      <c r="A10" s="82"/>
      <c r="B10" s="83"/>
      <c r="C10" s="84"/>
      <c r="D10" s="90" t="s">
        <v>61</v>
      </c>
      <c r="E10" s="91"/>
      <c r="F10" s="91"/>
      <c r="G10" s="91"/>
      <c r="H10" s="91"/>
      <c r="I10" s="91"/>
      <c r="J10" s="91"/>
      <c r="K10" s="92"/>
    </row>
    <row r="11" spans="1:11" ht="15" customHeight="1" x14ac:dyDescent="0.25">
      <c r="A11" s="64" t="s">
        <v>0</v>
      </c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 t="s">
        <v>6</v>
      </c>
      <c r="H11" s="63" t="s">
        <v>25</v>
      </c>
      <c r="I11" s="63" t="s">
        <v>7</v>
      </c>
      <c r="J11" s="60" t="s">
        <v>8</v>
      </c>
      <c r="K11" s="60" t="s">
        <v>9</v>
      </c>
    </row>
    <row r="12" spans="1:11" ht="15" customHeight="1" x14ac:dyDescent="0.25">
      <c r="A12" s="65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5" customHeight="1" x14ac:dyDescent="0.25">
      <c r="A13" s="66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5.75" customHeight="1" x14ac:dyDescent="0.25">
      <c r="A14" s="10"/>
      <c r="B14" s="11"/>
      <c r="C14" s="11"/>
      <c r="D14" s="11"/>
      <c r="E14" s="11"/>
      <c r="F14" s="11"/>
      <c r="G14" s="11"/>
      <c r="H14" s="12"/>
      <c r="I14" s="12"/>
      <c r="J14" s="12"/>
      <c r="K14" s="12"/>
    </row>
    <row r="15" spans="1:11" ht="15.75" customHeight="1" x14ac:dyDescent="0.25">
      <c r="A15" s="10"/>
      <c r="B15" s="11"/>
      <c r="C15" s="11"/>
      <c r="D15" s="11"/>
      <c r="E15" s="11"/>
      <c r="F15" s="11"/>
      <c r="G15" s="11"/>
      <c r="H15" s="12"/>
      <c r="I15" s="12"/>
      <c r="J15" s="12"/>
      <c r="K15" s="12"/>
    </row>
    <row r="16" spans="1:11" ht="15.75" customHeight="1" x14ac:dyDescent="0.25">
      <c r="A16" s="10"/>
      <c r="B16" s="11"/>
      <c r="C16" s="11"/>
      <c r="D16" s="11"/>
      <c r="E16" s="11"/>
      <c r="F16" s="11"/>
      <c r="G16" s="11"/>
      <c r="H16" s="12"/>
      <c r="I16" s="12"/>
      <c r="J16" s="12"/>
      <c r="K16" s="12"/>
    </row>
    <row r="17" spans="1:11" ht="15.75" customHeight="1" x14ac:dyDescent="0.25">
      <c r="A17" s="10"/>
      <c r="B17" s="11"/>
      <c r="C17" s="11"/>
      <c r="D17" s="11"/>
      <c r="E17" s="11"/>
      <c r="F17" s="11"/>
      <c r="G17" s="11"/>
      <c r="H17" s="12"/>
      <c r="I17" s="12"/>
      <c r="J17" s="12"/>
      <c r="K17" s="12"/>
    </row>
    <row r="18" spans="1:11" ht="15.75" customHeight="1" x14ac:dyDescent="0.25">
      <c r="A18" s="10"/>
      <c r="B18" s="11"/>
      <c r="C18" s="11"/>
      <c r="D18" s="11"/>
      <c r="E18" s="11"/>
      <c r="F18" s="11"/>
      <c r="G18" s="11"/>
      <c r="H18" s="12"/>
      <c r="I18" s="12"/>
      <c r="J18" s="12"/>
      <c r="K18" s="12"/>
    </row>
    <row r="19" spans="1:11" ht="15.75" customHeight="1" x14ac:dyDescent="0.25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</row>
    <row r="20" spans="1:11" ht="15.75" customHeight="1" x14ac:dyDescent="0.25">
      <c r="A20" s="45">
        <v>44131</v>
      </c>
      <c r="B20" s="42" t="s">
        <v>17</v>
      </c>
      <c r="C20" s="11">
        <v>5000</v>
      </c>
      <c r="D20" s="11" t="s">
        <v>10</v>
      </c>
      <c r="E20" s="46">
        <v>201.7</v>
      </c>
      <c r="F20" s="46">
        <v>201.7</v>
      </c>
      <c r="G20" s="46">
        <v>0</v>
      </c>
      <c r="H20" s="44">
        <v>0</v>
      </c>
      <c r="I20" s="44">
        <v>0</v>
      </c>
      <c r="J20" s="44">
        <v>0</v>
      </c>
      <c r="K20" s="44">
        <f t="shared" ref="K20" si="0">J20*C20</f>
        <v>0</v>
      </c>
    </row>
    <row r="21" spans="1:11" ht="15.75" customHeight="1" x14ac:dyDescent="0.25">
      <c r="A21" s="45">
        <v>44131</v>
      </c>
      <c r="B21" s="42" t="s">
        <v>14</v>
      </c>
      <c r="C21" s="11">
        <v>30</v>
      </c>
      <c r="D21" s="11" t="s">
        <v>11</v>
      </c>
      <c r="E21" s="46">
        <v>62300</v>
      </c>
      <c r="F21" s="46">
        <v>62150</v>
      </c>
      <c r="G21" s="46">
        <v>61900</v>
      </c>
      <c r="H21" s="44">
        <f>C21*150</f>
        <v>4500</v>
      </c>
      <c r="I21" s="44">
        <f>C21*250</f>
        <v>7500</v>
      </c>
      <c r="J21" s="44">
        <v>400</v>
      </c>
      <c r="K21" s="44">
        <f t="shared" ref="K21" si="1">J21*C21</f>
        <v>12000</v>
      </c>
    </row>
    <row r="22" spans="1:11" ht="15.75" customHeight="1" x14ac:dyDescent="0.25">
      <c r="A22" s="45">
        <v>44131</v>
      </c>
      <c r="B22" s="42" t="s">
        <v>19</v>
      </c>
      <c r="C22" s="11">
        <v>100</v>
      </c>
      <c r="D22" s="11" t="s">
        <v>11</v>
      </c>
      <c r="E22" s="46">
        <v>50810</v>
      </c>
      <c r="F22" s="46">
        <v>50760</v>
      </c>
      <c r="G22" s="46">
        <v>0</v>
      </c>
      <c r="H22" s="44">
        <f>C22*50</f>
        <v>5000</v>
      </c>
      <c r="I22" s="44">
        <v>0</v>
      </c>
      <c r="J22" s="44">
        <v>50</v>
      </c>
      <c r="K22" s="44">
        <f t="shared" ref="K22" si="2">J22*C22</f>
        <v>5000</v>
      </c>
    </row>
    <row r="23" spans="1:11" ht="15.75" customHeight="1" x14ac:dyDescent="0.25">
      <c r="A23" s="45">
        <v>44130</v>
      </c>
      <c r="B23" s="42" t="s">
        <v>19</v>
      </c>
      <c r="C23" s="11">
        <v>100</v>
      </c>
      <c r="D23" s="11" t="s">
        <v>11</v>
      </c>
      <c r="E23" s="46">
        <v>50920</v>
      </c>
      <c r="F23" s="46">
        <v>50870</v>
      </c>
      <c r="G23" s="46">
        <v>0</v>
      </c>
      <c r="H23" s="44">
        <f>C23*50</f>
        <v>5000</v>
      </c>
      <c r="I23" s="44">
        <v>0</v>
      </c>
      <c r="J23" s="44">
        <v>50</v>
      </c>
      <c r="K23" s="44">
        <f t="shared" ref="K23" si="3">J23*C23</f>
        <v>5000</v>
      </c>
    </row>
    <row r="24" spans="1:11" ht="15.75" customHeight="1" x14ac:dyDescent="0.25">
      <c r="A24" s="45">
        <v>44130</v>
      </c>
      <c r="B24" s="42" t="s">
        <v>18</v>
      </c>
      <c r="C24" s="11">
        <v>2500</v>
      </c>
      <c r="D24" s="11" t="s">
        <v>11</v>
      </c>
      <c r="E24" s="46">
        <v>530</v>
      </c>
      <c r="F24" s="46">
        <v>529</v>
      </c>
      <c r="G24" s="46">
        <v>0</v>
      </c>
      <c r="H24" s="44">
        <f>C24*1</f>
        <v>2500</v>
      </c>
      <c r="I24" s="44">
        <v>0</v>
      </c>
      <c r="J24" s="44">
        <v>1</v>
      </c>
      <c r="K24" s="44">
        <f t="shared" ref="K24" si="4">J24*C24</f>
        <v>2500</v>
      </c>
    </row>
    <row r="25" spans="1:11" ht="15.75" customHeight="1" x14ac:dyDescent="0.25">
      <c r="A25" s="45">
        <v>44130</v>
      </c>
      <c r="B25" s="42" t="s">
        <v>21</v>
      </c>
      <c r="C25" s="11">
        <v>1500</v>
      </c>
      <c r="D25" s="11" t="s">
        <v>11</v>
      </c>
      <c r="E25" s="46">
        <v>1152</v>
      </c>
      <c r="F25" s="46">
        <v>1149</v>
      </c>
      <c r="G25" s="46">
        <v>0</v>
      </c>
      <c r="H25" s="44">
        <f>C25*3</f>
        <v>4500</v>
      </c>
      <c r="I25" s="44">
        <v>0</v>
      </c>
      <c r="J25" s="44">
        <v>3</v>
      </c>
      <c r="K25" s="44">
        <f t="shared" ref="K25" si="5">J25*C25</f>
        <v>4500</v>
      </c>
    </row>
    <row r="26" spans="1:11" ht="15.75" customHeight="1" x14ac:dyDescent="0.25">
      <c r="A26" s="45">
        <v>44130</v>
      </c>
      <c r="B26" s="42" t="s">
        <v>14</v>
      </c>
      <c r="C26" s="11">
        <v>30</v>
      </c>
      <c r="D26" s="11" t="s">
        <v>10</v>
      </c>
      <c r="E26" s="46">
        <v>61750</v>
      </c>
      <c r="F26" s="46">
        <v>61850</v>
      </c>
      <c r="G26" s="46">
        <v>0</v>
      </c>
      <c r="H26" s="44">
        <f>C26*1000</f>
        <v>30000</v>
      </c>
      <c r="I26" s="44">
        <v>0</v>
      </c>
      <c r="J26" s="44">
        <v>30</v>
      </c>
      <c r="K26" s="44">
        <v>3000</v>
      </c>
    </row>
    <row r="27" spans="1:11" ht="15.75" customHeight="1" x14ac:dyDescent="0.25">
      <c r="A27" s="45">
        <v>44130</v>
      </c>
      <c r="B27" s="42" t="s">
        <v>17</v>
      </c>
      <c r="C27" s="11">
        <v>5000</v>
      </c>
      <c r="D27" s="11" t="s">
        <v>11</v>
      </c>
      <c r="E27" s="46">
        <v>200.8</v>
      </c>
      <c r="F27" s="46">
        <v>200.3</v>
      </c>
      <c r="G27" s="46">
        <v>0</v>
      </c>
      <c r="H27" s="44">
        <f>C27*0.5</f>
        <v>2500</v>
      </c>
      <c r="I27" s="44">
        <v>0</v>
      </c>
      <c r="J27" s="44">
        <v>0.5</v>
      </c>
      <c r="K27" s="44">
        <f t="shared" ref="K27" si="6">J27*C27</f>
        <v>2500</v>
      </c>
    </row>
    <row r="28" spans="1:11" ht="15.75" customHeight="1" x14ac:dyDescent="0.25">
      <c r="A28" s="45">
        <v>44130</v>
      </c>
      <c r="B28" s="42" t="s">
        <v>19</v>
      </c>
      <c r="C28" s="11">
        <v>100</v>
      </c>
      <c r="D28" s="11" t="s">
        <v>11</v>
      </c>
      <c r="E28" s="46">
        <v>50600</v>
      </c>
      <c r="F28" s="46">
        <v>50730</v>
      </c>
      <c r="G28" s="46">
        <v>0</v>
      </c>
      <c r="H28" s="44">
        <f>C28*-130</f>
        <v>-13000</v>
      </c>
      <c r="I28" s="44">
        <v>0</v>
      </c>
      <c r="J28" s="44">
        <v>-130</v>
      </c>
      <c r="K28" s="44">
        <f t="shared" ref="K28" si="7">J28*C28</f>
        <v>-13000</v>
      </c>
    </row>
    <row r="29" spans="1:11" ht="15.75" customHeight="1" x14ac:dyDescent="0.25">
      <c r="A29" s="45">
        <v>44127</v>
      </c>
      <c r="B29" s="42" t="s">
        <v>19</v>
      </c>
      <c r="C29" s="11">
        <v>100</v>
      </c>
      <c r="D29" s="11" t="s">
        <v>10</v>
      </c>
      <c r="E29" s="46">
        <v>50850</v>
      </c>
      <c r="F29" s="46">
        <v>50900</v>
      </c>
      <c r="G29" s="46">
        <v>50980</v>
      </c>
      <c r="H29" s="44">
        <f>C29*50</f>
        <v>5000</v>
      </c>
      <c r="I29" s="44">
        <f>C29*80</f>
        <v>8000</v>
      </c>
      <c r="J29" s="44">
        <v>130</v>
      </c>
      <c r="K29" s="44">
        <f t="shared" ref="K29" si="8">J29*C29</f>
        <v>13000</v>
      </c>
    </row>
    <row r="30" spans="1:11" ht="15.75" customHeight="1" x14ac:dyDescent="0.25">
      <c r="A30" s="45">
        <v>44127</v>
      </c>
      <c r="B30" s="42" t="s">
        <v>17</v>
      </c>
      <c r="C30" s="11">
        <v>5000</v>
      </c>
      <c r="D30" s="11" t="s">
        <v>10</v>
      </c>
      <c r="E30" s="46">
        <v>205.1</v>
      </c>
      <c r="F30" s="46">
        <v>205.7</v>
      </c>
      <c r="G30" s="46">
        <v>206.6</v>
      </c>
      <c r="H30" s="44">
        <f>C30*0.6</f>
        <v>3000</v>
      </c>
      <c r="I30" s="44">
        <f>C30*0.9</f>
        <v>4500</v>
      </c>
      <c r="J30" s="44">
        <v>1.5</v>
      </c>
      <c r="K30" s="44">
        <f t="shared" ref="K30" si="9">J30*C30</f>
        <v>7500</v>
      </c>
    </row>
    <row r="31" spans="1:11" ht="15.75" customHeight="1" x14ac:dyDescent="0.25">
      <c r="A31" s="45">
        <v>44127</v>
      </c>
      <c r="B31" s="42" t="s">
        <v>14</v>
      </c>
      <c r="C31" s="11">
        <v>30</v>
      </c>
      <c r="D31" s="11" t="s">
        <v>10</v>
      </c>
      <c r="E31" s="46">
        <v>62960</v>
      </c>
      <c r="F31" s="46">
        <v>62710</v>
      </c>
      <c r="G31" s="46">
        <v>0</v>
      </c>
      <c r="H31" s="44">
        <f>C31*-250</f>
        <v>-7500</v>
      </c>
      <c r="I31" s="44">
        <v>0</v>
      </c>
      <c r="J31" s="44">
        <v>-250</v>
      </c>
      <c r="K31" s="44">
        <f t="shared" ref="K31" si="10">J31*C31</f>
        <v>-7500</v>
      </c>
    </row>
    <row r="32" spans="1:11" ht="15.75" customHeight="1" x14ac:dyDescent="0.25">
      <c r="A32" s="45">
        <v>44126</v>
      </c>
      <c r="B32" s="42" t="s">
        <v>17</v>
      </c>
      <c r="C32" s="11">
        <v>5000</v>
      </c>
      <c r="D32" s="11" t="s">
        <v>11</v>
      </c>
      <c r="E32" s="46">
        <v>202.8</v>
      </c>
      <c r="F32" s="46">
        <v>203.8</v>
      </c>
      <c r="G32" s="46">
        <v>0</v>
      </c>
      <c r="H32" s="44">
        <f>C32*-1</f>
        <v>-5000</v>
      </c>
      <c r="I32" s="44">
        <v>0</v>
      </c>
      <c r="J32" s="44">
        <v>-1</v>
      </c>
      <c r="K32" s="44">
        <f t="shared" ref="K32" si="11">J32*C32</f>
        <v>-5000</v>
      </c>
    </row>
    <row r="33" spans="1:11" ht="15.75" customHeight="1" x14ac:dyDescent="0.25">
      <c r="A33" s="45">
        <v>44126</v>
      </c>
      <c r="B33" s="42" t="s">
        <v>18</v>
      </c>
      <c r="C33" s="11">
        <v>2500</v>
      </c>
      <c r="D33" s="11" t="s">
        <v>10</v>
      </c>
      <c r="E33" s="46">
        <v>538.5</v>
      </c>
      <c r="F33" s="46">
        <v>536</v>
      </c>
      <c r="G33" s="46">
        <v>0</v>
      </c>
      <c r="H33" s="44">
        <f>C33*-2.5</f>
        <v>-6250</v>
      </c>
      <c r="I33" s="44">
        <v>0</v>
      </c>
      <c r="J33" s="44">
        <v>-2.5</v>
      </c>
      <c r="K33" s="44">
        <f t="shared" ref="K33" si="12">J33*C33</f>
        <v>-6250</v>
      </c>
    </row>
    <row r="34" spans="1:11" ht="15.75" customHeight="1" x14ac:dyDescent="0.25">
      <c r="A34" s="45">
        <v>44126</v>
      </c>
      <c r="B34" s="42" t="s">
        <v>17</v>
      </c>
      <c r="C34" s="11">
        <v>5000</v>
      </c>
      <c r="D34" s="11" t="s">
        <v>10</v>
      </c>
      <c r="E34" s="46">
        <v>204.7</v>
      </c>
      <c r="F34" s="46">
        <v>205.3</v>
      </c>
      <c r="G34" s="46">
        <v>0</v>
      </c>
      <c r="H34" s="44">
        <f>C34*0.6</f>
        <v>3000</v>
      </c>
      <c r="I34" s="44">
        <v>0</v>
      </c>
      <c r="J34" s="44">
        <v>0.06</v>
      </c>
      <c r="K34" s="44">
        <v>3000</v>
      </c>
    </row>
    <row r="35" spans="1:11" ht="15.75" customHeight="1" x14ac:dyDescent="0.25">
      <c r="A35" s="45">
        <v>44125</v>
      </c>
      <c r="B35" s="42" t="s">
        <v>21</v>
      </c>
      <c r="C35" s="11">
        <v>1500</v>
      </c>
      <c r="D35" s="11" t="s">
        <v>10</v>
      </c>
      <c r="E35" s="46">
        <v>1180.5</v>
      </c>
      <c r="F35" s="46">
        <v>1176</v>
      </c>
      <c r="G35" s="46">
        <v>0</v>
      </c>
      <c r="H35" s="44">
        <f>C35-4.5</f>
        <v>1495.5</v>
      </c>
      <c r="I35" s="44">
        <v>0</v>
      </c>
      <c r="J35" s="44">
        <v>-4.5</v>
      </c>
      <c r="K35" s="44">
        <f t="shared" ref="K35" si="13">J35*C35</f>
        <v>-6750</v>
      </c>
    </row>
    <row r="36" spans="1:11" ht="15.75" customHeight="1" x14ac:dyDescent="0.25">
      <c r="A36" s="45">
        <v>44125</v>
      </c>
      <c r="B36" s="42" t="s">
        <v>15</v>
      </c>
      <c r="C36" s="11">
        <v>5000</v>
      </c>
      <c r="D36" s="11" t="s">
        <v>10</v>
      </c>
      <c r="E36" s="46">
        <v>151.5</v>
      </c>
      <c r="F36" s="46">
        <v>152</v>
      </c>
      <c r="G36" s="46">
        <v>0</v>
      </c>
      <c r="H36" s="44">
        <f>C36*0.5</f>
        <v>2500</v>
      </c>
      <c r="I36" s="44">
        <v>0</v>
      </c>
      <c r="J36" s="44">
        <v>0.5</v>
      </c>
      <c r="K36" s="44">
        <f t="shared" ref="K36" si="14">J36*C36</f>
        <v>2500</v>
      </c>
    </row>
    <row r="37" spans="1:11" ht="15.75" customHeight="1" x14ac:dyDescent="0.25">
      <c r="A37" s="45">
        <v>44125</v>
      </c>
      <c r="B37" s="42" t="s">
        <v>14</v>
      </c>
      <c r="C37" s="11">
        <v>30</v>
      </c>
      <c r="D37" s="11" t="s">
        <v>10</v>
      </c>
      <c r="E37" s="46">
        <v>63600</v>
      </c>
      <c r="F37" s="46">
        <v>63350</v>
      </c>
      <c r="G37" s="46">
        <v>0</v>
      </c>
      <c r="H37" s="44">
        <f>C37*-250</f>
        <v>-7500</v>
      </c>
      <c r="I37" s="44">
        <v>0</v>
      </c>
      <c r="J37" s="44">
        <v>-250</v>
      </c>
      <c r="K37" s="44">
        <f t="shared" ref="K37" si="15">J37*C37</f>
        <v>-7500</v>
      </c>
    </row>
    <row r="38" spans="1:11" ht="15.75" customHeight="1" x14ac:dyDescent="0.25">
      <c r="A38" s="45">
        <v>44125</v>
      </c>
      <c r="B38" s="42" t="s">
        <v>14</v>
      </c>
      <c r="C38" s="11">
        <v>30</v>
      </c>
      <c r="D38" s="11" t="s">
        <v>10</v>
      </c>
      <c r="E38" s="46">
        <v>63750</v>
      </c>
      <c r="F38" s="46">
        <v>63500</v>
      </c>
      <c r="G38" s="46">
        <v>0</v>
      </c>
      <c r="H38" s="44">
        <f>C38*-250</f>
        <v>-7500</v>
      </c>
      <c r="I38" s="44">
        <v>0</v>
      </c>
      <c r="J38" s="44">
        <v>-250</v>
      </c>
      <c r="K38" s="44">
        <f t="shared" ref="K38" si="16">J38*C38</f>
        <v>-7500</v>
      </c>
    </row>
    <row r="39" spans="1:11" ht="15.75" customHeight="1" x14ac:dyDescent="0.25">
      <c r="A39" s="45">
        <v>44125</v>
      </c>
      <c r="B39" s="42" t="s">
        <v>18</v>
      </c>
      <c r="C39" s="11">
        <v>2500</v>
      </c>
      <c r="D39" s="11" t="s">
        <v>10</v>
      </c>
      <c r="E39" s="46">
        <v>535.5</v>
      </c>
      <c r="F39" s="46">
        <v>537</v>
      </c>
      <c r="G39" s="46">
        <v>0</v>
      </c>
      <c r="H39" s="44">
        <f>C39*1.5</f>
        <v>3750</v>
      </c>
      <c r="I39" s="44">
        <v>0</v>
      </c>
      <c r="J39" s="44">
        <v>1.5</v>
      </c>
      <c r="K39" s="44">
        <f t="shared" ref="K39" si="17">J39*C39</f>
        <v>3750</v>
      </c>
    </row>
    <row r="40" spans="1:11" ht="15.75" customHeight="1" x14ac:dyDescent="0.25">
      <c r="A40" s="45">
        <v>44125</v>
      </c>
      <c r="B40" s="42" t="s">
        <v>17</v>
      </c>
      <c r="C40" s="11">
        <v>5000</v>
      </c>
      <c r="D40" s="11" t="s">
        <v>10</v>
      </c>
      <c r="E40" s="46">
        <v>202</v>
      </c>
      <c r="F40" s="46">
        <v>202.5</v>
      </c>
      <c r="G40" s="46">
        <v>203.5</v>
      </c>
      <c r="H40" s="44">
        <f>C40*0.5</f>
        <v>2500</v>
      </c>
      <c r="I40" s="44">
        <f>C40*1</f>
        <v>5000</v>
      </c>
      <c r="J40" s="44">
        <v>1.5</v>
      </c>
      <c r="K40" s="44">
        <f t="shared" ref="K40" si="18">J40*C40</f>
        <v>7500</v>
      </c>
    </row>
    <row r="41" spans="1:11" ht="15.75" customHeight="1" x14ac:dyDescent="0.25">
      <c r="A41" s="45">
        <v>44125</v>
      </c>
      <c r="B41" s="42" t="s">
        <v>19</v>
      </c>
      <c r="C41" s="11">
        <v>100</v>
      </c>
      <c r="D41" s="11" t="s">
        <v>10</v>
      </c>
      <c r="E41" s="46">
        <v>51135</v>
      </c>
      <c r="F41" s="46">
        <v>51190</v>
      </c>
      <c r="G41" s="46">
        <v>51275</v>
      </c>
      <c r="H41" s="44">
        <f>C41*50</f>
        <v>5000</v>
      </c>
      <c r="I41" s="44">
        <f>C41*85</f>
        <v>8500</v>
      </c>
      <c r="J41" s="44">
        <v>140</v>
      </c>
      <c r="K41" s="44">
        <f t="shared" ref="K41" si="19">J41*C41</f>
        <v>14000</v>
      </c>
    </row>
    <row r="42" spans="1:11" ht="15.75" customHeight="1" x14ac:dyDescent="0.25">
      <c r="A42" s="45">
        <v>44124</v>
      </c>
      <c r="B42" s="42" t="s">
        <v>19</v>
      </c>
      <c r="C42" s="11">
        <v>100</v>
      </c>
      <c r="D42" s="11" t="s">
        <v>10</v>
      </c>
      <c r="E42" s="46">
        <v>50790</v>
      </c>
      <c r="F42" s="46">
        <v>50840</v>
      </c>
      <c r="G42" s="46">
        <v>0</v>
      </c>
      <c r="H42" s="44">
        <f>C42*50</f>
        <v>5000</v>
      </c>
      <c r="I42" s="44">
        <v>0</v>
      </c>
      <c r="J42" s="44">
        <v>50</v>
      </c>
      <c r="K42" s="44">
        <f t="shared" ref="K42" si="20">J42*C42</f>
        <v>5000</v>
      </c>
    </row>
    <row r="43" spans="1:11" ht="15.75" customHeight="1" x14ac:dyDescent="0.25">
      <c r="A43" s="45">
        <v>44124</v>
      </c>
      <c r="B43" s="42" t="s">
        <v>14</v>
      </c>
      <c r="C43" s="11">
        <v>30</v>
      </c>
      <c r="D43" s="11" t="s">
        <v>10</v>
      </c>
      <c r="E43" s="46">
        <v>62560</v>
      </c>
      <c r="F43" s="46">
        <v>62760</v>
      </c>
      <c r="G43" s="46">
        <v>0</v>
      </c>
      <c r="H43" s="44">
        <f>C43*200</f>
        <v>6000</v>
      </c>
      <c r="I43" s="44">
        <v>0</v>
      </c>
      <c r="J43" s="44">
        <f t="shared" ref="J43" si="21">(I43+H43)/C43</f>
        <v>200</v>
      </c>
      <c r="K43" s="44">
        <f t="shared" ref="K43" si="22">J43*C43</f>
        <v>6000</v>
      </c>
    </row>
    <row r="44" spans="1:11" ht="15.75" customHeight="1" x14ac:dyDescent="0.25">
      <c r="A44" s="45">
        <v>44124</v>
      </c>
      <c r="B44" s="42" t="s">
        <v>21</v>
      </c>
      <c r="C44" s="11">
        <v>1500</v>
      </c>
      <c r="D44" s="11" t="s">
        <v>10</v>
      </c>
      <c r="E44" s="46">
        <v>1157.5</v>
      </c>
      <c r="F44" s="46">
        <v>1161.5</v>
      </c>
      <c r="G44" s="46">
        <v>0</v>
      </c>
      <c r="H44" s="44">
        <f>C44*4</f>
        <v>6000</v>
      </c>
      <c r="I44" s="44">
        <v>0</v>
      </c>
      <c r="J44" s="44">
        <f t="shared" ref="J44" si="23">(I44+H44)/C44</f>
        <v>4</v>
      </c>
      <c r="K44" s="44">
        <f t="shared" ref="K44" si="24">J44*C44</f>
        <v>6000</v>
      </c>
    </row>
    <row r="45" spans="1:11" ht="15.75" customHeight="1" x14ac:dyDescent="0.25">
      <c r="A45" s="45">
        <v>44124</v>
      </c>
      <c r="B45" s="42" t="s">
        <v>17</v>
      </c>
      <c r="C45" s="11">
        <v>5000</v>
      </c>
      <c r="D45" s="11" t="s">
        <v>10</v>
      </c>
      <c r="E45" s="46">
        <v>197</v>
      </c>
      <c r="F45" s="46">
        <v>197.5</v>
      </c>
      <c r="G45" s="46">
        <v>198.5</v>
      </c>
      <c r="H45" s="44">
        <f>C45*0.5</f>
        <v>2500</v>
      </c>
      <c r="I45" s="44">
        <f>C45*1</f>
        <v>5000</v>
      </c>
      <c r="J45" s="44">
        <f t="shared" ref="J45" si="25">(I45+H45)/C45</f>
        <v>1.5</v>
      </c>
      <c r="K45" s="44">
        <f t="shared" ref="K45" si="26">J45*C45</f>
        <v>7500</v>
      </c>
    </row>
    <row r="46" spans="1:11" ht="15.75" customHeight="1" x14ac:dyDescent="0.25">
      <c r="A46" s="45">
        <v>44124</v>
      </c>
      <c r="B46" s="42" t="s">
        <v>19</v>
      </c>
      <c r="C46" s="11">
        <v>100</v>
      </c>
      <c r="D46" s="11" t="s">
        <v>11</v>
      </c>
      <c r="E46" s="46">
        <v>50510</v>
      </c>
      <c r="F46" s="46">
        <v>50590</v>
      </c>
      <c r="G46" s="46">
        <v>0</v>
      </c>
      <c r="H46" s="44">
        <f>C46*-80</f>
        <v>-8000</v>
      </c>
      <c r="I46" s="44">
        <v>0</v>
      </c>
      <c r="J46" s="44">
        <f t="shared" ref="J46" si="27">(I46+H46)/C46</f>
        <v>-80</v>
      </c>
      <c r="K46" s="44">
        <f t="shared" ref="K46" si="28">J46*C46</f>
        <v>-8000</v>
      </c>
    </row>
    <row r="47" spans="1:11" ht="15.75" customHeight="1" x14ac:dyDescent="0.25">
      <c r="A47" s="45">
        <v>44124</v>
      </c>
      <c r="B47" s="42" t="s">
        <v>18</v>
      </c>
      <c r="C47" s="11">
        <v>2500</v>
      </c>
      <c r="D47" s="11" t="s">
        <v>10</v>
      </c>
      <c r="E47" s="46">
        <v>530.6</v>
      </c>
      <c r="F47" s="46">
        <v>532</v>
      </c>
      <c r="G47" s="46">
        <v>0</v>
      </c>
      <c r="H47" s="44">
        <f>C47*1.5</f>
        <v>3750</v>
      </c>
      <c r="I47" s="44">
        <v>0</v>
      </c>
      <c r="J47" s="44">
        <v>1.4</v>
      </c>
      <c r="K47" s="44">
        <f t="shared" ref="K47" si="29">J47*C47</f>
        <v>3500</v>
      </c>
    </row>
    <row r="48" spans="1:11" ht="15.75" customHeight="1" x14ac:dyDescent="0.25">
      <c r="A48" s="45">
        <v>44123</v>
      </c>
      <c r="B48" s="42" t="s">
        <v>18</v>
      </c>
      <c r="C48" s="11">
        <v>2500</v>
      </c>
      <c r="D48" s="11" t="s">
        <v>10</v>
      </c>
      <c r="E48" s="46">
        <v>528.5</v>
      </c>
      <c r="F48" s="46">
        <v>530</v>
      </c>
      <c r="G48" s="46">
        <v>533.5</v>
      </c>
      <c r="H48" s="44">
        <f>C48*1.5</f>
        <v>3750</v>
      </c>
      <c r="I48" s="44">
        <f>C48*3.5</f>
        <v>8750</v>
      </c>
      <c r="J48" s="44">
        <f t="shared" ref="J48" si="30">(I48+H48)/C48</f>
        <v>5</v>
      </c>
      <c r="K48" s="44">
        <f t="shared" ref="K48" si="31">J48*C48</f>
        <v>12500</v>
      </c>
    </row>
    <row r="49" spans="1:11" ht="15.75" customHeight="1" x14ac:dyDescent="0.25">
      <c r="A49" s="45">
        <v>44123</v>
      </c>
      <c r="B49" s="42" t="s">
        <v>17</v>
      </c>
      <c r="C49" s="11">
        <v>5000</v>
      </c>
      <c r="D49" s="11" t="s">
        <v>11</v>
      </c>
      <c r="E49" s="46">
        <v>195.7</v>
      </c>
      <c r="F49" s="46">
        <v>196.8</v>
      </c>
      <c r="G49" s="46">
        <v>0</v>
      </c>
      <c r="H49" s="44">
        <f>C49*-1.1</f>
        <v>-5500</v>
      </c>
      <c r="I49" s="44">
        <v>0</v>
      </c>
      <c r="J49" s="44">
        <f t="shared" ref="J49" si="32">(I49+H49)/C49</f>
        <v>-1.1000000000000001</v>
      </c>
      <c r="K49" s="44">
        <f t="shared" ref="K49" si="33">J49*C49</f>
        <v>-5500</v>
      </c>
    </row>
    <row r="50" spans="1:11" ht="15.75" customHeight="1" x14ac:dyDescent="0.25">
      <c r="A50" s="45">
        <v>44123</v>
      </c>
      <c r="B50" s="42" t="s">
        <v>14</v>
      </c>
      <c r="C50" s="11">
        <v>30</v>
      </c>
      <c r="D50" s="11" t="s">
        <v>10</v>
      </c>
      <c r="E50" s="46">
        <v>62750</v>
      </c>
      <c r="F50" s="46">
        <v>62950</v>
      </c>
      <c r="G50" s="46">
        <v>0</v>
      </c>
      <c r="H50" s="44">
        <f>C50*200</f>
        <v>6000</v>
      </c>
      <c r="I50" s="44">
        <v>0</v>
      </c>
      <c r="J50" s="44">
        <f t="shared" ref="J50" si="34">(I50+H50)/C50</f>
        <v>200</v>
      </c>
      <c r="K50" s="44">
        <f t="shared" ref="K50" si="35">J50*C50</f>
        <v>6000</v>
      </c>
    </row>
    <row r="51" spans="1:11" ht="15.75" customHeight="1" x14ac:dyDescent="0.25">
      <c r="A51" s="45">
        <v>44123</v>
      </c>
      <c r="B51" s="42" t="s">
        <v>18</v>
      </c>
      <c r="C51" s="11">
        <v>2500</v>
      </c>
      <c r="D51" s="11" t="s">
        <v>10</v>
      </c>
      <c r="E51" s="46">
        <v>528.5</v>
      </c>
      <c r="F51" s="46">
        <v>530</v>
      </c>
      <c r="G51" s="46">
        <v>533.5</v>
      </c>
      <c r="H51" s="44">
        <f>C51*1.5</f>
        <v>3750</v>
      </c>
      <c r="I51" s="44">
        <f>C51*3.5</f>
        <v>8750</v>
      </c>
      <c r="J51" s="44">
        <f t="shared" ref="J51" si="36">(I51+H51)/C51</f>
        <v>5</v>
      </c>
      <c r="K51" s="44">
        <f t="shared" ref="K51" si="37">J51*C51</f>
        <v>12500</v>
      </c>
    </row>
    <row r="52" spans="1:11" ht="15.75" customHeight="1" x14ac:dyDescent="0.25">
      <c r="A52" s="45">
        <v>44123</v>
      </c>
      <c r="B52" s="42" t="s">
        <v>19</v>
      </c>
      <c r="C52" s="11">
        <v>100</v>
      </c>
      <c r="D52" s="11" t="s">
        <v>10</v>
      </c>
      <c r="E52" s="46">
        <v>50790</v>
      </c>
      <c r="F52" s="46">
        <v>50840</v>
      </c>
      <c r="G52" s="46">
        <v>50910</v>
      </c>
      <c r="H52" s="44">
        <f>C52*50</f>
        <v>5000</v>
      </c>
      <c r="I52" s="44">
        <f>C52*70</f>
        <v>7000</v>
      </c>
      <c r="J52" s="44">
        <f t="shared" ref="J52" si="38">(I52+H52)/C52</f>
        <v>120</v>
      </c>
      <c r="K52" s="44">
        <f t="shared" ref="K52" si="39">J52*C52</f>
        <v>12000</v>
      </c>
    </row>
    <row r="53" spans="1:11" ht="15.75" customHeight="1" x14ac:dyDescent="0.25">
      <c r="A53" s="45">
        <v>44123</v>
      </c>
      <c r="B53" s="42" t="s">
        <v>14</v>
      </c>
      <c r="C53" s="11">
        <v>30</v>
      </c>
      <c r="D53" s="11" t="s">
        <v>10</v>
      </c>
      <c r="E53" s="46">
        <v>62700</v>
      </c>
      <c r="F53" s="46">
        <v>62400</v>
      </c>
      <c r="G53" s="46">
        <v>0</v>
      </c>
      <c r="H53" s="44">
        <f>C53*-300</f>
        <v>-9000</v>
      </c>
      <c r="I53" s="44">
        <v>0</v>
      </c>
      <c r="J53" s="44">
        <f t="shared" ref="J53" si="40">(I53+H53)/C53</f>
        <v>-300</v>
      </c>
      <c r="K53" s="44">
        <f t="shared" ref="K53" si="41">J53*C53</f>
        <v>-9000</v>
      </c>
    </row>
    <row r="54" spans="1:11" ht="15.75" customHeight="1" x14ac:dyDescent="0.25">
      <c r="A54" s="45">
        <v>44123</v>
      </c>
      <c r="B54" s="42" t="s">
        <v>17</v>
      </c>
      <c r="C54" s="11">
        <v>5000</v>
      </c>
      <c r="D54" s="11" t="s">
        <v>10</v>
      </c>
      <c r="E54" s="46">
        <v>195.5</v>
      </c>
      <c r="F54" s="46">
        <v>196</v>
      </c>
      <c r="G54" s="46">
        <v>0</v>
      </c>
      <c r="H54" s="44">
        <f>C54*0.5</f>
        <v>2500</v>
      </c>
      <c r="I54" s="44">
        <v>0</v>
      </c>
      <c r="J54" s="44">
        <f t="shared" ref="J54" si="42">(I54+H54)/C54</f>
        <v>0.5</v>
      </c>
      <c r="K54" s="44">
        <f t="shared" ref="K54" si="43">J54*C54</f>
        <v>2500</v>
      </c>
    </row>
    <row r="55" spans="1:11" ht="15.75" customHeight="1" x14ac:dyDescent="0.25">
      <c r="A55" s="45">
        <v>44120</v>
      </c>
      <c r="B55" s="42" t="s">
        <v>14</v>
      </c>
      <c r="C55" s="11">
        <v>30</v>
      </c>
      <c r="D55" s="11" t="s">
        <v>10</v>
      </c>
      <c r="E55" s="46">
        <v>61750</v>
      </c>
      <c r="F55" s="46">
        <v>61500</v>
      </c>
      <c r="G55" s="46">
        <v>0</v>
      </c>
      <c r="H55" s="44">
        <f>C55*-250</f>
        <v>-7500</v>
      </c>
      <c r="I55" s="44">
        <v>0</v>
      </c>
      <c r="J55" s="44">
        <f t="shared" ref="J55" si="44">(I55+H55)/C55</f>
        <v>-250</v>
      </c>
      <c r="K55" s="44">
        <f t="shared" ref="K55" si="45">J55*C55</f>
        <v>-7500</v>
      </c>
    </row>
    <row r="56" spans="1:11" ht="15.75" customHeight="1" x14ac:dyDescent="0.25">
      <c r="A56" s="45">
        <v>44120</v>
      </c>
      <c r="B56" s="42" t="s">
        <v>17</v>
      </c>
      <c r="C56" s="11">
        <v>5000</v>
      </c>
      <c r="D56" s="11" t="s">
        <v>10</v>
      </c>
      <c r="E56" s="46">
        <v>193.7</v>
      </c>
      <c r="F56" s="46">
        <v>194.2</v>
      </c>
      <c r="G56" s="46">
        <v>0</v>
      </c>
      <c r="H56" s="44">
        <f>C56*0.5</f>
        <v>2500</v>
      </c>
      <c r="I56" s="44">
        <v>0</v>
      </c>
      <c r="J56" s="44">
        <f t="shared" ref="J56" si="46">(I56+H56)/C56</f>
        <v>0.5</v>
      </c>
      <c r="K56" s="44">
        <f t="shared" ref="K56" si="47">J56*C56</f>
        <v>2500</v>
      </c>
    </row>
    <row r="57" spans="1:11" ht="15.75" customHeight="1" x14ac:dyDescent="0.25">
      <c r="A57" s="45">
        <v>44120</v>
      </c>
      <c r="B57" s="42" t="s">
        <v>19</v>
      </c>
      <c r="C57" s="11">
        <v>100</v>
      </c>
      <c r="D57" s="11" t="s">
        <v>10</v>
      </c>
      <c r="E57" s="46">
        <v>50690</v>
      </c>
      <c r="F57" s="46">
        <v>50740</v>
      </c>
      <c r="G57" s="46">
        <v>0</v>
      </c>
      <c r="H57" s="44">
        <f>C57*50</f>
        <v>5000</v>
      </c>
      <c r="I57" s="44">
        <v>0</v>
      </c>
      <c r="J57" s="44">
        <f t="shared" ref="J57" si="48">(I57+H57)/C57</f>
        <v>50</v>
      </c>
      <c r="K57" s="44">
        <f t="shared" ref="K57" si="49">J57*C57</f>
        <v>5000</v>
      </c>
    </row>
    <row r="58" spans="1:11" ht="15.75" customHeight="1" x14ac:dyDescent="0.25">
      <c r="A58" s="45">
        <v>44120</v>
      </c>
      <c r="B58" s="42" t="s">
        <v>14</v>
      </c>
      <c r="C58" s="11">
        <v>30</v>
      </c>
      <c r="D58" s="11" t="s">
        <v>10</v>
      </c>
      <c r="E58" s="46">
        <v>61890</v>
      </c>
      <c r="F58" s="46">
        <v>62000</v>
      </c>
      <c r="G58" s="46">
        <v>0</v>
      </c>
      <c r="H58" s="44">
        <f>C58*110</f>
        <v>3300</v>
      </c>
      <c r="I58" s="44">
        <v>0</v>
      </c>
      <c r="J58" s="44">
        <f t="shared" ref="J58" si="50">(I58+H58)/C58</f>
        <v>110</v>
      </c>
      <c r="K58" s="44">
        <f t="shared" ref="K58" si="51">J58*C58</f>
        <v>3300</v>
      </c>
    </row>
    <row r="59" spans="1:11" ht="15.75" customHeight="1" x14ac:dyDescent="0.25">
      <c r="A59" s="45">
        <v>44120</v>
      </c>
      <c r="B59" s="42" t="s">
        <v>21</v>
      </c>
      <c r="C59" s="11">
        <v>1500</v>
      </c>
      <c r="D59" s="11" t="s">
        <v>10</v>
      </c>
      <c r="E59" s="46">
        <v>1143</v>
      </c>
      <c r="F59" s="46">
        <v>1147</v>
      </c>
      <c r="G59" s="46">
        <v>0</v>
      </c>
      <c r="H59" s="44">
        <f>C59*4</f>
        <v>6000</v>
      </c>
      <c r="I59" s="44">
        <v>0</v>
      </c>
      <c r="J59" s="44">
        <f t="shared" ref="J59" si="52">(I59+H59)/C59</f>
        <v>4</v>
      </c>
      <c r="K59" s="44">
        <f t="shared" ref="K59" si="53">J59*C59</f>
        <v>6000</v>
      </c>
    </row>
    <row r="60" spans="1:11" ht="15.75" customHeight="1" x14ac:dyDescent="0.25">
      <c r="A60" s="45">
        <v>44120</v>
      </c>
      <c r="B60" s="42" t="s">
        <v>19</v>
      </c>
      <c r="C60" s="11">
        <v>100</v>
      </c>
      <c r="D60" s="11" t="s">
        <v>10</v>
      </c>
      <c r="E60" s="46">
        <v>50800</v>
      </c>
      <c r="F60" s="46">
        <v>50710</v>
      </c>
      <c r="G60" s="46">
        <v>0</v>
      </c>
      <c r="H60" s="44">
        <f>C60*-90</f>
        <v>-9000</v>
      </c>
      <c r="I60" s="44">
        <v>0</v>
      </c>
      <c r="J60" s="44">
        <f t="shared" ref="J60" si="54">(I60+H60)/C60</f>
        <v>-90</v>
      </c>
      <c r="K60" s="44">
        <f t="shared" ref="K60" si="55">J60*C60</f>
        <v>-9000</v>
      </c>
    </row>
    <row r="61" spans="1:11" ht="15.75" customHeight="1" x14ac:dyDescent="0.25">
      <c r="A61" s="45">
        <v>44119</v>
      </c>
      <c r="B61" s="42" t="s">
        <v>17</v>
      </c>
      <c r="C61" s="11">
        <v>5000</v>
      </c>
      <c r="D61" s="11" t="s">
        <v>11</v>
      </c>
      <c r="E61" s="46">
        <v>191.1</v>
      </c>
      <c r="F61" s="46">
        <v>190.5</v>
      </c>
      <c r="G61" s="46">
        <v>0</v>
      </c>
      <c r="H61" s="44">
        <f>C61*0.6</f>
        <v>3000</v>
      </c>
      <c r="I61" s="44">
        <v>0</v>
      </c>
      <c r="J61" s="44">
        <f t="shared" ref="J61" si="56">(I61+H61)/C61</f>
        <v>0.6</v>
      </c>
      <c r="K61" s="44">
        <f t="shared" ref="K61" si="57">J61*C61</f>
        <v>3000</v>
      </c>
    </row>
    <row r="62" spans="1:11" ht="15.75" customHeight="1" x14ac:dyDescent="0.25">
      <c r="A62" s="45">
        <v>44119</v>
      </c>
      <c r="B62" s="42" t="s">
        <v>14</v>
      </c>
      <c r="C62" s="11">
        <v>30</v>
      </c>
      <c r="D62" s="11" t="s">
        <v>11</v>
      </c>
      <c r="E62" s="46">
        <v>60250</v>
      </c>
      <c r="F62" s="46">
        <v>60100</v>
      </c>
      <c r="G62" s="46">
        <v>0</v>
      </c>
      <c r="H62" s="44">
        <f>C62*150</f>
        <v>4500</v>
      </c>
      <c r="I62" s="44">
        <v>0</v>
      </c>
      <c r="J62" s="44">
        <f t="shared" ref="J62" si="58">(I62+H62)/C62</f>
        <v>150</v>
      </c>
      <c r="K62" s="44">
        <f t="shared" ref="K62" si="59">J62*C62</f>
        <v>4500</v>
      </c>
    </row>
    <row r="63" spans="1:11" ht="15.75" customHeight="1" x14ac:dyDescent="0.25">
      <c r="A63" s="45">
        <v>44119</v>
      </c>
      <c r="B63" s="42" t="s">
        <v>14</v>
      </c>
      <c r="C63" s="11">
        <v>30</v>
      </c>
      <c r="D63" s="11" t="s">
        <v>10</v>
      </c>
      <c r="E63" s="46">
        <v>60550</v>
      </c>
      <c r="F63" s="46">
        <v>60300</v>
      </c>
      <c r="G63" s="46">
        <v>0</v>
      </c>
      <c r="H63" s="44">
        <f>C63*-250</f>
        <v>-7500</v>
      </c>
      <c r="I63" s="44">
        <v>0</v>
      </c>
      <c r="J63" s="44">
        <f t="shared" ref="J63" si="60">(I63+H63)/C63</f>
        <v>-250</v>
      </c>
      <c r="K63" s="44">
        <f t="shared" ref="K63" si="61">J63*C63</f>
        <v>-7500</v>
      </c>
    </row>
    <row r="64" spans="1:11" ht="15.75" customHeight="1" x14ac:dyDescent="0.25">
      <c r="A64" s="45">
        <v>44119</v>
      </c>
      <c r="B64" s="42" t="s">
        <v>17</v>
      </c>
      <c r="C64" s="11">
        <v>5000</v>
      </c>
      <c r="D64" s="11" t="s">
        <v>10</v>
      </c>
      <c r="E64" s="46">
        <v>193</v>
      </c>
      <c r="F64" s="46">
        <v>191.5</v>
      </c>
      <c r="G64" s="46">
        <v>0</v>
      </c>
      <c r="H64" s="44">
        <f>C64*-1.5</f>
        <v>-7500</v>
      </c>
      <c r="I64" s="44">
        <v>0</v>
      </c>
      <c r="J64" s="44">
        <f t="shared" ref="J64" si="62">(I64+H64)/C64</f>
        <v>-1.5</v>
      </c>
      <c r="K64" s="44">
        <f t="shared" ref="K64" si="63">J64*C64</f>
        <v>-7500</v>
      </c>
    </row>
    <row r="65" spans="1:11" ht="15.75" customHeight="1" x14ac:dyDescent="0.25">
      <c r="A65" s="45">
        <v>44118</v>
      </c>
      <c r="B65" s="42" t="s">
        <v>18</v>
      </c>
      <c r="C65" s="11">
        <v>2500</v>
      </c>
      <c r="D65" s="11" t="s">
        <v>10</v>
      </c>
      <c r="E65" s="46">
        <v>526.20000000000005</v>
      </c>
      <c r="F65" s="46">
        <v>523.4</v>
      </c>
      <c r="G65" s="46">
        <v>0</v>
      </c>
      <c r="H65" s="44">
        <f>C65*-2.8</f>
        <v>-7000</v>
      </c>
      <c r="I65" s="44">
        <v>0</v>
      </c>
      <c r="J65" s="44">
        <f t="shared" ref="J65" si="64">(I65+H65)/C65</f>
        <v>-2.8</v>
      </c>
      <c r="K65" s="44">
        <f t="shared" ref="K65" si="65">J65*C65</f>
        <v>-7000</v>
      </c>
    </row>
    <row r="66" spans="1:11" ht="15.75" customHeight="1" x14ac:dyDescent="0.25">
      <c r="A66" s="45">
        <v>44118</v>
      </c>
      <c r="B66" s="42" t="s">
        <v>17</v>
      </c>
      <c r="C66" s="11">
        <v>5000</v>
      </c>
      <c r="D66" s="11" t="s">
        <v>11</v>
      </c>
      <c r="E66" s="46">
        <v>194.8</v>
      </c>
      <c r="F66" s="46">
        <v>194.3</v>
      </c>
      <c r="G66" s="46">
        <v>193</v>
      </c>
      <c r="H66" s="44">
        <f>C66*0.5</f>
        <v>2500</v>
      </c>
      <c r="I66" s="44">
        <f>C66*1.3</f>
        <v>6500</v>
      </c>
      <c r="J66" s="44">
        <f t="shared" ref="J66" si="66">(I66+H66)/C66</f>
        <v>1.8</v>
      </c>
      <c r="K66" s="44">
        <f t="shared" ref="K66" si="67">J66*C66</f>
        <v>9000</v>
      </c>
    </row>
    <row r="67" spans="1:11" ht="15.75" customHeight="1" x14ac:dyDescent="0.25">
      <c r="A67" s="45">
        <v>44118</v>
      </c>
      <c r="B67" s="42" t="s">
        <v>14</v>
      </c>
      <c r="C67" s="11">
        <v>30</v>
      </c>
      <c r="D67" s="11" t="s">
        <v>10</v>
      </c>
      <c r="E67" s="46">
        <v>61000</v>
      </c>
      <c r="F67" s="46">
        <v>61150</v>
      </c>
      <c r="G67" s="46">
        <v>0</v>
      </c>
      <c r="H67" s="44">
        <f>C67*150</f>
        <v>4500</v>
      </c>
      <c r="I67" s="44">
        <v>0</v>
      </c>
      <c r="J67" s="44">
        <f t="shared" ref="J67" si="68">(I67+H67)/C67</f>
        <v>150</v>
      </c>
      <c r="K67" s="44">
        <f t="shared" ref="K67" si="69">J67*C67</f>
        <v>4500</v>
      </c>
    </row>
    <row r="68" spans="1:11" ht="15.75" customHeight="1" x14ac:dyDescent="0.25">
      <c r="A68" s="45">
        <v>44118</v>
      </c>
      <c r="B68" s="42" t="s">
        <v>19</v>
      </c>
      <c r="C68" s="11">
        <v>100</v>
      </c>
      <c r="D68" s="11" t="s">
        <v>10</v>
      </c>
      <c r="E68" s="46">
        <v>50380</v>
      </c>
      <c r="F68" s="46">
        <v>50430</v>
      </c>
      <c r="G68" s="46">
        <v>0</v>
      </c>
      <c r="H68" s="44">
        <f>C68*50</f>
        <v>5000</v>
      </c>
      <c r="I68" s="44">
        <v>0</v>
      </c>
      <c r="J68" s="44">
        <f t="shared" ref="J68" si="70">(I68+H68)/C68</f>
        <v>50</v>
      </c>
      <c r="K68" s="44">
        <f t="shared" ref="K68" si="71">J68*C68</f>
        <v>5000</v>
      </c>
    </row>
    <row r="69" spans="1:11" ht="15.75" customHeight="1" x14ac:dyDescent="0.25">
      <c r="A69" s="45">
        <v>44111</v>
      </c>
      <c r="B69" s="42" t="s">
        <v>19</v>
      </c>
      <c r="C69" s="11">
        <v>100</v>
      </c>
      <c r="D69" s="11" t="s">
        <v>11</v>
      </c>
      <c r="E69" s="46">
        <v>50120</v>
      </c>
      <c r="F69" s="46">
        <v>50070</v>
      </c>
      <c r="G69" s="46">
        <v>0</v>
      </c>
      <c r="H69" s="44">
        <f>C69*50</f>
        <v>5000</v>
      </c>
      <c r="I69" s="44">
        <v>0</v>
      </c>
      <c r="J69" s="44">
        <f t="shared" ref="J69" si="72">(I69+H69)/C69</f>
        <v>50</v>
      </c>
      <c r="K69" s="44">
        <f t="shared" ref="K69" si="73">J69*C69</f>
        <v>5000</v>
      </c>
    </row>
    <row r="70" spans="1:11" ht="15.75" customHeight="1" x14ac:dyDescent="0.25">
      <c r="A70" s="45">
        <v>44103</v>
      </c>
      <c r="B70" s="42" t="s">
        <v>19</v>
      </c>
      <c r="C70" s="11">
        <v>100</v>
      </c>
      <c r="D70" s="11" t="s">
        <v>10</v>
      </c>
      <c r="E70" s="46">
        <v>50390</v>
      </c>
      <c r="F70" s="46">
        <v>50300</v>
      </c>
      <c r="G70" s="46">
        <v>0</v>
      </c>
      <c r="H70" s="44">
        <f>C70*-80</f>
        <v>-8000</v>
      </c>
      <c r="I70" s="44">
        <v>0</v>
      </c>
      <c r="J70" s="44">
        <f t="shared" ref="J70" si="74">(I70+H70)/C70</f>
        <v>-80</v>
      </c>
      <c r="K70" s="44">
        <f t="shared" ref="K70" si="75">J70*C70</f>
        <v>-8000</v>
      </c>
    </row>
    <row r="71" spans="1:11" ht="15.75" customHeight="1" x14ac:dyDescent="0.25">
      <c r="A71" s="45">
        <v>44103</v>
      </c>
      <c r="B71" s="42" t="s">
        <v>14</v>
      </c>
      <c r="C71" s="11">
        <v>30</v>
      </c>
      <c r="D71" s="11" t="s">
        <v>10</v>
      </c>
      <c r="E71" s="46">
        <v>61250</v>
      </c>
      <c r="F71" s="46">
        <v>61450</v>
      </c>
      <c r="G71" s="46">
        <v>61750</v>
      </c>
      <c r="H71" s="44">
        <f>C71*200</f>
        <v>6000</v>
      </c>
      <c r="I71" s="44">
        <f>C71*270</f>
        <v>8100</v>
      </c>
      <c r="J71" s="44">
        <f t="shared" ref="J71" si="76">(I71+H71)/C71</f>
        <v>470</v>
      </c>
      <c r="K71" s="44">
        <f t="shared" ref="K71" si="77">J71*C71</f>
        <v>14100</v>
      </c>
    </row>
    <row r="72" spans="1:11" ht="15.75" customHeight="1" x14ac:dyDescent="0.25">
      <c r="A72" s="45">
        <v>44099</v>
      </c>
      <c r="B72" s="42" t="s">
        <v>19</v>
      </c>
      <c r="C72" s="11">
        <v>100</v>
      </c>
      <c r="D72" s="11" t="s">
        <v>10</v>
      </c>
      <c r="E72" s="46">
        <v>49560</v>
      </c>
      <c r="F72" s="46">
        <v>49480</v>
      </c>
      <c r="G72" s="46">
        <v>0</v>
      </c>
      <c r="H72" s="44">
        <f>C72*-80</f>
        <v>-8000</v>
      </c>
      <c r="I72" s="44">
        <v>0</v>
      </c>
      <c r="J72" s="44">
        <f t="shared" ref="J72" si="78">(I72+H72)/C72</f>
        <v>-80</v>
      </c>
      <c r="K72" s="44">
        <f t="shared" ref="K72" si="79">J72*C72</f>
        <v>-8000</v>
      </c>
    </row>
    <row r="73" spans="1:11" ht="15.75" customHeight="1" x14ac:dyDescent="0.25">
      <c r="A73" s="45">
        <v>44097</v>
      </c>
      <c r="B73" s="42" t="s">
        <v>19</v>
      </c>
      <c r="C73" s="11">
        <v>100</v>
      </c>
      <c r="D73" s="11" t="s">
        <v>11</v>
      </c>
      <c r="E73" s="46">
        <v>49770</v>
      </c>
      <c r="F73" s="46">
        <v>49700</v>
      </c>
      <c r="G73" s="46">
        <v>49600</v>
      </c>
      <c r="H73" s="44">
        <f>C73*70</f>
        <v>7000</v>
      </c>
      <c r="I73" s="44">
        <f>C73*100</f>
        <v>10000</v>
      </c>
      <c r="J73" s="44">
        <f t="shared" ref="J73" si="80">(I73+H73)/C73</f>
        <v>170</v>
      </c>
      <c r="K73" s="44">
        <f t="shared" ref="K73" si="81">J73*C73</f>
        <v>17000</v>
      </c>
    </row>
    <row r="74" spans="1:11" ht="15.75" customHeight="1" x14ac:dyDescent="0.25">
      <c r="A74" s="45">
        <v>44096</v>
      </c>
      <c r="B74" s="42" t="s">
        <v>14</v>
      </c>
      <c r="C74" s="11">
        <v>30</v>
      </c>
      <c r="D74" s="11" t="s">
        <v>11</v>
      </c>
      <c r="E74" s="46">
        <v>59650</v>
      </c>
      <c r="F74" s="46">
        <v>59900</v>
      </c>
      <c r="G74" s="46">
        <v>0</v>
      </c>
      <c r="H74" s="44">
        <f>C74*-250</f>
        <v>-7500</v>
      </c>
      <c r="I74" s="44">
        <v>0</v>
      </c>
      <c r="J74" s="44">
        <f t="shared" ref="J74" si="82">(I74+H74)/C74</f>
        <v>-250</v>
      </c>
      <c r="K74" s="44">
        <f t="shared" ref="K74" si="83">J74*C74</f>
        <v>-7500</v>
      </c>
    </row>
    <row r="75" spans="1:11" ht="15.75" customHeight="1" x14ac:dyDescent="0.25">
      <c r="A75" s="45">
        <v>44095</v>
      </c>
      <c r="B75" s="42" t="s">
        <v>14</v>
      </c>
      <c r="C75" s="11">
        <v>30</v>
      </c>
      <c r="D75" s="11" t="s">
        <v>11</v>
      </c>
      <c r="E75" s="46">
        <v>66000</v>
      </c>
      <c r="F75" s="46">
        <v>65800</v>
      </c>
      <c r="G75" s="46">
        <v>65500</v>
      </c>
      <c r="H75" s="44">
        <f>C75*200</f>
        <v>6000</v>
      </c>
      <c r="I75" s="44">
        <f>C75*300</f>
        <v>9000</v>
      </c>
      <c r="J75" s="44">
        <f t="shared" ref="J75" si="84">(I75+H75)/C75</f>
        <v>500</v>
      </c>
      <c r="K75" s="44">
        <f t="shared" ref="K75" si="85">J75*C75</f>
        <v>15000</v>
      </c>
    </row>
    <row r="76" spans="1:11" ht="15.75" customHeight="1" x14ac:dyDescent="0.25">
      <c r="A76" s="45">
        <v>44095</v>
      </c>
      <c r="B76" s="42" t="s">
        <v>19</v>
      </c>
      <c r="C76" s="11">
        <v>100</v>
      </c>
      <c r="D76" s="11" t="s">
        <v>11</v>
      </c>
      <c r="E76" s="46">
        <v>51020</v>
      </c>
      <c r="F76" s="46">
        <v>50950</v>
      </c>
      <c r="G76" s="46">
        <v>50750</v>
      </c>
      <c r="H76" s="44">
        <f>C76*70</f>
        <v>7000</v>
      </c>
      <c r="I76" s="44">
        <f>C76*200</f>
        <v>20000</v>
      </c>
      <c r="J76" s="44">
        <f t="shared" ref="J76" si="86">(I76+H76)/C76</f>
        <v>270</v>
      </c>
      <c r="K76" s="44">
        <f t="shared" ref="K76" si="87">J76*C76</f>
        <v>27000</v>
      </c>
    </row>
    <row r="77" spans="1:11" ht="15.75" customHeight="1" x14ac:dyDescent="0.25">
      <c r="A77" s="45">
        <v>44089</v>
      </c>
      <c r="B77" s="42" t="s">
        <v>14</v>
      </c>
      <c r="C77" s="11">
        <v>30</v>
      </c>
      <c r="D77" s="11" t="s">
        <v>10</v>
      </c>
      <c r="E77" s="46">
        <v>69570</v>
      </c>
      <c r="F77" s="46">
        <v>69720</v>
      </c>
      <c r="G77" s="46">
        <v>0</v>
      </c>
      <c r="H77" s="44">
        <f>C77*150</f>
        <v>4500</v>
      </c>
      <c r="I77" s="44">
        <v>0</v>
      </c>
      <c r="J77" s="44">
        <f t="shared" ref="J77" si="88">(I77+H77)/C77</f>
        <v>150</v>
      </c>
      <c r="K77" s="44">
        <f t="shared" ref="K77" si="89">J77*C77</f>
        <v>4500</v>
      </c>
    </row>
    <row r="78" spans="1:11" ht="15.75" customHeight="1" x14ac:dyDescent="0.25">
      <c r="A78" s="45">
        <v>44089</v>
      </c>
      <c r="B78" s="42" t="s">
        <v>19</v>
      </c>
      <c r="C78" s="11">
        <v>100</v>
      </c>
      <c r="D78" s="11" t="s">
        <v>10</v>
      </c>
      <c r="E78" s="46">
        <v>52160</v>
      </c>
      <c r="F78" s="46">
        <v>52070</v>
      </c>
      <c r="G78" s="46">
        <v>0</v>
      </c>
      <c r="H78" s="44">
        <f>C78*-90</f>
        <v>-9000</v>
      </c>
      <c r="I78" s="44">
        <v>0</v>
      </c>
      <c r="J78" s="44">
        <f t="shared" ref="J78" si="90">(I78+H78)/C78</f>
        <v>-90</v>
      </c>
      <c r="K78" s="44">
        <f t="shared" ref="K78" si="91">J78*C78</f>
        <v>-9000</v>
      </c>
    </row>
    <row r="79" spans="1:11" ht="15.75" customHeight="1" x14ac:dyDescent="0.25">
      <c r="A79" s="45">
        <v>44085</v>
      </c>
      <c r="B79" s="42" t="s">
        <v>19</v>
      </c>
      <c r="C79" s="11">
        <v>100</v>
      </c>
      <c r="D79" s="11" t="s">
        <v>10</v>
      </c>
      <c r="E79" s="46">
        <v>51550</v>
      </c>
      <c r="F79" s="46">
        <v>51630</v>
      </c>
      <c r="G79" s="46">
        <v>0</v>
      </c>
      <c r="H79" s="44">
        <f>C79*80</f>
        <v>8000</v>
      </c>
      <c r="I79" s="44">
        <v>0</v>
      </c>
      <c r="J79" s="44">
        <f t="shared" ref="J79" si="92">(I79+H79)/C79</f>
        <v>80</v>
      </c>
      <c r="K79" s="44">
        <f t="shared" ref="K79" si="93">J79*C79</f>
        <v>8000</v>
      </c>
    </row>
    <row r="80" spans="1:11" ht="15.75" customHeight="1" x14ac:dyDescent="0.25">
      <c r="A80" s="45">
        <v>44084</v>
      </c>
      <c r="B80" s="42" t="s">
        <v>19</v>
      </c>
      <c r="C80" s="11">
        <v>100</v>
      </c>
      <c r="D80" s="11" t="s">
        <v>10</v>
      </c>
      <c r="E80" s="46">
        <v>51680</v>
      </c>
      <c r="F80" s="46">
        <v>51750</v>
      </c>
      <c r="G80" s="46">
        <v>0</v>
      </c>
      <c r="H80" s="44">
        <f>C80*70</f>
        <v>7000</v>
      </c>
      <c r="I80" s="44">
        <v>0</v>
      </c>
      <c r="J80" s="44">
        <f t="shared" ref="J80" si="94">(I80+H80)/C80</f>
        <v>70</v>
      </c>
      <c r="K80" s="44">
        <f t="shared" ref="K80" si="95">J80*C80</f>
        <v>7000</v>
      </c>
    </row>
    <row r="81" spans="1:11" ht="15.75" customHeight="1" x14ac:dyDescent="0.25">
      <c r="A81" s="45">
        <v>44083</v>
      </c>
      <c r="B81" s="42" t="s">
        <v>14</v>
      </c>
      <c r="C81" s="11">
        <v>30</v>
      </c>
      <c r="D81" s="11" t="s">
        <v>10</v>
      </c>
      <c r="E81" s="46">
        <v>67780</v>
      </c>
      <c r="F81" s="46">
        <v>67930</v>
      </c>
      <c r="G81" s="46">
        <v>68230</v>
      </c>
      <c r="H81" s="44">
        <f>C81*150</f>
        <v>4500</v>
      </c>
      <c r="I81" s="44">
        <f>C81*300</f>
        <v>9000</v>
      </c>
      <c r="J81" s="44">
        <f t="shared" ref="J81" si="96">(I81+H81)/C81</f>
        <v>450</v>
      </c>
      <c r="K81" s="44">
        <f t="shared" ref="K81" si="97">J81*C81</f>
        <v>13500</v>
      </c>
    </row>
    <row r="82" spans="1:11" ht="15.75" customHeight="1" x14ac:dyDescent="0.25">
      <c r="A82" s="45">
        <v>44082</v>
      </c>
      <c r="B82" s="42" t="s">
        <v>14</v>
      </c>
      <c r="C82" s="11">
        <v>30</v>
      </c>
      <c r="D82" s="11" t="s">
        <v>11</v>
      </c>
      <c r="E82" s="46">
        <v>67840</v>
      </c>
      <c r="F82" s="46">
        <v>67640</v>
      </c>
      <c r="G82" s="46">
        <v>67240</v>
      </c>
      <c r="H82" s="44">
        <f>C82*200</f>
        <v>6000</v>
      </c>
      <c r="I82" s="44">
        <f>C82*400</f>
        <v>12000</v>
      </c>
      <c r="J82" s="44">
        <f t="shared" ref="J82" si="98">(I82+H82)/C82</f>
        <v>600</v>
      </c>
      <c r="K82" s="44">
        <f t="shared" ref="K82" si="99">J82*C82</f>
        <v>18000</v>
      </c>
    </row>
    <row r="83" spans="1:11" ht="15.75" customHeight="1" x14ac:dyDescent="0.25">
      <c r="A83" s="45">
        <v>44075</v>
      </c>
      <c r="B83" s="42" t="s">
        <v>21</v>
      </c>
      <c r="C83" s="11">
        <v>1500</v>
      </c>
      <c r="D83" s="11" t="s">
        <v>11</v>
      </c>
      <c r="E83" s="46">
        <v>1121</v>
      </c>
      <c r="F83" s="46">
        <v>1126</v>
      </c>
      <c r="G83" s="46">
        <v>0</v>
      </c>
      <c r="H83" s="44">
        <f>C83*-5</f>
        <v>-7500</v>
      </c>
      <c r="I83" s="44">
        <v>0</v>
      </c>
      <c r="J83" s="44">
        <f t="shared" ref="J83" si="100">(I83+H83)/C83</f>
        <v>-5</v>
      </c>
      <c r="K83" s="44">
        <f t="shared" ref="K83" si="101">J83*C83</f>
        <v>-7500</v>
      </c>
    </row>
    <row r="84" spans="1:11" ht="15.75" customHeight="1" x14ac:dyDescent="0.25">
      <c r="A84" s="45">
        <v>44063</v>
      </c>
      <c r="B84" s="42" t="s">
        <v>14</v>
      </c>
      <c r="C84" s="11">
        <v>30</v>
      </c>
      <c r="D84" s="11" t="s">
        <v>10</v>
      </c>
      <c r="E84" s="46">
        <v>66800</v>
      </c>
      <c r="F84" s="46">
        <v>66900</v>
      </c>
      <c r="G84" s="46">
        <v>67500</v>
      </c>
      <c r="H84" s="44">
        <f>C84*100</f>
        <v>3000</v>
      </c>
      <c r="I84" s="44">
        <f>C84*600</f>
        <v>18000</v>
      </c>
      <c r="J84" s="44">
        <f t="shared" ref="J84" si="102">(I84+H84)/C84</f>
        <v>700</v>
      </c>
      <c r="K84" s="44">
        <f t="shared" ref="K84" si="103">J84*C84</f>
        <v>21000</v>
      </c>
    </row>
    <row r="85" spans="1:11" ht="15.75" customHeight="1" x14ac:dyDescent="0.25">
      <c r="A85" s="45">
        <v>44063</v>
      </c>
      <c r="B85" s="42" t="s">
        <v>19</v>
      </c>
      <c r="C85" s="11">
        <v>100</v>
      </c>
      <c r="D85" s="11" t="s">
        <v>10</v>
      </c>
      <c r="E85" s="46">
        <v>51900</v>
      </c>
      <c r="F85" s="46">
        <v>51950</v>
      </c>
      <c r="G85" s="46">
        <v>52100</v>
      </c>
      <c r="H85" s="44">
        <f t="shared" ref="H85" si="104">(IF(D85="SELL",E85-F85,IF(D85="BUY",F85-E85)))*C85</f>
        <v>5000</v>
      </c>
      <c r="I85" s="44">
        <f>C85*150</f>
        <v>15000</v>
      </c>
      <c r="J85" s="44">
        <f t="shared" ref="J85" si="105">(I85+H85)/C85</f>
        <v>200</v>
      </c>
      <c r="K85" s="44">
        <f t="shared" ref="K85" si="106">J85*C85</f>
        <v>20000</v>
      </c>
    </row>
    <row r="86" spans="1:11" ht="15.75" customHeight="1" x14ac:dyDescent="0.25">
      <c r="A86" s="45">
        <v>44061</v>
      </c>
      <c r="B86" s="42" t="s">
        <v>14</v>
      </c>
      <c r="C86" s="11">
        <v>30</v>
      </c>
      <c r="D86" s="11" t="s">
        <v>10</v>
      </c>
      <c r="E86" s="46">
        <v>68300</v>
      </c>
      <c r="F86" s="46">
        <v>68400</v>
      </c>
      <c r="G86" s="46">
        <v>0</v>
      </c>
      <c r="H86" s="44">
        <f t="shared" ref="H86" si="107">(IF(D86="SELL",E86-F86,IF(D86="BUY",F86-E86)))*C86</f>
        <v>3000</v>
      </c>
      <c r="I86" s="44">
        <v>0</v>
      </c>
      <c r="J86" s="44">
        <f t="shared" ref="J86" si="108">(I86+H86)/C86</f>
        <v>100</v>
      </c>
      <c r="K86" s="44">
        <f t="shared" ref="K86" si="109">J86*C86</f>
        <v>3000</v>
      </c>
    </row>
    <row r="87" spans="1:11" ht="15.75" customHeight="1" x14ac:dyDescent="0.25">
      <c r="A87" s="45">
        <v>44061</v>
      </c>
      <c r="B87" s="42" t="s">
        <v>19</v>
      </c>
      <c r="C87" s="11">
        <v>100</v>
      </c>
      <c r="D87" s="11" t="s">
        <v>10</v>
      </c>
      <c r="E87" s="46">
        <v>53890</v>
      </c>
      <c r="F87" s="46">
        <v>53950</v>
      </c>
      <c r="G87" s="46">
        <v>0</v>
      </c>
      <c r="H87" s="44">
        <f t="shared" ref="H87" si="110">(IF(D87="SELL",E87-F87,IF(D87="BUY",F87-E87)))*C87</f>
        <v>6000</v>
      </c>
      <c r="I87" s="44">
        <v>0</v>
      </c>
      <c r="J87" s="44">
        <f t="shared" ref="J87" si="111">(I87+H87)/C87</f>
        <v>60</v>
      </c>
      <c r="K87" s="44">
        <f t="shared" ref="K87" si="112">J87*C87</f>
        <v>6000</v>
      </c>
    </row>
    <row r="88" spans="1:11" ht="15.75" customHeight="1" x14ac:dyDescent="0.25">
      <c r="A88" s="45">
        <v>44060</v>
      </c>
      <c r="B88" s="42" t="s">
        <v>17</v>
      </c>
      <c r="C88" s="11">
        <v>5000</v>
      </c>
      <c r="D88" s="11" t="s">
        <v>10</v>
      </c>
      <c r="E88" s="46">
        <v>191.4</v>
      </c>
      <c r="F88" s="46">
        <v>192.2</v>
      </c>
      <c r="G88" s="46">
        <v>0</v>
      </c>
      <c r="H88" s="44">
        <f t="shared" ref="H88" si="113">(IF(D88="SELL",E88-F88,IF(D88="BUY",F88-E88)))*C88</f>
        <v>3999.9999999999145</v>
      </c>
      <c r="I88" s="44">
        <v>0</v>
      </c>
      <c r="J88" s="44">
        <f t="shared" ref="J88" si="114">(I88+H88)/C88</f>
        <v>0.79999999999998295</v>
      </c>
      <c r="K88" s="44">
        <f t="shared" ref="K88" si="115">J88*C88</f>
        <v>3999.9999999999145</v>
      </c>
    </row>
    <row r="89" spans="1:11" ht="15.75" customHeight="1" x14ac:dyDescent="0.25">
      <c r="A89" s="45">
        <v>44057</v>
      </c>
      <c r="B89" s="42" t="s">
        <v>14</v>
      </c>
      <c r="C89" s="11">
        <v>30</v>
      </c>
      <c r="D89" s="11" t="s">
        <v>10</v>
      </c>
      <c r="E89" s="46">
        <v>68300</v>
      </c>
      <c r="F89" s="46">
        <v>68450</v>
      </c>
      <c r="G89" s="46">
        <v>69000</v>
      </c>
      <c r="H89" s="44">
        <f t="shared" ref="H89" si="116">(IF(D89="SELL",E89-F89,IF(D89="BUY",F89-E89)))*C89</f>
        <v>4500</v>
      </c>
      <c r="I89" s="44">
        <f>C89*550</f>
        <v>16500</v>
      </c>
      <c r="J89" s="44">
        <f t="shared" ref="J89" si="117">(I89+H89)/C89</f>
        <v>700</v>
      </c>
      <c r="K89" s="44">
        <f t="shared" ref="K89" si="118">J89*C89</f>
        <v>21000</v>
      </c>
    </row>
    <row r="90" spans="1:11" ht="15.75" customHeight="1" x14ac:dyDescent="0.25">
      <c r="A90" s="24">
        <v>44054</v>
      </c>
      <c r="B90" s="29" t="s">
        <v>14</v>
      </c>
      <c r="C90" s="11">
        <v>30</v>
      </c>
      <c r="D90" s="11" t="s">
        <v>11</v>
      </c>
      <c r="E90" s="11">
        <v>72100</v>
      </c>
      <c r="F90" s="11">
        <v>71850</v>
      </c>
      <c r="G90" s="34">
        <v>70700</v>
      </c>
      <c r="H90" s="35">
        <f>C90*250</f>
        <v>7500</v>
      </c>
      <c r="I90" s="8">
        <f>C90*1150</f>
        <v>34500</v>
      </c>
      <c r="J90" s="8">
        <f>(I90+H90)/C90</f>
        <v>1400</v>
      </c>
      <c r="K90" s="2">
        <f>C90*J90</f>
        <v>42000</v>
      </c>
    </row>
    <row r="91" spans="1:11" ht="15.75" customHeight="1" x14ac:dyDescent="0.25">
      <c r="A91" s="24">
        <v>44054</v>
      </c>
      <c r="B91" s="29" t="s">
        <v>19</v>
      </c>
      <c r="C91" s="11">
        <v>100</v>
      </c>
      <c r="D91" s="11" t="s">
        <v>11</v>
      </c>
      <c r="E91" s="11">
        <v>53630</v>
      </c>
      <c r="F91" s="11">
        <v>53570</v>
      </c>
      <c r="G91" s="34">
        <v>0</v>
      </c>
      <c r="H91" s="35">
        <v>0</v>
      </c>
      <c r="I91" s="8">
        <f t="shared" ref="I91" si="119">(IF(D91="SELL",E91-F91,IF(D91="BUY",F91-E91)))*C91</f>
        <v>6000</v>
      </c>
      <c r="J91" s="8">
        <v>0</v>
      </c>
      <c r="K91" s="2">
        <v>0</v>
      </c>
    </row>
    <row r="92" spans="1:11" ht="15.75" customHeight="1" x14ac:dyDescent="0.25">
      <c r="A92" s="24">
        <v>44050</v>
      </c>
      <c r="B92" s="29" t="s">
        <v>14</v>
      </c>
      <c r="C92" s="11">
        <v>30</v>
      </c>
      <c r="D92" s="11" t="s">
        <v>10</v>
      </c>
      <c r="E92" s="11">
        <v>75850</v>
      </c>
      <c r="F92" s="11">
        <v>76000</v>
      </c>
      <c r="G92" s="34">
        <v>76300</v>
      </c>
      <c r="H92" s="35">
        <v>76700</v>
      </c>
      <c r="I92" s="8">
        <f t="shared" ref="I92" si="120">(IF(D92="SELL",E92-F92,IF(D92="BUY",F92-E92)))*C92</f>
        <v>4500</v>
      </c>
      <c r="J92" s="8">
        <f>C92*300</f>
        <v>9000</v>
      </c>
      <c r="K92" s="2">
        <f>C92*400</f>
        <v>12000</v>
      </c>
    </row>
    <row r="93" spans="1:11" ht="15.75" customHeight="1" x14ac:dyDescent="0.25">
      <c r="A93" s="24">
        <v>44050</v>
      </c>
      <c r="B93" s="29" t="s">
        <v>19</v>
      </c>
      <c r="C93" s="11">
        <v>100</v>
      </c>
      <c r="D93" s="11" t="s">
        <v>10</v>
      </c>
      <c r="E93" s="11">
        <v>55700</v>
      </c>
      <c r="F93" s="11">
        <v>55760</v>
      </c>
      <c r="G93" s="34">
        <v>55900</v>
      </c>
      <c r="H93" s="35">
        <v>0</v>
      </c>
      <c r="I93" s="8">
        <f t="shared" ref="I93" si="121">(IF(D93="SELL",E93-F93,IF(D93="BUY",F93-E93)))*C93</f>
        <v>6000</v>
      </c>
      <c r="J93" s="8">
        <f>C93*140</f>
        <v>14000</v>
      </c>
      <c r="K93" s="2">
        <f>C93*500</f>
        <v>50000</v>
      </c>
    </row>
    <row r="94" spans="1:11" ht="15.75" customHeight="1" x14ac:dyDescent="0.25">
      <c r="A94" s="24">
        <v>44049</v>
      </c>
      <c r="B94" s="29" t="s">
        <v>19</v>
      </c>
      <c r="C94" s="11">
        <v>100</v>
      </c>
      <c r="D94" s="11" t="s">
        <v>10</v>
      </c>
      <c r="E94" s="11">
        <v>55750</v>
      </c>
      <c r="F94" s="11">
        <v>55800</v>
      </c>
      <c r="G94" s="34">
        <v>55900</v>
      </c>
      <c r="H94" s="35">
        <v>56100</v>
      </c>
      <c r="I94" s="8">
        <f t="shared" ref="I94" si="122">(IF(D94="SELL",E94-F94,IF(D94="BUY",F94-E94)))*C94</f>
        <v>5000</v>
      </c>
      <c r="J94" s="8">
        <f>C94*100</f>
        <v>10000</v>
      </c>
      <c r="K94" s="2">
        <f>C94*200</f>
        <v>20000</v>
      </c>
    </row>
    <row r="95" spans="1:11" ht="15.75" customHeight="1" x14ac:dyDescent="0.25">
      <c r="A95" s="24">
        <v>44049</v>
      </c>
      <c r="B95" s="29" t="s">
        <v>14</v>
      </c>
      <c r="C95" s="11">
        <v>30</v>
      </c>
      <c r="D95" s="11" t="s">
        <v>10</v>
      </c>
      <c r="E95" s="11">
        <v>75000</v>
      </c>
      <c r="F95" s="11">
        <v>75200</v>
      </c>
      <c r="G95" s="34">
        <v>76100</v>
      </c>
      <c r="H95" s="35">
        <f>C95*200</f>
        <v>6000</v>
      </c>
      <c r="I95" s="8">
        <f>C95*900</f>
        <v>27000</v>
      </c>
      <c r="J95" s="8">
        <f>C95*400</f>
        <v>12000</v>
      </c>
      <c r="K95" s="2">
        <f>C95*500</f>
        <v>15000</v>
      </c>
    </row>
    <row r="96" spans="1:11" ht="15.75" customHeight="1" x14ac:dyDescent="0.25">
      <c r="A96" s="24">
        <v>44049</v>
      </c>
      <c r="B96" s="29" t="s">
        <v>19</v>
      </c>
      <c r="C96" s="11">
        <v>100</v>
      </c>
      <c r="D96" s="11" t="s">
        <v>10</v>
      </c>
      <c r="E96" s="11">
        <v>55530</v>
      </c>
      <c r="F96" s="11">
        <v>55590</v>
      </c>
      <c r="G96" s="34">
        <v>0</v>
      </c>
      <c r="H96" s="35">
        <v>0</v>
      </c>
      <c r="I96" s="8">
        <f t="shared" ref="I96" si="123">(IF(D96="SELL",E96-F96,IF(D96="BUY",F96-E96)))*C96</f>
        <v>6000</v>
      </c>
      <c r="J96" s="8">
        <v>0</v>
      </c>
      <c r="K96" s="2">
        <v>0</v>
      </c>
    </row>
    <row r="97" spans="1:11" ht="15.75" customHeight="1" x14ac:dyDescent="0.25">
      <c r="A97" s="24">
        <v>44049</v>
      </c>
      <c r="B97" s="29" t="s">
        <v>14</v>
      </c>
      <c r="C97" s="11">
        <v>30</v>
      </c>
      <c r="D97" s="11" t="s">
        <v>10</v>
      </c>
      <c r="E97" s="11">
        <v>73800</v>
      </c>
      <c r="F97" s="11">
        <v>73950</v>
      </c>
      <c r="G97" s="34">
        <v>74800</v>
      </c>
      <c r="H97" s="35">
        <v>0</v>
      </c>
      <c r="I97" s="8">
        <f t="shared" ref="I97" si="124">(IF(D97="SELL",E97-F97,IF(D97="BUY",F97-E97)))*C97</f>
        <v>4500</v>
      </c>
      <c r="J97" s="8">
        <f>C97*850</f>
        <v>25500</v>
      </c>
      <c r="K97" s="2">
        <v>0</v>
      </c>
    </row>
    <row r="98" spans="1:11" ht="15.75" customHeight="1" x14ac:dyDescent="0.25">
      <c r="A98" s="45">
        <v>44048</v>
      </c>
      <c r="B98" s="42" t="s">
        <v>14</v>
      </c>
      <c r="C98" s="11">
        <v>30</v>
      </c>
      <c r="D98" s="11" t="s">
        <v>10</v>
      </c>
      <c r="E98" s="46">
        <v>71950</v>
      </c>
      <c r="F98" s="46">
        <v>72150</v>
      </c>
      <c r="G98" s="46">
        <v>73000</v>
      </c>
      <c r="H98" s="44">
        <f t="shared" ref="H98" si="125">(IF(D98="SELL",E98-F98,IF(D98="BUY",F98-E98)))*C98</f>
        <v>6000</v>
      </c>
      <c r="I98" s="44">
        <f>C98*850</f>
        <v>25500</v>
      </c>
      <c r="J98" s="44">
        <f t="shared" ref="J98" si="126">(I98+H98)/C98</f>
        <v>1050</v>
      </c>
      <c r="K98" s="44">
        <f t="shared" ref="K98" si="127">J98*C98</f>
        <v>31500</v>
      </c>
    </row>
    <row r="99" spans="1:11" ht="15.75" customHeight="1" x14ac:dyDescent="0.25">
      <c r="A99" s="45">
        <v>44040</v>
      </c>
      <c r="B99" s="42" t="s">
        <v>14</v>
      </c>
      <c r="C99" s="11">
        <v>30</v>
      </c>
      <c r="D99" s="11" t="s">
        <v>10</v>
      </c>
      <c r="E99" s="46">
        <v>64210</v>
      </c>
      <c r="F99" s="46">
        <v>64350</v>
      </c>
      <c r="G99" s="46">
        <v>65000</v>
      </c>
      <c r="H99" s="44">
        <f t="shared" ref="H99:H130" si="128">(IF(D99="SELL",E99-F99,IF(D99="BUY",F99-E99)))*C99</f>
        <v>4200</v>
      </c>
      <c r="I99" s="44">
        <f>C99*650</f>
        <v>19500</v>
      </c>
      <c r="J99" s="44">
        <f t="shared" ref="J99:J130" si="129">(I99+H99)/C99</f>
        <v>790</v>
      </c>
      <c r="K99" s="44">
        <f t="shared" ref="K99:K130" si="130">J99*C99</f>
        <v>23700</v>
      </c>
    </row>
    <row r="100" spans="1:11" ht="15.75" customHeight="1" x14ac:dyDescent="0.25">
      <c r="A100" s="45">
        <v>44039</v>
      </c>
      <c r="B100" s="42" t="s">
        <v>19</v>
      </c>
      <c r="C100" s="11">
        <v>100</v>
      </c>
      <c r="D100" s="11" t="s">
        <v>10</v>
      </c>
      <c r="E100" s="46">
        <v>51840</v>
      </c>
      <c r="F100" s="46">
        <v>51900</v>
      </c>
      <c r="G100" s="46">
        <v>52000</v>
      </c>
      <c r="H100" s="44">
        <v>6000</v>
      </c>
      <c r="I100" s="44">
        <f>C100*100</f>
        <v>10000</v>
      </c>
      <c r="J100" s="44">
        <f t="shared" si="129"/>
        <v>160</v>
      </c>
      <c r="K100" s="44">
        <f t="shared" si="130"/>
        <v>16000</v>
      </c>
    </row>
    <row r="101" spans="1:11" ht="15.75" customHeight="1" x14ac:dyDescent="0.25">
      <c r="A101" s="45">
        <v>44039</v>
      </c>
      <c r="B101" s="42" t="s">
        <v>14</v>
      </c>
      <c r="C101" s="11">
        <v>30</v>
      </c>
      <c r="D101" s="11" t="s">
        <v>10</v>
      </c>
      <c r="E101" s="46">
        <v>64900</v>
      </c>
      <c r="F101" s="46">
        <v>65000</v>
      </c>
      <c r="G101" s="46">
        <v>0</v>
      </c>
      <c r="H101" s="44">
        <f t="shared" si="128"/>
        <v>3000</v>
      </c>
      <c r="I101" s="44">
        <v>0</v>
      </c>
      <c r="J101" s="44">
        <f t="shared" si="129"/>
        <v>100</v>
      </c>
      <c r="K101" s="44">
        <f t="shared" si="130"/>
        <v>3000</v>
      </c>
    </row>
    <row r="102" spans="1:11" ht="15.75" customHeight="1" x14ac:dyDescent="0.25">
      <c r="A102" s="45">
        <v>44036</v>
      </c>
      <c r="B102" s="42" t="s">
        <v>19</v>
      </c>
      <c r="C102" s="11">
        <v>100</v>
      </c>
      <c r="D102" s="11" t="s">
        <v>10</v>
      </c>
      <c r="E102" s="46">
        <v>50950</v>
      </c>
      <c r="F102" s="46">
        <v>51010</v>
      </c>
      <c r="G102" s="46">
        <v>0</v>
      </c>
      <c r="H102" s="44">
        <f t="shared" si="128"/>
        <v>6000</v>
      </c>
      <c r="I102" s="44">
        <v>0</v>
      </c>
      <c r="J102" s="44">
        <f t="shared" si="129"/>
        <v>60</v>
      </c>
      <c r="K102" s="44">
        <f t="shared" si="130"/>
        <v>6000</v>
      </c>
    </row>
    <row r="103" spans="1:11" ht="15.75" customHeight="1" x14ac:dyDescent="0.25">
      <c r="A103" s="45">
        <v>44035</v>
      </c>
      <c r="B103" s="42" t="s">
        <v>19</v>
      </c>
      <c r="C103" s="11">
        <v>100</v>
      </c>
      <c r="D103" s="11" t="s">
        <v>10</v>
      </c>
      <c r="E103" s="46">
        <v>50390</v>
      </c>
      <c r="F103" s="46">
        <v>50390</v>
      </c>
      <c r="G103" s="46">
        <v>0</v>
      </c>
      <c r="H103" s="44">
        <f t="shared" si="128"/>
        <v>0</v>
      </c>
      <c r="I103" s="44">
        <v>0</v>
      </c>
      <c r="J103" s="44">
        <f t="shared" si="129"/>
        <v>0</v>
      </c>
      <c r="K103" s="44">
        <f t="shared" si="130"/>
        <v>0</v>
      </c>
    </row>
    <row r="104" spans="1:11" ht="15" customHeight="1" x14ac:dyDescent="0.25">
      <c r="A104" s="45">
        <v>44035</v>
      </c>
      <c r="B104" s="42" t="s">
        <v>14</v>
      </c>
      <c r="C104" s="11">
        <v>30</v>
      </c>
      <c r="D104" s="11" t="s">
        <v>10</v>
      </c>
      <c r="E104" s="46">
        <v>61700</v>
      </c>
      <c r="F104" s="46">
        <v>61500</v>
      </c>
      <c r="G104" s="46">
        <v>0</v>
      </c>
      <c r="H104" s="44">
        <f t="shared" si="128"/>
        <v>-6000</v>
      </c>
      <c r="I104" s="44">
        <v>0</v>
      </c>
      <c r="J104" s="44">
        <f t="shared" si="129"/>
        <v>-200</v>
      </c>
      <c r="K104" s="44">
        <f t="shared" si="130"/>
        <v>-6000</v>
      </c>
    </row>
    <row r="105" spans="1:11" ht="15" customHeight="1" x14ac:dyDescent="0.25">
      <c r="A105" s="45">
        <v>44034</v>
      </c>
      <c r="B105" s="42" t="s">
        <v>14</v>
      </c>
      <c r="C105" s="11">
        <v>30</v>
      </c>
      <c r="D105" s="11" t="s">
        <v>11</v>
      </c>
      <c r="E105" s="46">
        <v>59080</v>
      </c>
      <c r="F105" s="46">
        <v>58900</v>
      </c>
      <c r="G105" s="46">
        <v>58400</v>
      </c>
      <c r="H105" s="44">
        <f t="shared" si="128"/>
        <v>5400</v>
      </c>
      <c r="I105" s="44">
        <f>C105*500</f>
        <v>15000</v>
      </c>
      <c r="J105" s="44">
        <f t="shared" si="129"/>
        <v>680</v>
      </c>
      <c r="K105" s="44">
        <f t="shared" si="130"/>
        <v>20400</v>
      </c>
    </row>
    <row r="106" spans="1:11" ht="15" customHeight="1" x14ac:dyDescent="0.25">
      <c r="A106" s="45">
        <v>44034</v>
      </c>
      <c r="B106" s="42" t="s">
        <v>19</v>
      </c>
      <c r="C106" s="11">
        <v>100</v>
      </c>
      <c r="D106" s="11" t="s">
        <v>11</v>
      </c>
      <c r="E106" s="46">
        <v>49880</v>
      </c>
      <c r="F106" s="46">
        <v>49880</v>
      </c>
      <c r="G106" s="46">
        <v>0</v>
      </c>
      <c r="H106" s="44">
        <f t="shared" si="128"/>
        <v>0</v>
      </c>
      <c r="I106" s="44">
        <v>0</v>
      </c>
      <c r="J106" s="44">
        <f t="shared" si="129"/>
        <v>0</v>
      </c>
      <c r="K106" s="44">
        <f t="shared" si="130"/>
        <v>0</v>
      </c>
    </row>
    <row r="107" spans="1:11" ht="15" customHeight="1" x14ac:dyDescent="0.25">
      <c r="A107" s="45">
        <v>44033</v>
      </c>
      <c r="B107" s="42" t="s">
        <v>19</v>
      </c>
      <c r="C107" s="11">
        <v>100</v>
      </c>
      <c r="D107" s="11" t="s">
        <v>10</v>
      </c>
      <c r="E107" s="46">
        <v>49225</v>
      </c>
      <c r="F107" s="46">
        <v>49300</v>
      </c>
      <c r="G107" s="46">
        <v>49530</v>
      </c>
      <c r="H107" s="44">
        <f t="shared" si="128"/>
        <v>7500</v>
      </c>
      <c r="I107" s="44">
        <f>C107*230</f>
        <v>23000</v>
      </c>
      <c r="J107" s="44">
        <f t="shared" si="129"/>
        <v>305</v>
      </c>
      <c r="K107" s="44">
        <f t="shared" si="130"/>
        <v>30500</v>
      </c>
    </row>
    <row r="108" spans="1:11" ht="15" customHeight="1" x14ac:dyDescent="0.25">
      <c r="A108" s="45">
        <v>44033</v>
      </c>
      <c r="B108" s="42" t="s">
        <v>14</v>
      </c>
      <c r="C108" s="11">
        <v>30</v>
      </c>
      <c r="D108" s="11" t="s">
        <v>10</v>
      </c>
      <c r="E108" s="46">
        <v>55570</v>
      </c>
      <c r="F108" s="46">
        <v>55850</v>
      </c>
      <c r="G108" s="46">
        <v>56150</v>
      </c>
      <c r="H108" s="44">
        <f t="shared" si="128"/>
        <v>8400</v>
      </c>
      <c r="I108" s="44">
        <f>C108*300</f>
        <v>9000</v>
      </c>
      <c r="J108" s="44">
        <f t="shared" si="129"/>
        <v>580</v>
      </c>
      <c r="K108" s="44">
        <f t="shared" si="130"/>
        <v>17400</v>
      </c>
    </row>
    <row r="109" spans="1:11" ht="15" customHeight="1" x14ac:dyDescent="0.25">
      <c r="A109" s="45">
        <v>44029</v>
      </c>
      <c r="B109" s="42" t="s">
        <v>17</v>
      </c>
      <c r="C109" s="11">
        <v>5000</v>
      </c>
      <c r="D109" s="11" t="s">
        <v>10</v>
      </c>
      <c r="E109" s="46">
        <v>175.4</v>
      </c>
      <c r="F109" s="46">
        <v>175.4</v>
      </c>
      <c r="G109" s="46">
        <v>0</v>
      </c>
      <c r="H109" s="44">
        <f t="shared" si="128"/>
        <v>0</v>
      </c>
      <c r="I109" s="44">
        <v>0</v>
      </c>
      <c r="J109" s="44">
        <f t="shared" si="129"/>
        <v>0</v>
      </c>
      <c r="K109" s="44">
        <f t="shared" si="130"/>
        <v>0</v>
      </c>
    </row>
    <row r="110" spans="1:11" ht="15" customHeight="1" x14ac:dyDescent="0.25">
      <c r="A110" s="45">
        <v>44022</v>
      </c>
      <c r="B110" s="42" t="s">
        <v>14</v>
      </c>
      <c r="C110" s="11">
        <v>30</v>
      </c>
      <c r="D110" s="11" t="s">
        <v>10</v>
      </c>
      <c r="E110" s="46">
        <v>51600</v>
      </c>
      <c r="F110" s="46">
        <v>51600</v>
      </c>
      <c r="G110" s="46">
        <v>0</v>
      </c>
      <c r="H110" s="44">
        <f t="shared" si="128"/>
        <v>0</v>
      </c>
      <c r="I110" s="44">
        <v>0</v>
      </c>
      <c r="J110" s="44">
        <f t="shared" si="129"/>
        <v>0</v>
      </c>
      <c r="K110" s="44">
        <f t="shared" si="130"/>
        <v>0</v>
      </c>
    </row>
    <row r="111" spans="1:11" ht="15" customHeight="1" x14ac:dyDescent="0.25">
      <c r="A111" s="45">
        <v>44022</v>
      </c>
      <c r="B111" s="42" t="s">
        <v>19</v>
      </c>
      <c r="C111" s="11">
        <v>100</v>
      </c>
      <c r="D111" s="11" t="s">
        <v>10</v>
      </c>
      <c r="E111" s="46">
        <v>49150</v>
      </c>
      <c r="F111" s="46">
        <v>49150</v>
      </c>
      <c r="G111" s="46">
        <v>0</v>
      </c>
      <c r="H111" s="44">
        <f t="shared" si="128"/>
        <v>0</v>
      </c>
      <c r="I111" s="44">
        <v>0</v>
      </c>
      <c r="J111" s="44">
        <f t="shared" si="129"/>
        <v>0</v>
      </c>
      <c r="K111" s="44">
        <f t="shared" si="130"/>
        <v>0</v>
      </c>
    </row>
    <row r="112" spans="1:11" ht="15" customHeight="1" x14ac:dyDescent="0.25">
      <c r="A112" s="45">
        <v>44021</v>
      </c>
      <c r="B112" s="42" t="s">
        <v>14</v>
      </c>
      <c r="C112" s="11">
        <v>30</v>
      </c>
      <c r="D112" s="11" t="s">
        <v>10</v>
      </c>
      <c r="E112" s="46">
        <v>52090</v>
      </c>
      <c r="F112" s="46">
        <v>51890</v>
      </c>
      <c r="G112" s="46">
        <v>0</v>
      </c>
      <c r="H112" s="44">
        <f t="shared" si="128"/>
        <v>-6000</v>
      </c>
      <c r="I112" s="44">
        <v>0</v>
      </c>
      <c r="J112" s="44">
        <f t="shared" si="129"/>
        <v>-200</v>
      </c>
      <c r="K112" s="44">
        <f t="shared" si="130"/>
        <v>-6000</v>
      </c>
    </row>
    <row r="113" spans="1:11" ht="15" customHeight="1" x14ac:dyDescent="0.25">
      <c r="A113" s="45">
        <v>44021</v>
      </c>
      <c r="B113" s="42" t="s">
        <v>19</v>
      </c>
      <c r="C113" s="11">
        <v>100</v>
      </c>
      <c r="D113" s="11" t="s">
        <v>11</v>
      </c>
      <c r="E113" s="46">
        <v>48940</v>
      </c>
      <c r="F113" s="46">
        <v>48940</v>
      </c>
      <c r="G113" s="46">
        <v>0</v>
      </c>
      <c r="H113" s="44">
        <f t="shared" si="128"/>
        <v>0</v>
      </c>
      <c r="I113" s="44">
        <v>0</v>
      </c>
      <c r="J113" s="44">
        <f t="shared" si="129"/>
        <v>0</v>
      </c>
      <c r="K113" s="44">
        <f t="shared" si="130"/>
        <v>0</v>
      </c>
    </row>
    <row r="114" spans="1:11" ht="15" customHeight="1" x14ac:dyDescent="0.25">
      <c r="A114" s="45">
        <v>44021</v>
      </c>
      <c r="B114" s="42" t="s">
        <v>17</v>
      </c>
      <c r="C114" s="11">
        <v>5000</v>
      </c>
      <c r="D114" s="11" t="s">
        <v>10</v>
      </c>
      <c r="E114" s="46">
        <v>169.6</v>
      </c>
      <c r="F114" s="46">
        <v>169.6</v>
      </c>
      <c r="G114" s="46">
        <v>0</v>
      </c>
      <c r="H114" s="44">
        <f t="shared" si="128"/>
        <v>0</v>
      </c>
      <c r="I114" s="44">
        <v>0</v>
      </c>
      <c r="J114" s="44">
        <f t="shared" si="129"/>
        <v>0</v>
      </c>
      <c r="K114" s="44">
        <f t="shared" si="130"/>
        <v>0</v>
      </c>
    </row>
    <row r="115" spans="1:11" ht="15" customHeight="1" x14ac:dyDescent="0.25">
      <c r="A115" s="45">
        <v>44019</v>
      </c>
      <c r="B115" s="42" t="s">
        <v>21</v>
      </c>
      <c r="C115" s="11">
        <v>1500</v>
      </c>
      <c r="D115" s="11" t="s">
        <v>10</v>
      </c>
      <c r="E115" s="46">
        <v>1003</v>
      </c>
      <c r="F115" s="46">
        <v>998</v>
      </c>
      <c r="G115" s="46">
        <v>0</v>
      </c>
      <c r="H115" s="44">
        <f t="shared" si="128"/>
        <v>-7500</v>
      </c>
      <c r="I115" s="44">
        <v>0</v>
      </c>
      <c r="J115" s="44">
        <f t="shared" si="129"/>
        <v>-5</v>
      </c>
      <c r="K115" s="44">
        <f t="shared" si="130"/>
        <v>-7500</v>
      </c>
    </row>
    <row r="116" spans="1:11" ht="15" customHeight="1" x14ac:dyDescent="0.25">
      <c r="A116" s="45">
        <v>44018</v>
      </c>
      <c r="B116" s="42" t="s">
        <v>21</v>
      </c>
      <c r="C116" s="11">
        <v>1500</v>
      </c>
      <c r="D116" s="11" t="s">
        <v>10</v>
      </c>
      <c r="E116" s="46">
        <v>990.5</v>
      </c>
      <c r="F116" s="46">
        <v>994</v>
      </c>
      <c r="G116" s="46">
        <v>0</v>
      </c>
      <c r="H116" s="44">
        <f t="shared" si="128"/>
        <v>5250</v>
      </c>
      <c r="I116" s="44">
        <v>0</v>
      </c>
      <c r="J116" s="44">
        <f t="shared" si="129"/>
        <v>3.5</v>
      </c>
      <c r="K116" s="44">
        <f t="shared" si="130"/>
        <v>5250</v>
      </c>
    </row>
    <row r="117" spans="1:11" ht="15" customHeight="1" x14ac:dyDescent="0.25">
      <c r="A117" s="45">
        <v>44018</v>
      </c>
      <c r="B117" s="42" t="s">
        <v>19</v>
      </c>
      <c r="C117" s="11">
        <v>100</v>
      </c>
      <c r="D117" s="11" t="s">
        <v>11</v>
      </c>
      <c r="E117" s="46">
        <v>47970</v>
      </c>
      <c r="F117" s="46">
        <v>47970</v>
      </c>
      <c r="G117" s="46">
        <v>0</v>
      </c>
      <c r="H117" s="44">
        <f t="shared" si="128"/>
        <v>0</v>
      </c>
      <c r="I117" s="44">
        <v>0</v>
      </c>
      <c r="J117" s="44">
        <f t="shared" si="129"/>
        <v>0</v>
      </c>
      <c r="K117" s="44">
        <f t="shared" si="130"/>
        <v>0</v>
      </c>
    </row>
    <row r="118" spans="1:11" ht="15" customHeight="1" x14ac:dyDescent="0.25">
      <c r="A118" s="45">
        <v>44015</v>
      </c>
      <c r="B118" s="42" t="s">
        <v>19</v>
      </c>
      <c r="C118" s="11">
        <v>100</v>
      </c>
      <c r="D118" s="11" t="s">
        <v>11</v>
      </c>
      <c r="E118" s="46">
        <v>48000</v>
      </c>
      <c r="F118" s="46">
        <v>48000</v>
      </c>
      <c r="G118" s="46">
        <v>0</v>
      </c>
      <c r="H118" s="44">
        <f t="shared" si="128"/>
        <v>0</v>
      </c>
      <c r="I118" s="44">
        <v>0</v>
      </c>
      <c r="J118" s="44">
        <f t="shared" si="129"/>
        <v>0</v>
      </c>
      <c r="K118" s="44">
        <f t="shared" si="130"/>
        <v>0</v>
      </c>
    </row>
    <row r="119" spans="1:11" ht="15" customHeight="1" x14ac:dyDescent="0.25">
      <c r="A119" s="45">
        <v>44014</v>
      </c>
      <c r="B119" s="42" t="s">
        <v>16</v>
      </c>
      <c r="C119" s="11">
        <v>100</v>
      </c>
      <c r="D119" s="11" t="s">
        <v>10</v>
      </c>
      <c r="E119" s="46">
        <v>3030</v>
      </c>
      <c r="F119" s="46">
        <v>3030</v>
      </c>
      <c r="G119" s="46">
        <v>0</v>
      </c>
      <c r="H119" s="44">
        <f t="shared" si="128"/>
        <v>0</v>
      </c>
      <c r="I119" s="44">
        <v>0</v>
      </c>
      <c r="J119" s="44">
        <f t="shared" si="129"/>
        <v>0</v>
      </c>
      <c r="K119" s="44">
        <f t="shared" si="130"/>
        <v>0</v>
      </c>
    </row>
    <row r="120" spans="1:11" ht="15" customHeight="1" x14ac:dyDescent="0.25">
      <c r="A120" s="45">
        <v>44014</v>
      </c>
      <c r="B120" s="42" t="s">
        <v>19</v>
      </c>
      <c r="C120" s="11">
        <v>100</v>
      </c>
      <c r="D120" s="11" t="s">
        <v>11</v>
      </c>
      <c r="E120" s="46">
        <v>48160</v>
      </c>
      <c r="F120" s="46">
        <v>48100</v>
      </c>
      <c r="G120" s="46">
        <v>48005</v>
      </c>
      <c r="H120" s="44">
        <f t="shared" si="128"/>
        <v>6000</v>
      </c>
      <c r="I120" s="44">
        <f>C120*95</f>
        <v>9500</v>
      </c>
      <c r="J120" s="44">
        <f t="shared" si="129"/>
        <v>155</v>
      </c>
      <c r="K120" s="44">
        <f t="shared" si="130"/>
        <v>15500</v>
      </c>
    </row>
    <row r="121" spans="1:11" ht="15" customHeight="1" x14ac:dyDescent="0.25">
      <c r="A121" s="45">
        <v>44014</v>
      </c>
      <c r="B121" s="42" t="s">
        <v>19</v>
      </c>
      <c r="C121" s="9">
        <v>30</v>
      </c>
      <c r="D121" s="9" t="s">
        <v>11</v>
      </c>
      <c r="E121" s="46">
        <v>40120</v>
      </c>
      <c r="F121" s="46">
        <v>40210</v>
      </c>
      <c r="G121" s="46">
        <v>0</v>
      </c>
      <c r="H121" s="44">
        <f t="shared" si="128"/>
        <v>-2700</v>
      </c>
      <c r="I121" s="44">
        <v>0</v>
      </c>
      <c r="J121" s="44">
        <f t="shared" si="129"/>
        <v>-90</v>
      </c>
      <c r="K121" s="44">
        <f t="shared" si="130"/>
        <v>-2700</v>
      </c>
    </row>
    <row r="122" spans="1:11" ht="15" customHeight="1" x14ac:dyDescent="0.25">
      <c r="A122" s="45">
        <v>44013</v>
      </c>
      <c r="B122" s="42" t="s">
        <v>16</v>
      </c>
      <c r="C122" s="11">
        <v>100</v>
      </c>
      <c r="D122" s="11" t="s">
        <v>10</v>
      </c>
      <c r="E122" s="46">
        <v>3030</v>
      </c>
      <c r="F122" s="46">
        <v>3055</v>
      </c>
      <c r="G122" s="46">
        <v>0</v>
      </c>
      <c r="H122" s="44">
        <f t="shared" si="128"/>
        <v>2500</v>
      </c>
      <c r="I122" s="44">
        <v>0</v>
      </c>
      <c r="J122" s="44">
        <f t="shared" si="129"/>
        <v>25</v>
      </c>
      <c r="K122" s="44">
        <f t="shared" si="130"/>
        <v>2500</v>
      </c>
    </row>
    <row r="123" spans="1:11" ht="15" customHeight="1" x14ac:dyDescent="0.25">
      <c r="A123" s="45">
        <v>44013</v>
      </c>
      <c r="B123" s="42" t="s">
        <v>19</v>
      </c>
      <c r="C123" s="11">
        <v>100</v>
      </c>
      <c r="D123" s="11" t="s">
        <v>10</v>
      </c>
      <c r="E123" s="46">
        <v>48850</v>
      </c>
      <c r="F123" s="46">
        <v>48910</v>
      </c>
      <c r="G123" s="46">
        <v>0</v>
      </c>
      <c r="H123" s="44">
        <f t="shared" si="128"/>
        <v>6000</v>
      </c>
      <c r="I123" s="44">
        <v>0</v>
      </c>
      <c r="J123" s="44">
        <f t="shared" si="129"/>
        <v>60</v>
      </c>
      <c r="K123" s="44">
        <f t="shared" si="130"/>
        <v>6000</v>
      </c>
    </row>
    <row r="124" spans="1:11" ht="15" customHeight="1" x14ac:dyDescent="0.25">
      <c r="A124" s="45">
        <v>44012</v>
      </c>
      <c r="B124" s="42" t="s">
        <v>52</v>
      </c>
      <c r="C124" s="11">
        <v>1200</v>
      </c>
      <c r="D124" s="11" t="s">
        <v>10</v>
      </c>
      <c r="E124" s="46">
        <v>130.6</v>
      </c>
      <c r="F124" s="46">
        <v>130.6</v>
      </c>
      <c r="G124" s="46">
        <v>0</v>
      </c>
      <c r="H124" s="44">
        <f t="shared" si="128"/>
        <v>0</v>
      </c>
      <c r="I124" s="44">
        <v>0</v>
      </c>
      <c r="J124" s="44">
        <f t="shared" si="129"/>
        <v>0</v>
      </c>
      <c r="K124" s="44">
        <f t="shared" si="130"/>
        <v>0</v>
      </c>
    </row>
    <row r="125" spans="1:11" ht="15" customHeight="1" x14ac:dyDescent="0.25">
      <c r="A125" s="45">
        <v>44012</v>
      </c>
      <c r="B125" s="42" t="s">
        <v>19</v>
      </c>
      <c r="C125" s="11">
        <v>100</v>
      </c>
      <c r="D125" s="11" t="s">
        <v>10</v>
      </c>
      <c r="E125" s="46">
        <v>48390</v>
      </c>
      <c r="F125" s="46">
        <v>48390</v>
      </c>
      <c r="G125" s="46">
        <v>0</v>
      </c>
      <c r="H125" s="44">
        <f t="shared" si="128"/>
        <v>0</v>
      </c>
      <c r="I125" s="44">
        <v>0</v>
      </c>
      <c r="J125" s="44">
        <f t="shared" si="129"/>
        <v>0</v>
      </c>
      <c r="K125" s="44">
        <f t="shared" si="130"/>
        <v>0</v>
      </c>
    </row>
    <row r="126" spans="1:11" ht="15" customHeight="1" x14ac:dyDescent="0.25">
      <c r="A126" s="45">
        <v>44011</v>
      </c>
      <c r="B126" s="42" t="s">
        <v>16</v>
      </c>
      <c r="C126" s="11">
        <v>100</v>
      </c>
      <c r="D126" s="11" t="s">
        <v>10</v>
      </c>
      <c r="E126" s="46">
        <v>2897</v>
      </c>
      <c r="F126" s="46">
        <v>2929</v>
      </c>
      <c r="G126" s="46">
        <v>0</v>
      </c>
      <c r="H126" s="44">
        <f t="shared" si="128"/>
        <v>3200</v>
      </c>
      <c r="I126" s="44">
        <v>0</v>
      </c>
      <c r="J126" s="44">
        <f t="shared" si="129"/>
        <v>32</v>
      </c>
      <c r="K126" s="44">
        <f t="shared" si="130"/>
        <v>3200</v>
      </c>
    </row>
    <row r="127" spans="1:11" ht="15" customHeight="1" x14ac:dyDescent="0.25">
      <c r="A127" s="45">
        <v>44008</v>
      </c>
      <c r="B127" s="42" t="s">
        <v>16</v>
      </c>
      <c r="C127" s="11">
        <v>100</v>
      </c>
      <c r="D127" s="11" t="s">
        <v>11</v>
      </c>
      <c r="E127" s="46">
        <v>2940</v>
      </c>
      <c r="F127" s="46">
        <v>2970</v>
      </c>
      <c r="G127" s="46">
        <v>0</v>
      </c>
      <c r="H127" s="44">
        <f t="shared" si="128"/>
        <v>-3000</v>
      </c>
      <c r="I127" s="44">
        <v>0</v>
      </c>
      <c r="J127" s="44">
        <f t="shared" si="129"/>
        <v>-30</v>
      </c>
      <c r="K127" s="44">
        <f t="shared" si="130"/>
        <v>-3000</v>
      </c>
    </row>
    <row r="128" spans="1:11" ht="15" customHeight="1" x14ac:dyDescent="0.25">
      <c r="A128" s="45">
        <v>44008</v>
      </c>
      <c r="B128" s="42" t="s">
        <v>71</v>
      </c>
      <c r="C128" s="11">
        <v>1000</v>
      </c>
      <c r="D128" s="11" t="s">
        <v>10</v>
      </c>
      <c r="E128" s="46">
        <v>165.7</v>
      </c>
      <c r="F128" s="46">
        <v>165.7</v>
      </c>
      <c r="G128" s="46">
        <v>0</v>
      </c>
      <c r="H128" s="44">
        <f t="shared" si="128"/>
        <v>0</v>
      </c>
      <c r="I128" s="44">
        <v>0</v>
      </c>
      <c r="J128" s="44">
        <f t="shared" si="129"/>
        <v>0</v>
      </c>
      <c r="K128" s="44">
        <f t="shared" si="130"/>
        <v>0</v>
      </c>
    </row>
    <row r="129" spans="1:11" ht="15" customHeight="1" x14ac:dyDescent="0.25">
      <c r="A129" s="45">
        <v>44007</v>
      </c>
      <c r="B129" s="42" t="s">
        <v>19</v>
      </c>
      <c r="C129" s="11">
        <v>100</v>
      </c>
      <c r="D129" s="11" t="s">
        <v>10</v>
      </c>
      <c r="E129" s="46">
        <v>48150</v>
      </c>
      <c r="F129" s="46">
        <v>48060</v>
      </c>
      <c r="G129" s="46">
        <v>0</v>
      </c>
      <c r="H129" s="44">
        <f t="shared" si="128"/>
        <v>-9000</v>
      </c>
      <c r="I129" s="44">
        <v>0</v>
      </c>
      <c r="J129" s="44">
        <f t="shared" si="129"/>
        <v>-90</v>
      </c>
      <c r="K129" s="44">
        <f t="shared" si="130"/>
        <v>-9000</v>
      </c>
    </row>
    <row r="130" spans="1:11" ht="15" customHeight="1" x14ac:dyDescent="0.25">
      <c r="A130" s="45">
        <v>44007</v>
      </c>
      <c r="B130" s="42" t="s">
        <v>16</v>
      </c>
      <c r="C130" s="11">
        <v>100</v>
      </c>
      <c r="D130" s="11" t="s">
        <v>10</v>
      </c>
      <c r="E130" s="46">
        <v>2875</v>
      </c>
      <c r="F130" s="46">
        <v>2875</v>
      </c>
      <c r="G130" s="46">
        <v>0</v>
      </c>
      <c r="H130" s="44">
        <f t="shared" si="128"/>
        <v>0</v>
      </c>
      <c r="I130" s="44">
        <v>0</v>
      </c>
      <c r="J130" s="44">
        <f t="shared" si="129"/>
        <v>0</v>
      </c>
      <c r="K130" s="44">
        <f t="shared" si="130"/>
        <v>0</v>
      </c>
    </row>
    <row r="131" spans="1:11" ht="15" customHeight="1" x14ac:dyDescent="0.25">
      <c r="A131" s="45">
        <v>44006</v>
      </c>
      <c r="B131" s="42" t="s">
        <v>19</v>
      </c>
      <c r="C131" s="11">
        <v>100</v>
      </c>
      <c r="D131" s="11" t="s">
        <v>10</v>
      </c>
      <c r="E131" s="46">
        <v>48440</v>
      </c>
      <c r="F131" s="46">
        <v>48500</v>
      </c>
      <c r="G131" s="46">
        <v>0</v>
      </c>
      <c r="H131" s="44">
        <f t="shared" ref="H131:H162" si="131">(IF(D131="SELL",E131-F131,IF(D131="BUY",F131-E131)))*C131</f>
        <v>6000</v>
      </c>
      <c r="I131" s="44">
        <v>0</v>
      </c>
      <c r="J131" s="44">
        <f t="shared" ref="J131:J162" si="132">(I131+H131)/C131</f>
        <v>60</v>
      </c>
      <c r="K131" s="44">
        <f t="shared" ref="K131:K162" si="133">J131*C131</f>
        <v>6000</v>
      </c>
    </row>
    <row r="132" spans="1:11" ht="15" customHeight="1" x14ac:dyDescent="0.25">
      <c r="A132" s="45">
        <v>44006</v>
      </c>
      <c r="B132" s="42" t="s">
        <v>16</v>
      </c>
      <c r="C132" s="11">
        <v>100</v>
      </c>
      <c r="D132" s="11" t="s">
        <v>11</v>
      </c>
      <c r="E132" s="46">
        <v>3005</v>
      </c>
      <c r="F132" s="46">
        <v>3005</v>
      </c>
      <c r="G132" s="46">
        <v>0</v>
      </c>
      <c r="H132" s="44">
        <f t="shared" si="131"/>
        <v>0</v>
      </c>
      <c r="I132" s="44">
        <v>0</v>
      </c>
      <c r="J132" s="44">
        <f t="shared" si="132"/>
        <v>0</v>
      </c>
      <c r="K132" s="44">
        <f t="shared" si="133"/>
        <v>0</v>
      </c>
    </row>
    <row r="133" spans="1:11" ht="15" customHeight="1" x14ac:dyDescent="0.25">
      <c r="A133" s="45">
        <v>44006</v>
      </c>
      <c r="B133" s="42" t="s">
        <v>71</v>
      </c>
      <c r="C133" s="11">
        <v>1000</v>
      </c>
      <c r="D133" s="11" t="s">
        <v>11</v>
      </c>
      <c r="E133" s="46">
        <v>161.4</v>
      </c>
      <c r="F133" s="46">
        <v>161.4</v>
      </c>
      <c r="G133" s="46">
        <v>0</v>
      </c>
      <c r="H133" s="44">
        <f t="shared" si="131"/>
        <v>0</v>
      </c>
      <c r="I133" s="44">
        <v>0</v>
      </c>
      <c r="J133" s="44">
        <f t="shared" si="132"/>
        <v>0</v>
      </c>
      <c r="K133" s="44">
        <f t="shared" si="133"/>
        <v>0</v>
      </c>
    </row>
    <row r="134" spans="1:11" ht="15" customHeight="1" x14ac:dyDescent="0.25">
      <c r="A134" s="45">
        <v>44005</v>
      </c>
      <c r="B134" s="42" t="s">
        <v>16</v>
      </c>
      <c r="C134" s="11">
        <v>100</v>
      </c>
      <c r="D134" s="11" t="s">
        <v>10</v>
      </c>
      <c r="E134" s="46">
        <v>3115</v>
      </c>
      <c r="F134" s="46">
        <v>3149</v>
      </c>
      <c r="G134" s="46">
        <v>0</v>
      </c>
      <c r="H134" s="44">
        <f t="shared" si="131"/>
        <v>3400</v>
      </c>
      <c r="I134" s="44">
        <v>0</v>
      </c>
      <c r="J134" s="44">
        <f t="shared" si="132"/>
        <v>34</v>
      </c>
      <c r="K134" s="44">
        <f t="shared" si="133"/>
        <v>3400</v>
      </c>
    </row>
    <row r="135" spans="1:11" ht="15" customHeight="1" x14ac:dyDescent="0.25">
      <c r="A135" s="45">
        <v>44005</v>
      </c>
      <c r="B135" s="42" t="s">
        <v>71</v>
      </c>
      <c r="C135" s="11">
        <v>1000</v>
      </c>
      <c r="D135" s="11" t="s">
        <v>11</v>
      </c>
      <c r="E135" s="46">
        <v>161.80000000000001</v>
      </c>
      <c r="F135" s="46">
        <v>161.80000000000001</v>
      </c>
      <c r="G135" s="46">
        <v>0</v>
      </c>
      <c r="H135" s="44">
        <f t="shared" si="131"/>
        <v>0</v>
      </c>
      <c r="I135" s="44">
        <v>0</v>
      </c>
      <c r="J135" s="44">
        <f t="shared" si="132"/>
        <v>0</v>
      </c>
      <c r="K135" s="44">
        <f t="shared" si="133"/>
        <v>0</v>
      </c>
    </row>
    <row r="136" spans="1:11" ht="15" customHeight="1" x14ac:dyDescent="0.25">
      <c r="A136" s="45">
        <v>44005</v>
      </c>
      <c r="B136" s="42" t="s">
        <v>19</v>
      </c>
      <c r="C136" s="11">
        <v>100</v>
      </c>
      <c r="D136" s="11" t="s">
        <v>10</v>
      </c>
      <c r="E136" s="46">
        <v>47840</v>
      </c>
      <c r="F136" s="46">
        <v>47840</v>
      </c>
      <c r="G136" s="46">
        <v>0</v>
      </c>
      <c r="H136" s="44">
        <f t="shared" si="131"/>
        <v>0</v>
      </c>
      <c r="I136" s="44">
        <v>0</v>
      </c>
      <c r="J136" s="44">
        <f t="shared" si="132"/>
        <v>0</v>
      </c>
      <c r="K136" s="44">
        <f t="shared" si="133"/>
        <v>0</v>
      </c>
    </row>
    <row r="137" spans="1:11" ht="15" customHeight="1" x14ac:dyDescent="0.25">
      <c r="A137" s="45">
        <v>43999</v>
      </c>
      <c r="B137" s="42" t="s">
        <v>16</v>
      </c>
      <c r="C137" s="11">
        <v>100</v>
      </c>
      <c r="D137" s="11" t="s">
        <v>10</v>
      </c>
      <c r="E137" s="46">
        <v>2940</v>
      </c>
      <c r="F137" s="46">
        <v>2940</v>
      </c>
      <c r="G137" s="46">
        <v>0</v>
      </c>
      <c r="H137" s="44">
        <f t="shared" si="131"/>
        <v>0</v>
      </c>
      <c r="I137" s="44">
        <v>0</v>
      </c>
      <c r="J137" s="44">
        <f t="shared" si="132"/>
        <v>0</v>
      </c>
      <c r="K137" s="44">
        <f t="shared" si="133"/>
        <v>0</v>
      </c>
    </row>
    <row r="138" spans="1:11" ht="15" customHeight="1" x14ac:dyDescent="0.25">
      <c r="A138" s="45">
        <v>43998</v>
      </c>
      <c r="B138" s="42" t="s">
        <v>16</v>
      </c>
      <c r="C138" s="11">
        <v>100</v>
      </c>
      <c r="D138" s="11" t="s">
        <v>10</v>
      </c>
      <c r="E138" s="46">
        <v>2860</v>
      </c>
      <c r="F138" s="46">
        <v>2890</v>
      </c>
      <c r="G138" s="46">
        <v>0</v>
      </c>
      <c r="H138" s="44">
        <f t="shared" si="131"/>
        <v>3000</v>
      </c>
      <c r="I138" s="44">
        <v>0</v>
      </c>
      <c r="J138" s="44">
        <f t="shared" si="132"/>
        <v>30</v>
      </c>
      <c r="K138" s="44">
        <f t="shared" si="133"/>
        <v>3000</v>
      </c>
    </row>
    <row r="139" spans="1:11" ht="15" customHeight="1" x14ac:dyDescent="0.25">
      <c r="A139" s="45">
        <v>43997</v>
      </c>
      <c r="B139" s="42" t="s">
        <v>19</v>
      </c>
      <c r="C139" s="11">
        <v>100</v>
      </c>
      <c r="D139" s="11" t="s">
        <v>11</v>
      </c>
      <c r="E139" s="46">
        <v>46956</v>
      </c>
      <c r="F139" s="46">
        <v>46857</v>
      </c>
      <c r="G139" s="46">
        <v>0</v>
      </c>
      <c r="H139" s="44">
        <f t="shared" si="131"/>
        <v>9900</v>
      </c>
      <c r="I139" s="44">
        <v>0</v>
      </c>
      <c r="J139" s="44">
        <f t="shared" si="132"/>
        <v>99</v>
      </c>
      <c r="K139" s="44">
        <f t="shared" si="133"/>
        <v>9900</v>
      </c>
    </row>
    <row r="140" spans="1:11" ht="15" customHeight="1" x14ac:dyDescent="0.25">
      <c r="A140" s="45">
        <v>43994</v>
      </c>
      <c r="B140" s="42" t="s">
        <v>16</v>
      </c>
      <c r="C140" s="11">
        <v>100</v>
      </c>
      <c r="D140" s="11" t="s">
        <v>11</v>
      </c>
      <c r="E140" s="46">
        <v>2663</v>
      </c>
      <c r="F140" s="46">
        <v>2710</v>
      </c>
      <c r="G140" s="46">
        <v>0</v>
      </c>
      <c r="H140" s="44">
        <f t="shared" si="131"/>
        <v>-4700</v>
      </c>
      <c r="I140" s="44">
        <v>0</v>
      </c>
      <c r="J140" s="44">
        <f t="shared" si="132"/>
        <v>-47</v>
      </c>
      <c r="K140" s="44">
        <f t="shared" si="133"/>
        <v>-4700</v>
      </c>
    </row>
    <row r="141" spans="1:11" ht="15" customHeight="1" x14ac:dyDescent="0.25">
      <c r="A141" s="45">
        <v>43993</v>
      </c>
      <c r="B141" s="42" t="s">
        <v>16</v>
      </c>
      <c r="C141" s="11">
        <v>100</v>
      </c>
      <c r="D141" s="11" t="s">
        <v>11</v>
      </c>
      <c r="E141" s="46">
        <v>2855</v>
      </c>
      <c r="F141" s="46">
        <v>2825</v>
      </c>
      <c r="G141" s="46">
        <v>2765</v>
      </c>
      <c r="H141" s="44">
        <f t="shared" si="131"/>
        <v>3000</v>
      </c>
      <c r="I141" s="44">
        <f>C141*60</f>
        <v>6000</v>
      </c>
      <c r="J141" s="44">
        <f t="shared" si="132"/>
        <v>90</v>
      </c>
      <c r="K141" s="44">
        <f t="shared" si="133"/>
        <v>9000</v>
      </c>
    </row>
    <row r="142" spans="1:11" ht="15" customHeight="1" x14ac:dyDescent="0.25">
      <c r="A142" s="45">
        <v>43993</v>
      </c>
      <c r="B142" s="42" t="s">
        <v>19</v>
      </c>
      <c r="C142" s="11">
        <v>100</v>
      </c>
      <c r="D142" s="11" t="s">
        <v>10</v>
      </c>
      <c r="E142" s="46">
        <v>47207</v>
      </c>
      <c r="F142" s="46">
        <v>47120</v>
      </c>
      <c r="G142" s="46">
        <v>0</v>
      </c>
      <c r="H142" s="44">
        <f t="shared" si="131"/>
        <v>-8700</v>
      </c>
      <c r="I142" s="44">
        <v>0</v>
      </c>
      <c r="J142" s="44">
        <f t="shared" si="132"/>
        <v>-87</v>
      </c>
      <c r="K142" s="44">
        <f t="shared" si="133"/>
        <v>-8700</v>
      </c>
    </row>
    <row r="143" spans="1:11" ht="15" customHeight="1" x14ac:dyDescent="0.25">
      <c r="A143" s="55">
        <v>43956</v>
      </c>
      <c r="B143" s="56" t="s">
        <v>16</v>
      </c>
      <c r="C143" s="50">
        <v>100</v>
      </c>
      <c r="D143" s="50" t="s">
        <v>10</v>
      </c>
      <c r="E143" s="57">
        <v>1649</v>
      </c>
      <c r="F143" s="57">
        <v>1679</v>
      </c>
      <c r="G143" s="57">
        <v>1740</v>
      </c>
      <c r="H143" s="58">
        <f t="shared" si="131"/>
        <v>3000</v>
      </c>
      <c r="I143" s="58">
        <f>C143*61</f>
        <v>6100</v>
      </c>
      <c r="J143" s="58">
        <f t="shared" si="132"/>
        <v>91</v>
      </c>
      <c r="K143" s="58">
        <f t="shared" si="133"/>
        <v>9100</v>
      </c>
    </row>
    <row r="144" spans="1:11" ht="15" customHeight="1" x14ac:dyDescent="0.25">
      <c r="A144" s="45">
        <v>43955</v>
      </c>
      <c r="B144" s="42" t="s">
        <v>19</v>
      </c>
      <c r="C144" s="11">
        <v>100</v>
      </c>
      <c r="D144" s="11" t="s">
        <v>10</v>
      </c>
      <c r="E144" s="46">
        <v>45835</v>
      </c>
      <c r="F144" s="46">
        <v>45730</v>
      </c>
      <c r="G144" s="46">
        <v>0</v>
      </c>
      <c r="H144" s="44">
        <f t="shared" si="131"/>
        <v>-10500</v>
      </c>
      <c r="I144" s="44">
        <v>0</v>
      </c>
      <c r="J144" s="44">
        <f t="shared" si="132"/>
        <v>-105</v>
      </c>
      <c r="K144" s="44">
        <f t="shared" si="133"/>
        <v>-10500</v>
      </c>
    </row>
    <row r="145" spans="1:11" ht="15" customHeight="1" x14ac:dyDescent="0.25">
      <c r="A145" s="45">
        <v>43952</v>
      </c>
      <c r="B145" s="42" t="s">
        <v>16</v>
      </c>
      <c r="C145" s="11">
        <v>100</v>
      </c>
      <c r="D145" s="11" t="s">
        <v>10</v>
      </c>
      <c r="E145" s="46">
        <v>1394</v>
      </c>
      <c r="F145" s="46">
        <v>1424</v>
      </c>
      <c r="G145" s="46">
        <v>1484</v>
      </c>
      <c r="H145" s="44">
        <f t="shared" si="131"/>
        <v>3000</v>
      </c>
      <c r="I145" s="44">
        <f>C145*60</f>
        <v>6000</v>
      </c>
      <c r="J145" s="44">
        <f t="shared" si="132"/>
        <v>90</v>
      </c>
      <c r="K145" s="44">
        <f t="shared" si="133"/>
        <v>9000</v>
      </c>
    </row>
    <row r="146" spans="1:11" ht="15" customHeight="1" x14ac:dyDescent="0.25">
      <c r="A146" s="45">
        <v>43951</v>
      </c>
      <c r="B146" s="42" t="s">
        <v>16</v>
      </c>
      <c r="C146" s="11">
        <v>100</v>
      </c>
      <c r="D146" s="11" t="s">
        <v>10</v>
      </c>
      <c r="E146" s="46">
        <v>1254</v>
      </c>
      <c r="F146" s="46">
        <v>1284</v>
      </c>
      <c r="G146" s="46">
        <v>1347</v>
      </c>
      <c r="H146" s="44">
        <f t="shared" si="131"/>
        <v>3000</v>
      </c>
      <c r="I146" s="44">
        <f>C146*63</f>
        <v>6300</v>
      </c>
      <c r="J146" s="44">
        <f t="shared" si="132"/>
        <v>93</v>
      </c>
      <c r="K146" s="44">
        <f t="shared" si="133"/>
        <v>9300</v>
      </c>
    </row>
    <row r="147" spans="1:11" ht="15" customHeight="1" x14ac:dyDescent="0.25">
      <c r="A147" s="45">
        <v>43950</v>
      </c>
      <c r="B147" s="42" t="s">
        <v>14</v>
      </c>
      <c r="C147" s="11">
        <v>30</v>
      </c>
      <c r="D147" s="11" t="s">
        <v>10</v>
      </c>
      <c r="E147" s="46">
        <v>41950</v>
      </c>
      <c r="F147" s="46">
        <v>42130</v>
      </c>
      <c r="G147" s="46">
        <v>0</v>
      </c>
      <c r="H147" s="44">
        <f t="shared" si="131"/>
        <v>5400</v>
      </c>
      <c r="I147" s="44">
        <v>0</v>
      </c>
      <c r="J147" s="44">
        <f t="shared" si="132"/>
        <v>180</v>
      </c>
      <c r="K147" s="44">
        <f t="shared" si="133"/>
        <v>5400</v>
      </c>
    </row>
    <row r="148" spans="1:11" ht="15" customHeight="1" x14ac:dyDescent="0.25">
      <c r="A148" s="45">
        <v>43950</v>
      </c>
      <c r="B148" s="42" t="s">
        <v>16</v>
      </c>
      <c r="C148" s="11">
        <v>100</v>
      </c>
      <c r="D148" s="11" t="s">
        <v>10</v>
      </c>
      <c r="E148" s="46">
        <v>1066</v>
      </c>
      <c r="F148" s="46">
        <v>1096</v>
      </c>
      <c r="G148" s="46">
        <v>1150</v>
      </c>
      <c r="H148" s="44">
        <f t="shared" si="131"/>
        <v>3000</v>
      </c>
      <c r="I148" s="44">
        <f>C148*54</f>
        <v>5400</v>
      </c>
      <c r="J148" s="44">
        <f t="shared" si="132"/>
        <v>84</v>
      </c>
      <c r="K148" s="44">
        <f t="shared" si="133"/>
        <v>8400</v>
      </c>
    </row>
    <row r="149" spans="1:11" ht="15" customHeight="1" x14ac:dyDescent="0.25">
      <c r="A149" s="45">
        <v>43949</v>
      </c>
      <c r="B149" s="42" t="s">
        <v>16</v>
      </c>
      <c r="C149" s="11">
        <v>100</v>
      </c>
      <c r="D149" s="11" t="s">
        <v>11</v>
      </c>
      <c r="E149" s="46">
        <v>1002</v>
      </c>
      <c r="F149" s="46">
        <v>971</v>
      </c>
      <c r="G149" s="46">
        <v>920</v>
      </c>
      <c r="H149" s="44">
        <f t="shared" si="131"/>
        <v>3100</v>
      </c>
      <c r="I149" s="44">
        <f>C149*51</f>
        <v>5100</v>
      </c>
      <c r="J149" s="44">
        <f t="shared" si="132"/>
        <v>82</v>
      </c>
      <c r="K149" s="44">
        <f t="shared" si="133"/>
        <v>8200</v>
      </c>
    </row>
    <row r="150" spans="1:11" ht="15" customHeight="1" x14ac:dyDescent="0.25">
      <c r="A150" s="45">
        <v>43949</v>
      </c>
      <c r="B150" s="42" t="s">
        <v>19</v>
      </c>
      <c r="C150" s="11">
        <v>100</v>
      </c>
      <c r="D150" s="11" t="s">
        <v>11</v>
      </c>
      <c r="E150" s="46">
        <v>45870</v>
      </c>
      <c r="F150" s="46">
        <v>45790</v>
      </c>
      <c r="G150" s="46">
        <v>0</v>
      </c>
      <c r="H150" s="44">
        <f t="shared" si="131"/>
        <v>8000</v>
      </c>
      <c r="I150" s="44">
        <v>0</v>
      </c>
      <c r="J150" s="44">
        <f t="shared" si="132"/>
        <v>80</v>
      </c>
      <c r="K150" s="44">
        <f t="shared" si="133"/>
        <v>8000</v>
      </c>
    </row>
    <row r="151" spans="1:11" ht="15" customHeight="1" x14ac:dyDescent="0.25">
      <c r="A151" s="45">
        <v>43948</v>
      </c>
      <c r="B151" s="42" t="s">
        <v>14</v>
      </c>
      <c r="C151" s="11">
        <v>30</v>
      </c>
      <c r="D151" s="11" t="s">
        <v>10</v>
      </c>
      <c r="E151" s="46">
        <v>42400</v>
      </c>
      <c r="F151" s="46">
        <v>42180</v>
      </c>
      <c r="G151" s="46">
        <v>0</v>
      </c>
      <c r="H151" s="44">
        <f t="shared" si="131"/>
        <v>-6600</v>
      </c>
      <c r="I151" s="44">
        <v>0</v>
      </c>
      <c r="J151" s="44">
        <f t="shared" si="132"/>
        <v>-220</v>
      </c>
      <c r="K151" s="44">
        <f t="shared" si="133"/>
        <v>-6600</v>
      </c>
    </row>
    <row r="152" spans="1:11" ht="15" customHeight="1" x14ac:dyDescent="0.25">
      <c r="A152" s="45">
        <v>43948</v>
      </c>
      <c r="B152" s="42" t="s">
        <v>16</v>
      </c>
      <c r="C152" s="11">
        <v>100</v>
      </c>
      <c r="D152" s="11" t="s">
        <v>11</v>
      </c>
      <c r="E152" s="46">
        <v>1268</v>
      </c>
      <c r="F152" s="46">
        <v>1238</v>
      </c>
      <c r="G152" s="46">
        <v>1180</v>
      </c>
      <c r="H152" s="44">
        <f t="shared" si="131"/>
        <v>3000</v>
      </c>
      <c r="I152" s="44">
        <f>C152*58</f>
        <v>5800</v>
      </c>
      <c r="J152" s="44">
        <f t="shared" si="132"/>
        <v>88</v>
      </c>
      <c r="K152" s="44">
        <f t="shared" si="133"/>
        <v>8800</v>
      </c>
    </row>
    <row r="153" spans="1:11" ht="15" customHeight="1" x14ac:dyDescent="0.25">
      <c r="A153" s="45">
        <v>43945</v>
      </c>
      <c r="B153" s="42" t="s">
        <v>19</v>
      </c>
      <c r="C153" s="11">
        <v>100</v>
      </c>
      <c r="D153" s="11" t="s">
        <v>10</v>
      </c>
      <c r="E153" s="46">
        <v>46700</v>
      </c>
      <c r="F153" s="46">
        <v>46780</v>
      </c>
      <c r="G153" s="46">
        <v>46900</v>
      </c>
      <c r="H153" s="44">
        <f t="shared" si="131"/>
        <v>8000</v>
      </c>
      <c r="I153" s="44">
        <f>C153*120</f>
        <v>12000</v>
      </c>
      <c r="J153" s="44">
        <f t="shared" si="132"/>
        <v>200</v>
      </c>
      <c r="K153" s="44">
        <f t="shared" si="133"/>
        <v>20000</v>
      </c>
    </row>
    <row r="154" spans="1:11" ht="15" customHeight="1" x14ac:dyDescent="0.25">
      <c r="A154" s="45">
        <v>43945</v>
      </c>
      <c r="B154" s="42" t="s">
        <v>16</v>
      </c>
      <c r="C154" s="11">
        <v>100</v>
      </c>
      <c r="D154" s="11" t="s">
        <v>10</v>
      </c>
      <c r="E154" s="46">
        <v>1367</v>
      </c>
      <c r="F154" s="46">
        <v>1397</v>
      </c>
      <c r="G154" s="46">
        <v>0</v>
      </c>
      <c r="H154" s="44">
        <f t="shared" si="131"/>
        <v>3000</v>
      </c>
      <c r="I154" s="44">
        <v>0</v>
      </c>
      <c r="J154" s="44">
        <f t="shared" si="132"/>
        <v>30</v>
      </c>
      <c r="K154" s="44">
        <f t="shared" si="133"/>
        <v>3000</v>
      </c>
    </row>
    <row r="155" spans="1:11" ht="15" customHeight="1" x14ac:dyDescent="0.25">
      <c r="A155" s="45">
        <v>43944</v>
      </c>
      <c r="B155" s="42" t="s">
        <v>16</v>
      </c>
      <c r="C155" s="11">
        <v>100</v>
      </c>
      <c r="D155" s="11" t="s">
        <v>10</v>
      </c>
      <c r="E155" s="46">
        <v>994</v>
      </c>
      <c r="F155" s="46">
        <v>1024</v>
      </c>
      <c r="G155" s="46">
        <v>1075</v>
      </c>
      <c r="H155" s="44">
        <f t="shared" si="131"/>
        <v>3000</v>
      </c>
      <c r="I155" s="44">
        <f>C155*51</f>
        <v>5100</v>
      </c>
      <c r="J155" s="44">
        <f t="shared" si="132"/>
        <v>81</v>
      </c>
      <c r="K155" s="44">
        <f t="shared" si="133"/>
        <v>8100</v>
      </c>
    </row>
    <row r="156" spans="1:11" ht="15" customHeight="1" x14ac:dyDescent="0.25">
      <c r="A156" s="45">
        <v>43944</v>
      </c>
      <c r="B156" s="42" t="s">
        <v>14</v>
      </c>
      <c r="C156" s="11">
        <v>30</v>
      </c>
      <c r="D156" s="11" t="s">
        <v>10</v>
      </c>
      <c r="E156" s="46">
        <v>42450</v>
      </c>
      <c r="F156" s="46">
        <v>42650</v>
      </c>
      <c r="G156" s="46">
        <v>0</v>
      </c>
      <c r="H156" s="44">
        <f t="shared" si="131"/>
        <v>6000</v>
      </c>
      <c r="I156" s="44">
        <v>0</v>
      </c>
      <c r="J156" s="44">
        <f t="shared" si="132"/>
        <v>200</v>
      </c>
      <c r="K156" s="44">
        <f t="shared" si="133"/>
        <v>6000</v>
      </c>
    </row>
    <row r="157" spans="1:11" ht="15" customHeight="1" x14ac:dyDescent="0.25">
      <c r="A157" s="45">
        <v>43943</v>
      </c>
      <c r="B157" s="42" t="s">
        <v>16</v>
      </c>
      <c r="C157" s="11">
        <v>100</v>
      </c>
      <c r="D157" s="11" t="s">
        <v>11</v>
      </c>
      <c r="E157" s="46">
        <v>1234</v>
      </c>
      <c r="F157" s="46">
        <v>1224</v>
      </c>
      <c r="G157" s="46">
        <v>1160</v>
      </c>
      <c r="H157" s="44">
        <f t="shared" si="131"/>
        <v>1000</v>
      </c>
      <c r="I157" s="44">
        <f>C157*64</f>
        <v>6400</v>
      </c>
      <c r="J157" s="44">
        <f t="shared" si="132"/>
        <v>74</v>
      </c>
      <c r="K157" s="44">
        <f t="shared" si="133"/>
        <v>7400</v>
      </c>
    </row>
    <row r="158" spans="1:11" ht="15" customHeight="1" x14ac:dyDescent="0.25">
      <c r="A158" s="45">
        <v>43943</v>
      </c>
      <c r="B158" s="42" t="s">
        <v>14</v>
      </c>
      <c r="C158" s="11">
        <v>30</v>
      </c>
      <c r="D158" s="11" t="s">
        <v>11</v>
      </c>
      <c r="E158" s="46">
        <v>41122</v>
      </c>
      <c r="F158" s="46">
        <v>40960</v>
      </c>
      <c r="G158" s="46">
        <v>0</v>
      </c>
      <c r="H158" s="44">
        <f t="shared" si="131"/>
        <v>4860</v>
      </c>
      <c r="I158" s="44">
        <v>0</v>
      </c>
      <c r="J158" s="44">
        <f t="shared" si="132"/>
        <v>162</v>
      </c>
      <c r="K158" s="44">
        <f t="shared" si="133"/>
        <v>4860</v>
      </c>
    </row>
    <row r="159" spans="1:11" ht="15" customHeight="1" x14ac:dyDescent="0.25">
      <c r="A159" s="45">
        <v>43942</v>
      </c>
      <c r="B159" s="42" t="s">
        <v>16</v>
      </c>
      <c r="C159" s="11">
        <v>100</v>
      </c>
      <c r="D159" s="11" t="s">
        <v>11</v>
      </c>
      <c r="E159" s="46">
        <v>1665</v>
      </c>
      <c r="F159" s="46">
        <v>1635</v>
      </c>
      <c r="G159" s="46">
        <v>1580</v>
      </c>
      <c r="H159" s="44">
        <f t="shared" si="131"/>
        <v>3000</v>
      </c>
      <c r="I159" s="44">
        <f>C159*55</f>
        <v>5500</v>
      </c>
      <c r="J159" s="44">
        <f t="shared" si="132"/>
        <v>85</v>
      </c>
      <c r="K159" s="44">
        <f t="shared" si="133"/>
        <v>8500</v>
      </c>
    </row>
    <row r="160" spans="1:11" ht="15" customHeight="1" x14ac:dyDescent="0.25">
      <c r="A160" s="45">
        <v>43942</v>
      </c>
      <c r="B160" s="42" t="s">
        <v>19</v>
      </c>
      <c r="C160" s="11">
        <v>100</v>
      </c>
      <c r="D160" s="11" t="s">
        <v>10</v>
      </c>
      <c r="E160" s="46">
        <v>45940</v>
      </c>
      <c r="F160" s="46">
        <v>46020</v>
      </c>
      <c r="G160" s="46">
        <v>46180</v>
      </c>
      <c r="H160" s="44">
        <f t="shared" si="131"/>
        <v>8000</v>
      </c>
      <c r="I160" s="44">
        <f>C160*160</f>
        <v>16000</v>
      </c>
      <c r="J160" s="44">
        <f t="shared" si="132"/>
        <v>240</v>
      </c>
      <c r="K160" s="44">
        <f t="shared" si="133"/>
        <v>24000</v>
      </c>
    </row>
    <row r="161" spans="1:11" ht="15" customHeight="1" x14ac:dyDescent="0.25">
      <c r="A161" s="45">
        <v>43941</v>
      </c>
      <c r="B161" s="42" t="s">
        <v>16</v>
      </c>
      <c r="C161" s="11">
        <v>100</v>
      </c>
      <c r="D161" s="11" t="s">
        <v>11</v>
      </c>
      <c r="E161" s="46">
        <v>1348</v>
      </c>
      <c r="F161" s="46">
        <v>1318</v>
      </c>
      <c r="G161" s="46">
        <v>1270</v>
      </c>
      <c r="H161" s="44">
        <f t="shared" si="131"/>
        <v>3000</v>
      </c>
      <c r="I161" s="44">
        <f>C161*48</f>
        <v>4800</v>
      </c>
      <c r="J161" s="44">
        <f t="shared" si="132"/>
        <v>78</v>
      </c>
      <c r="K161" s="44">
        <f t="shared" si="133"/>
        <v>7800</v>
      </c>
    </row>
    <row r="162" spans="1:11" ht="15" customHeight="1" x14ac:dyDescent="0.25">
      <c r="A162" s="45">
        <v>43937</v>
      </c>
      <c r="B162" s="42" t="s">
        <v>16</v>
      </c>
      <c r="C162" s="11">
        <v>100</v>
      </c>
      <c r="D162" s="11" t="s">
        <v>11</v>
      </c>
      <c r="E162" s="46">
        <v>1510</v>
      </c>
      <c r="F162" s="46">
        <v>1480</v>
      </c>
      <c r="G162" s="46">
        <v>1430</v>
      </c>
      <c r="H162" s="44">
        <f t="shared" si="131"/>
        <v>3000</v>
      </c>
      <c r="I162" s="44">
        <f>C162*50</f>
        <v>5000</v>
      </c>
      <c r="J162" s="44">
        <f t="shared" si="132"/>
        <v>80</v>
      </c>
      <c r="K162" s="44">
        <f t="shared" si="133"/>
        <v>8000</v>
      </c>
    </row>
    <row r="163" spans="1:11" ht="15.75" customHeight="1" x14ac:dyDescent="0.25">
      <c r="A163" s="45">
        <v>43937</v>
      </c>
      <c r="B163" s="42" t="s">
        <v>19</v>
      </c>
      <c r="C163" s="11">
        <v>100</v>
      </c>
      <c r="D163" s="11" t="s">
        <v>10</v>
      </c>
      <c r="E163" s="46">
        <v>46990</v>
      </c>
      <c r="F163" s="46">
        <v>47070</v>
      </c>
      <c r="G163" s="46">
        <v>0</v>
      </c>
      <c r="H163" s="44">
        <f t="shared" ref="H163:H194" si="134">(IF(D163="SELL",E163-F163,IF(D163="BUY",F163-E163)))*C163</f>
        <v>8000</v>
      </c>
      <c r="I163" s="44">
        <v>0</v>
      </c>
      <c r="J163" s="44">
        <f t="shared" ref="J163:J194" si="135">(I163+H163)/C163</f>
        <v>80</v>
      </c>
      <c r="K163" s="44">
        <f t="shared" ref="K163:K194" si="136">J163*C163</f>
        <v>8000</v>
      </c>
    </row>
    <row r="164" spans="1:11" ht="15.75" customHeight="1" x14ac:dyDescent="0.25">
      <c r="A164" s="45">
        <v>43936</v>
      </c>
      <c r="B164" s="42" t="s">
        <v>16</v>
      </c>
      <c r="C164" s="11">
        <v>100</v>
      </c>
      <c r="D164" s="11" t="s">
        <v>11</v>
      </c>
      <c r="E164" s="46">
        <v>1673</v>
      </c>
      <c r="F164" s="46">
        <v>1643</v>
      </c>
      <c r="G164" s="46">
        <v>1590</v>
      </c>
      <c r="H164" s="44">
        <f t="shared" si="134"/>
        <v>3000</v>
      </c>
      <c r="I164" s="44">
        <f>C164*53</f>
        <v>5300</v>
      </c>
      <c r="J164" s="44">
        <f t="shared" si="135"/>
        <v>83</v>
      </c>
      <c r="K164" s="44">
        <f t="shared" si="136"/>
        <v>8300</v>
      </c>
    </row>
    <row r="165" spans="1:11" ht="15.75" customHeight="1" x14ac:dyDescent="0.25">
      <c r="A165" s="45">
        <v>43934</v>
      </c>
      <c r="B165" s="42" t="s">
        <v>16</v>
      </c>
      <c r="C165" s="11">
        <v>100</v>
      </c>
      <c r="D165" s="11" t="s">
        <v>11</v>
      </c>
      <c r="E165" s="46">
        <v>1955</v>
      </c>
      <c r="F165" s="46">
        <v>1925</v>
      </c>
      <c r="G165" s="46">
        <v>1875</v>
      </c>
      <c r="H165" s="44">
        <f t="shared" si="134"/>
        <v>3000</v>
      </c>
      <c r="I165" s="44">
        <f>C165*50</f>
        <v>5000</v>
      </c>
      <c r="J165" s="44">
        <f t="shared" si="135"/>
        <v>80</v>
      </c>
      <c r="K165" s="44">
        <f t="shared" si="136"/>
        <v>8000</v>
      </c>
    </row>
    <row r="166" spans="1:11" ht="15.75" customHeight="1" x14ac:dyDescent="0.25">
      <c r="A166" s="45">
        <v>43930</v>
      </c>
      <c r="B166" s="42" t="s">
        <v>16</v>
      </c>
      <c r="C166" s="11">
        <v>100</v>
      </c>
      <c r="D166" s="11" t="s">
        <v>10</v>
      </c>
      <c r="E166" s="46">
        <v>2008</v>
      </c>
      <c r="F166" s="46">
        <v>2038</v>
      </c>
      <c r="G166" s="46">
        <v>2088</v>
      </c>
      <c r="H166" s="44">
        <f t="shared" si="134"/>
        <v>3000</v>
      </c>
      <c r="I166" s="44">
        <f>C166*50</f>
        <v>5000</v>
      </c>
      <c r="J166" s="44">
        <f t="shared" si="135"/>
        <v>80</v>
      </c>
      <c r="K166" s="44">
        <f t="shared" si="136"/>
        <v>8000</v>
      </c>
    </row>
    <row r="167" spans="1:11" ht="15.75" customHeight="1" x14ac:dyDescent="0.25">
      <c r="A167" s="45">
        <v>43929</v>
      </c>
      <c r="B167" s="42" t="s">
        <v>16</v>
      </c>
      <c r="C167" s="11">
        <v>100</v>
      </c>
      <c r="D167" s="11" t="s">
        <v>11</v>
      </c>
      <c r="E167" s="46">
        <v>1940</v>
      </c>
      <c r="F167" s="46">
        <v>1910</v>
      </c>
      <c r="G167" s="46">
        <v>0</v>
      </c>
      <c r="H167" s="44">
        <f t="shared" si="134"/>
        <v>3000</v>
      </c>
      <c r="I167" s="44">
        <v>0</v>
      </c>
      <c r="J167" s="44">
        <f t="shared" si="135"/>
        <v>30</v>
      </c>
      <c r="K167" s="44">
        <f t="shared" si="136"/>
        <v>3000</v>
      </c>
    </row>
    <row r="168" spans="1:11" ht="15.75" customHeight="1" x14ac:dyDescent="0.25">
      <c r="A168" s="45">
        <v>43928</v>
      </c>
      <c r="B168" s="42" t="s">
        <v>14</v>
      </c>
      <c r="C168" s="11">
        <v>30</v>
      </c>
      <c r="D168" s="11" t="s">
        <v>10</v>
      </c>
      <c r="E168" s="46">
        <v>43697</v>
      </c>
      <c r="F168" s="46">
        <v>43870</v>
      </c>
      <c r="G168" s="46">
        <v>0</v>
      </c>
      <c r="H168" s="44">
        <f t="shared" si="134"/>
        <v>5190</v>
      </c>
      <c r="I168" s="44">
        <v>0</v>
      </c>
      <c r="J168" s="44">
        <f t="shared" si="135"/>
        <v>173</v>
      </c>
      <c r="K168" s="44">
        <f t="shared" si="136"/>
        <v>5190</v>
      </c>
    </row>
    <row r="169" spans="1:11" ht="15.75" customHeight="1" x14ac:dyDescent="0.25">
      <c r="A169" s="45">
        <v>43924</v>
      </c>
      <c r="B169" s="42" t="s">
        <v>16</v>
      </c>
      <c r="C169" s="11">
        <v>100</v>
      </c>
      <c r="D169" s="11" t="s">
        <v>10</v>
      </c>
      <c r="E169" s="46">
        <v>1720</v>
      </c>
      <c r="F169" s="46">
        <v>1749</v>
      </c>
      <c r="G169" s="46">
        <v>1799</v>
      </c>
      <c r="H169" s="44">
        <f t="shared" si="134"/>
        <v>2900</v>
      </c>
      <c r="I169" s="44">
        <f>C169*50</f>
        <v>5000</v>
      </c>
      <c r="J169" s="44">
        <f t="shared" si="135"/>
        <v>79</v>
      </c>
      <c r="K169" s="44">
        <f t="shared" si="136"/>
        <v>7900</v>
      </c>
    </row>
    <row r="170" spans="1:11" ht="15.75" customHeight="1" x14ac:dyDescent="0.25">
      <c r="A170" s="45">
        <v>43922</v>
      </c>
      <c r="B170" s="42" t="s">
        <v>16</v>
      </c>
      <c r="C170" s="11">
        <v>100</v>
      </c>
      <c r="D170" s="11" t="s">
        <v>11</v>
      </c>
      <c r="E170" s="46">
        <v>1585</v>
      </c>
      <c r="F170" s="46">
        <v>1555</v>
      </c>
      <c r="G170" s="46">
        <v>0</v>
      </c>
      <c r="H170" s="44">
        <f t="shared" si="134"/>
        <v>3000</v>
      </c>
      <c r="I170" s="44">
        <v>0</v>
      </c>
      <c r="J170" s="44">
        <f t="shared" si="135"/>
        <v>30</v>
      </c>
      <c r="K170" s="44">
        <f t="shared" si="136"/>
        <v>3000</v>
      </c>
    </row>
    <row r="171" spans="1:11" ht="15.75" customHeight="1" x14ac:dyDescent="0.25">
      <c r="A171" s="45">
        <v>43920</v>
      </c>
      <c r="B171" s="42" t="s">
        <v>14</v>
      </c>
      <c r="C171" s="11">
        <v>30</v>
      </c>
      <c r="D171" s="11" t="s">
        <v>11</v>
      </c>
      <c r="E171" s="46">
        <v>39500</v>
      </c>
      <c r="F171" s="46">
        <v>39350</v>
      </c>
      <c r="G171" s="46">
        <v>0</v>
      </c>
      <c r="H171" s="44">
        <f t="shared" si="134"/>
        <v>4500</v>
      </c>
      <c r="I171" s="44">
        <v>0</v>
      </c>
      <c r="J171" s="44">
        <f t="shared" si="135"/>
        <v>150</v>
      </c>
      <c r="K171" s="44">
        <f t="shared" si="136"/>
        <v>4500</v>
      </c>
    </row>
    <row r="172" spans="1:11" ht="15.75" customHeight="1" x14ac:dyDescent="0.25">
      <c r="A172" s="45">
        <v>43917</v>
      </c>
      <c r="B172" s="42" t="s">
        <v>16</v>
      </c>
      <c r="C172" s="11">
        <v>100</v>
      </c>
      <c r="D172" s="11" t="s">
        <v>11</v>
      </c>
      <c r="E172" s="46">
        <v>1732</v>
      </c>
      <c r="F172" s="46">
        <v>1702</v>
      </c>
      <c r="G172" s="46">
        <v>0</v>
      </c>
      <c r="H172" s="44">
        <f t="shared" si="134"/>
        <v>3000</v>
      </c>
      <c r="I172" s="44">
        <v>0</v>
      </c>
      <c r="J172" s="44">
        <f t="shared" si="135"/>
        <v>30</v>
      </c>
      <c r="K172" s="44">
        <f t="shared" si="136"/>
        <v>3000</v>
      </c>
    </row>
    <row r="173" spans="1:11" ht="15.75" customHeight="1" x14ac:dyDescent="0.25">
      <c r="A173" s="45">
        <v>43915</v>
      </c>
      <c r="B173" s="42" t="s">
        <v>19</v>
      </c>
      <c r="C173" s="11">
        <v>100</v>
      </c>
      <c r="D173" s="11" t="s">
        <v>10</v>
      </c>
      <c r="E173" s="46">
        <v>42000</v>
      </c>
      <c r="F173" s="46">
        <v>41880</v>
      </c>
      <c r="G173" s="46">
        <v>0</v>
      </c>
      <c r="H173" s="44">
        <f t="shared" si="134"/>
        <v>-12000</v>
      </c>
      <c r="I173" s="44">
        <v>0</v>
      </c>
      <c r="J173" s="44">
        <f t="shared" si="135"/>
        <v>-120</v>
      </c>
      <c r="K173" s="44">
        <f t="shared" si="136"/>
        <v>-12000</v>
      </c>
    </row>
    <row r="174" spans="1:11" ht="15.75" customHeight="1" x14ac:dyDescent="0.25">
      <c r="A174" s="45">
        <v>43910</v>
      </c>
      <c r="B174" s="42" t="s">
        <v>19</v>
      </c>
      <c r="C174" s="11">
        <v>100</v>
      </c>
      <c r="D174" s="11" t="s">
        <v>10</v>
      </c>
      <c r="E174" s="46">
        <v>40400</v>
      </c>
      <c r="F174" s="46">
        <v>40500</v>
      </c>
      <c r="G174" s="46">
        <v>40700</v>
      </c>
      <c r="H174" s="44">
        <f t="shared" si="134"/>
        <v>10000</v>
      </c>
      <c r="I174" s="44">
        <f>C174*163</f>
        <v>16300</v>
      </c>
      <c r="J174" s="44">
        <f t="shared" si="135"/>
        <v>263</v>
      </c>
      <c r="K174" s="44">
        <f t="shared" si="136"/>
        <v>26300</v>
      </c>
    </row>
    <row r="175" spans="1:11" ht="15.75" customHeight="1" x14ac:dyDescent="0.25">
      <c r="A175" s="45">
        <v>43909</v>
      </c>
      <c r="B175" s="42" t="s">
        <v>16</v>
      </c>
      <c r="C175" s="11">
        <v>100</v>
      </c>
      <c r="D175" s="11" t="s">
        <v>11</v>
      </c>
      <c r="E175" s="46">
        <v>1680</v>
      </c>
      <c r="F175" s="46">
        <v>1737</v>
      </c>
      <c r="G175" s="46">
        <v>0</v>
      </c>
      <c r="H175" s="44">
        <f t="shared" si="134"/>
        <v>-5700</v>
      </c>
      <c r="I175" s="44">
        <v>0</v>
      </c>
      <c r="J175" s="44">
        <f t="shared" si="135"/>
        <v>-57</v>
      </c>
      <c r="K175" s="44">
        <f t="shared" si="136"/>
        <v>-5700</v>
      </c>
    </row>
    <row r="176" spans="1:11" ht="15.75" customHeight="1" x14ac:dyDescent="0.25">
      <c r="A176" s="45">
        <v>43909</v>
      </c>
      <c r="B176" s="42" t="s">
        <v>19</v>
      </c>
      <c r="C176" s="11">
        <v>100</v>
      </c>
      <c r="D176" s="11" t="s">
        <v>11</v>
      </c>
      <c r="E176" s="46">
        <v>39600</v>
      </c>
      <c r="F176" s="46">
        <v>39690</v>
      </c>
      <c r="G176" s="46">
        <v>0</v>
      </c>
      <c r="H176" s="44">
        <f t="shared" si="134"/>
        <v>-9000</v>
      </c>
      <c r="I176" s="44">
        <v>0</v>
      </c>
      <c r="J176" s="44">
        <f t="shared" si="135"/>
        <v>-90</v>
      </c>
      <c r="K176" s="44">
        <f t="shared" si="136"/>
        <v>-9000</v>
      </c>
    </row>
    <row r="177" spans="1:11" ht="15.75" customHeight="1" x14ac:dyDescent="0.25">
      <c r="A177" s="45">
        <v>43908</v>
      </c>
      <c r="B177" s="42" t="s">
        <v>71</v>
      </c>
      <c r="C177" s="11">
        <v>1000</v>
      </c>
      <c r="D177" s="11" t="s">
        <v>11</v>
      </c>
      <c r="E177" s="46">
        <v>141.80000000000001</v>
      </c>
      <c r="F177" s="46">
        <v>141</v>
      </c>
      <c r="G177" s="46">
        <v>139.80000000000001</v>
      </c>
      <c r="H177" s="44">
        <f t="shared" si="134"/>
        <v>800.00000000001137</v>
      </c>
      <c r="I177" s="44">
        <f>C177*1.2</f>
        <v>1200</v>
      </c>
      <c r="J177" s="44">
        <f t="shared" si="135"/>
        <v>2.0000000000000115</v>
      </c>
      <c r="K177" s="44">
        <f t="shared" si="136"/>
        <v>2000.0000000000116</v>
      </c>
    </row>
    <row r="178" spans="1:11" ht="15.75" customHeight="1" x14ac:dyDescent="0.25">
      <c r="A178" s="45">
        <v>43906</v>
      </c>
      <c r="B178" s="42" t="s">
        <v>19</v>
      </c>
      <c r="C178" s="11">
        <v>100</v>
      </c>
      <c r="D178" s="11" t="s">
        <v>11</v>
      </c>
      <c r="E178" s="46">
        <v>39250</v>
      </c>
      <c r="F178" s="46">
        <v>39150</v>
      </c>
      <c r="G178" s="46">
        <v>39010</v>
      </c>
      <c r="H178" s="44">
        <f t="shared" si="134"/>
        <v>10000</v>
      </c>
      <c r="I178" s="44">
        <f>C178*140</f>
        <v>14000</v>
      </c>
      <c r="J178" s="44">
        <f t="shared" si="135"/>
        <v>240</v>
      </c>
      <c r="K178" s="44">
        <f t="shared" si="136"/>
        <v>24000</v>
      </c>
    </row>
    <row r="179" spans="1:11" ht="15.75" customHeight="1" x14ac:dyDescent="0.25">
      <c r="A179" s="45">
        <v>43903</v>
      </c>
      <c r="B179" s="42" t="s">
        <v>16</v>
      </c>
      <c r="C179" s="11">
        <v>100</v>
      </c>
      <c r="D179" s="11" t="s">
        <v>10</v>
      </c>
      <c r="E179" s="46">
        <v>2425</v>
      </c>
      <c r="F179" s="46">
        <v>2380</v>
      </c>
      <c r="G179" s="46">
        <v>0</v>
      </c>
      <c r="H179" s="44">
        <f t="shared" si="134"/>
        <v>-4500</v>
      </c>
      <c r="I179" s="44">
        <v>0</v>
      </c>
      <c r="J179" s="44">
        <f t="shared" si="135"/>
        <v>-45</v>
      </c>
      <c r="K179" s="44">
        <f t="shared" si="136"/>
        <v>-4500</v>
      </c>
    </row>
    <row r="180" spans="1:11" ht="15.75" customHeight="1" x14ac:dyDescent="0.25">
      <c r="A180" s="45">
        <v>43902</v>
      </c>
      <c r="B180" s="42" t="s">
        <v>19</v>
      </c>
      <c r="C180" s="11">
        <v>100</v>
      </c>
      <c r="D180" s="11" t="s">
        <v>10</v>
      </c>
      <c r="E180" s="46">
        <v>43490</v>
      </c>
      <c r="F180" s="46">
        <v>43580</v>
      </c>
      <c r="G180" s="46">
        <v>0</v>
      </c>
      <c r="H180" s="44">
        <f t="shared" si="134"/>
        <v>9000</v>
      </c>
      <c r="I180" s="44">
        <v>0</v>
      </c>
      <c r="J180" s="44">
        <f t="shared" si="135"/>
        <v>90</v>
      </c>
      <c r="K180" s="44">
        <f t="shared" si="136"/>
        <v>9000</v>
      </c>
    </row>
    <row r="181" spans="1:11" ht="15.75" customHeight="1" x14ac:dyDescent="0.25">
      <c r="A181" s="45">
        <v>43899</v>
      </c>
      <c r="B181" s="42" t="s">
        <v>16</v>
      </c>
      <c r="C181" s="11">
        <v>100</v>
      </c>
      <c r="D181" s="11" t="s">
        <v>10</v>
      </c>
      <c r="E181" s="46">
        <v>2420</v>
      </c>
      <c r="F181" s="46">
        <v>2460</v>
      </c>
      <c r="G181" s="46">
        <v>2510</v>
      </c>
      <c r="H181" s="44">
        <f t="shared" si="134"/>
        <v>4000</v>
      </c>
      <c r="I181" s="44">
        <f>C181*50</f>
        <v>5000</v>
      </c>
      <c r="J181" s="44">
        <f t="shared" si="135"/>
        <v>90</v>
      </c>
      <c r="K181" s="44">
        <f t="shared" si="136"/>
        <v>9000</v>
      </c>
    </row>
    <row r="182" spans="1:11" ht="15.75" customHeight="1" x14ac:dyDescent="0.25">
      <c r="A182" s="45">
        <v>43896</v>
      </c>
      <c r="B182" s="42" t="s">
        <v>19</v>
      </c>
      <c r="C182" s="11">
        <v>100</v>
      </c>
      <c r="D182" s="11" t="s">
        <v>10</v>
      </c>
      <c r="E182" s="46">
        <v>44895</v>
      </c>
      <c r="F182" s="46">
        <v>44780</v>
      </c>
      <c r="G182" s="46">
        <v>0</v>
      </c>
      <c r="H182" s="44">
        <f t="shared" si="134"/>
        <v>-11500</v>
      </c>
      <c r="I182" s="44">
        <v>0</v>
      </c>
      <c r="J182" s="44">
        <f t="shared" si="135"/>
        <v>-115</v>
      </c>
      <c r="K182" s="44">
        <f t="shared" si="136"/>
        <v>-11500</v>
      </c>
    </row>
    <row r="183" spans="1:11" ht="15.75" customHeight="1" x14ac:dyDescent="0.25">
      <c r="A183" s="45">
        <v>43893</v>
      </c>
      <c r="B183" s="42" t="s">
        <v>16</v>
      </c>
      <c r="C183" s="11">
        <v>100</v>
      </c>
      <c r="D183" s="11" t="s">
        <v>10</v>
      </c>
      <c r="E183" s="46">
        <v>3505</v>
      </c>
      <c r="F183" s="46">
        <v>3525</v>
      </c>
      <c r="G183" s="46">
        <v>3555</v>
      </c>
      <c r="H183" s="44">
        <f t="shared" si="134"/>
        <v>2000</v>
      </c>
      <c r="I183" s="44">
        <f>C183*30</f>
        <v>3000</v>
      </c>
      <c r="J183" s="44">
        <f t="shared" si="135"/>
        <v>50</v>
      </c>
      <c r="K183" s="44">
        <f t="shared" si="136"/>
        <v>5000</v>
      </c>
    </row>
    <row r="184" spans="1:11" ht="15.75" customHeight="1" x14ac:dyDescent="0.25">
      <c r="A184" s="45">
        <v>43893</v>
      </c>
      <c r="B184" s="42" t="s">
        <v>19</v>
      </c>
      <c r="C184" s="11">
        <v>100</v>
      </c>
      <c r="D184" s="11" t="s">
        <v>10</v>
      </c>
      <c r="E184" s="46">
        <v>42450</v>
      </c>
      <c r="F184" s="46">
        <v>42350</v>
      </c>
      <c r="G184" s="46">
        <v>0</v>
      </c>
      <c r="H184" s="44">
        <f t="shared" si="134"/>
        <v>-10000</v>
      </c>
      <c r="I184" s="44">
        <v>0</v>
      </c>
      <c r="J184" s="44">
        <f t="shared" si="135"/>
        <v>-100</v>
      </c>
      <c r="K184" s="44">
        <f t="shared" si="136"/>
        <v>-10000</v>
      </c>
    </row>
    <row r="185" spans="1:11" ht="15.75" customHeight="1" x14ac:dyDescent="0.25">
      <c r="A185" s="45">
        <v>43892</v>
      </c>
      <c r="B185" s="42" t="s">
        <v>19</v>
      </c>
      <c r="C185" s="11">
        <v>100</v>
      </c>
      <c r="D185" s="11" t="s">
        <v>10</v>
      </c>
      <c r="E185" s="46">
        <v>42210</v>
      </c>
      <c r="F185" s="46">
        <v>42300</v>
      </c>
      <c r="G185" s="46">
        <v>0</v>
      </c>
      <c r="H185" s="44">
        <f t="shared" si="134"/>
        <v>9000</v>
      </c>
      <c r="I185" s="44">
        <v>0</v>
      </c>
      <c r="J185" s="44">
        <f t="shared" si="135"/>
        <v>90</v>
      </c>
      <c r="K185" s="44">
        <f t="shared" si="136"/>
        <v>9000</v>
      </c>
    </row>
    <row r="186" spans="1:11" ht="15.75" customHeight="1" x14ac:dyDescent="0.25">
      <c r="A186" s="45">
        <v>43887</v>
      </c>
      <c r="B186" s="42" t="s">
        <v>19</v>
      </c>
      <c r="C186" s="11">
        <v>100</v>
      </c>
      <c r="D186" s="11" t="s">
        <v>10</v>
      </c>
      <c r="E186" s="46">
        <v>42820</v>
      </c>
      <c r="F186" s="46">
        <v>42720</v>
      </c>
      <c r="G186" s="46">
        <v>0</v>
      </c>
      <c r="H186" s="44">
        <f t="shared" si="134"/>
        <v>-10000</v>
      </c>
      <c r="I186" s="44">
        <v>0</v>
      </c>
      <c r="J186" s="44">
        <f t="shared" si="135"/>
        <v>-100</v>
      </c>
      <c r="K186" s="44">
        <f t="shared" si="136"/>
        <v>-10000</v>
      </c>
    </row>
    <row r="187" spans="1:11" ht="15.75" customHeight="1" x14ac:dyDescent="0.25">
      <c r="A187" s="45">
        <v>43886</v>
      </c>
      <c r="B187" s="42" t="s">
        <v>19</v>
      </c>
      <c r="C187" s="11">
        <v>100</v>
      </c>
      <c r="D187" s="11" t="s">
        <v>11</v>
      </c>
      <c r="E187" s="46">
        <v>42670</v>
      </c>
      <c r="F187" s="46">
        <v>42590</v>
      </c>
      <c r="G187" s="46">
        <v>42450</v>
      </c>
      <c r="H187" s="44">
        <f t="shared" si="134"/>
        <v>8000</v>
      </c>
      <c r="I187" s="44">
        <f>C187*140</f>
        <v>14000</v>
      </c>
      <c r="J187" s="44">
        <f t="shared" si="135"/>
        <v>220</v>
      </c>
      <c r="K187" s="44">
        <f t="shared" si="136"/>
        <v>22000</v>
      </c>
    </row>
    <row r="188" spans="1:11" ht="15.75" customHeight="1" x14ac:dyDescent="0.25">
      <c r="A188" s="45">
        <v>43885</v>
      </c>
      <c r="B188" s="42" t="s">
        <v>19</v>
      </c>
      <c r="C188" s="11">
        <v>100</v>
      </c>
      <c r="D188" s="11" t="s">
        <v>10</v>
      </c>
      <c r="E188" s="46">
        <v>43110</v>
      </c>
      <c r="F188" s="46">
        <v>43200</v>
      </c>
      <c r="G188" s="46">
        <v>43320</v>
      </c>
      <c r="H188" s="44">
        <f t="shared" si="134"/>
        <v>9000</v>
      </c>
      <c r="I188" s="44">
        <f>C188*120</f>
        <v>12000</v>
      </c>
      <c r="J188" s="44">
        <f t="shared" si="135"/>
        <v>210</v>
      </c>
      <c r="K188" s="44">
        <f t="shared" si="136"/>
        <v>21000</v>
      </c>
    </row>
    <row r="189" spans="1:11" ht="15.75" customHeight="1" x14ac:dyDescent="0.25">
      <c r="A189" s="45">
        <v>43881</v>
      </c>
      <c r="B189" s="42" t="s">
        <v>21</v>
      </c>
      <c r="C189" s="11">
        <v>1500</v>
      </c>
      <c r="D189" s="11" t="s">
        <v>11</v>
      </c>
      <c r="E189" s="46">
        <v>941</v>
      </c>
      <c r="F189" s="46">
        <v>938.5</v>
      </c>
      <c r="G189" s="46">
        <v>0</v>
      </c>
      <c r="H189" s="44">
        <f t="shared" si="134"/>
        <v>3750</v>
      </c>
      <c r="I189" s="44">
        <v>0</v>
      </c>
      <c r="J189" s="44">
        <f t="shared" si="135"/>
        <v>2.5</v>
      </c>
      <c r="K189" s="44">
        <f t="shared" si="136"/>
        <v>3750</v>
      </c>
    </row>
    <row r="190" spans="1:11" ht="15.75" customHeight="1" x14ac:dyDescent="0.25">
      <c r="A190" s="45">
        <v>43879</v>
      </c>
      <c r="B190" s="42" t="s">
        <v>19</v>
      </c>
      <c r="C190" s="11">
        <v>100</v>
      </c>
      <c r="D190" s="11" t="s">
        <v>10</v>
      </c>
      <c r="E190" s="46">
        <v>41070</v>
      </c>
      <c r="F190" s="46">
        <v>41170</v>
      </c>
      <c r="G190" s="46">
        <v>0</v>
      </c>
      <c r="H190" s="44">
        <f t="shared" si="134"/>
        <v>10000</v>
      </c>
      <c r="I190" s="44">
        <v>0</v>
      </c>
      <c r="J190" s="44">
        <f t="shared" si="135"/>
        <v>100</v>
      </c>
      <c r="K190" s="44">
        <f t="shared" si="136"/>
        <v>10000</v>
      </c>
    </row>
    <row r="191" spans="1:11" ht="15.75" customHeight="1" x14ac:dyDescent="0.25">
      <c r="A191" s="45">
        <v>43875</v>
      </c>
      <c r="B191" s="42" t="s">
        <v>19</v>
      </c>
      <c r="C191" s="11">
        <v>100</v>
      </c>
      <c r="D191" s="11" t="s">
        <v>10</v>
      </c>
      <c r="E191" s="46">
        <v>40735</v>
      </c>
      <c r="F191" s="46">
        <v>40820</v>
      </c>
      <c r="G191" s="46">
        <v>0</v>
      </c>
      <c r="H191" s="44">
        <f t="shared" si="134"/>
        <v>8500</v>
      </c>
      <c r="I191" s="44">
        <v>0</v>
      </c>
      <c r="J191" s="44">
        <f t="shared" si="135"/>
        <v>85</v>
      </c>
      <c r="K191" s="44">
        <f t="shared" si="136"/>
        <v>8500</v>
      </c>
    </row>
    <row r="192" spans="1:11" ht="15.75" customHeight="1" x14ac:dyDescent="0.25">
      <c r="A192" s="45">
        <v>43874</v>
      </c>
      <c r="B192" s="42" t="s">
        <v>14</v>
      </c>
      <c r="C192" s="11">
        <v>30</v>
      </c>
      <c r="D192" s="11" t="s">
        <v>10</v>
      </c>
      <c r="E192" s="46">
        <v>45957</v>
      </c>
      <c r="F192" s="46">
        <v>45799</v>
      </c>
      <c r="G192" s="46">
        <v>0</v>
      </c>
      <c r="H192" s="44">
        <f t="shared" si="134"/>
        <v>-4740</v>
      </c>
      <c r="I192" s="44">
        <v>0</v>
      </c>
      <c r="J192" s="44">
        <f t="shared" si="135"/>
        <v>-158</v>
      </c>
      <c r="K192" s="44">
        <f t="shared" si="136"/>
        <v>-4740</v>
      </c>
    </row>
    <row r="193" spans="1:11" ht="15.75" customHeight="1" x14ac:dyDescent="0.25">
      <c r="A193" s="45">
        <v>43872</v>
      </c>
      <c r="B193" s="42" t="s">
        <v>19</v>
      </c>
      <c r="C193" s="11">
        <v>100</v>
      </c>
      <c r="D193" s="11" t="s">
        <v>10</v>
      </c>
      <c r="E193" s="46">
        <v>40540</v>
      </c>
      <c r="F193" s="46">
        <v>40450</v>
      </c>
      <c r="G193" s="46">
        <v>0</v>
      </c>
      <c r="H193" s="44">
        <f t="shared" si="134"/>
        <v>-9000</v>
      </c>
      <c r="I193" s="44">
        <v>0</v>
      </c>
      <c r="J193" s="44">
        <f t="shared" si="135"/>
        <v>-90</v>
      </c>
      <c r="K193" s="44">
        <f t="shared" si="136"/>
        <v>-9000</v>
      </c>
    </row>
    <row r="194" spans="1:11" ht="15.75" customHeight="1" x14ac:dyDescent="0.25">
      <c r="A194" s="45">
        <v>43868</v>
      </c>
      <c r="B194" s="42" t="s">
        <v>19</v>
      </c>
      <c r="C194" s="11">
        <v>100</v>
      </c>
      <c r="D194" s="11" t="s">
        <v>10</v>
      </c>
      <c r="E194" s="46">
        <v>40500</v>
      </c>
      <c r="F194" s="46">
        <v>40580</v>
      </c>
      <c r="G194" s="46">
        <v>0</v>
      </c>
      <c r="H194" s="44">
        <f t="shared" si="134"/>
        <v>8000</v>
      </c>
      <c r="I194" s="44">
        <v>0</v>
      </c>
      <c r="J194" s="44">
        <f t="shared" si="135"/>
        <v>80</v>
      </c>
      <c r="K194" s="44">
        <f t="shared" si="136"/>
        <v>8000</v>
      </c>
    </row>
    <row r="195" spans="1:11" ht="15.75" customHeight="1" x14ac:dyDescent="0.25">
      <c r="A195" s="45">
        <v>43867</v>
      </c>
      <c r="B195" s="42" t="s">
        <v>14</v>
      </c>
      <c r="C195" s="11">
        <v>30</v>
      </c>
      <c r="D195" s="11" t="s">
        <v>10</v>
      </c>
      <c r="E195" s="46">
        <v>46020</v>
      </c>
      <c r="F195" s="46">
        <v>46160</v>
      </c>
      <c r="G195" s="46">
        <v>0</v>
      </c>
      <c r="H195" s="44">
        <f t="shared" ref="H195:H226" si="137">(IF(D195="SELL",E195-F195,IF(D195="BUY",F195-E195)))*C195</f>
        <v>4200</v>
      </c>
      <c r="I195" s="44">
        <v>0</v>
      </c>
      <c r="J195" s="44">
        <f t="shared" ref="J195:J226" si="138">(I195+H195)/C195</f>
        <v>140</v>
      </c>
      <c r="K195" s="44">
        <f t="shared" ref="K195:K226" si="139">J195*C195</f>
        <v>4200</v>
      </c>
    </row>
    <row r="196" spans="1:11" ht="15.75" customHeight="1" x14ac:dyDescent="0.25">
      <c r="A196" s="45">
        <v>43866</v>
      </c>
      <c r="B196" s="42" t="s">
        <v>14</v>
      </c>
      <c r="C196" s="11">
        <v>30</v>
      </c>
      <c r="D196" s="11" t="s">
        <v>11</v>
      </c>
      <c r="E196" s="46">
        <v>45550</v>
      </c>
      <c r="F196" s="46">
        <v>45410</v>
      </c>
      <c r="G196" s="46">
        <v>0</v>
      </c>
      <c r="H196" s="44">
        <f t="shared" si="137"/>
        <v>4200</v>
      </c>
      <c r="I196" s="44">
        <v>0</v>
      </c>
      <c r="J196" s="44">
        <f t="shared" si="138"/>
        <v>140</v>
      </c>
      <c r="K196" s="44">
        <f t="shared" si="139"/>
        <v>4200</v>
      </c>
    </row>
    <row r="197" spans="1:11" ht="15.75" customHeight="1" x14ac:dyDescent="0.25">
      <c r="A197" s="45">
        <v>43865</v>
      </c>
      <c r="B197" s="42" t="s">
        <v>19</v>
      </c>
      <c r="C197" s="11">
        <v>100</v>
      </c>
      <c r="D197" s="11" t="s">
        <v>11</v>
      </c>
      <c r="E197" s="46">
        <v>40500</v>
      </c>
      <c r="F197" s="46">
        <v>40410</v>
      </c>
      <c r="G197" s="46">
        <v>40280</v>
      </c>
      <c r="H197" s="44">
        <f t="shared" si="137"/>
        <v>9000</v>
      </c>
      <c r="I197" s="44">
        <f>C197*130</f>
        <v>13000</v>
      </c>
      <c r="J197" s="44">
        <f t="shared" si="138"/>
        <v>220</v>
      </c>
      <c r="K197" s="44">
        <f t="shared" si="139"/>
        <v>22000</v>
      </c>
    </row>
    <row r="198" spans="1:11" ht="15.75" customHeight="1" x14ac:dyDescent="0.25">
      <c r="A198" s="45">
        <v>43864</v>
      </c>
      <c r="B198" s="42" t="s">
        <v>19</v>
      </c>
      <c r="C198" s="11">
        <v>100</v>
      </c>
      <c r="D198" s="11" t="s">
        <v>11</v>
      </c>
      <c r="E198" s="46">
        <v>40890</v>
      </c>
      <c r="F198" s="46">
        <v>40810</v>
      </c>
      <c r="G198" s="46">
        <v>40700</v>
      </c>
      <c r="H198" s="44">
        <f t="shared" si="137"/>
        <v>8000</v>
      </c>
      <c r="I198" s="44">
        <f>C198*110</f>
        <v>11000</v>
      </c>
      <c r="J198" s="44">
        <f t="shared" si="138"/>
        <v>190</v>
      </c>
      <c r="K198" s="44">
        <f t="shared" si="139"/>
        <v>19000</v>
      </c>
    </row>
    <row r="199" spans="1:11" ht="15.75" customHeight="1" x14ac:dyDescent="0.25">
      <c r="A199" s="45">
        <v>43862</v>
      </c>
      <c r="B199" s="42" t="s">
        <v>19</v>
      </c>
      <c r="C199" s="11">
        <v>100</v>
      </c>
      <c r="D199" s="11" t="s">
        <v>10</v>
      </c>
      <c r="E199" s="46">
        <v>41170</v>
      </c>
      <c r="F199" s="46">
        <v>41205</v>
      </c>
      <c r="G199" s="46">
        <v>0</v>
      </c>
      <c r="H199" s="44">
        <f t="shared" si="137"/>
        <v>3500</v>
      </c>
      <c r="I199" s="44">
        <v>0</v>
      </c>
      <c r="J199" s="44">
        <f t="shared" si="138"/>
        <v>35</v>
      </c>
      <c r="K199" s="44">
        <f t="shared" si="139"/>
        <v>3500</v>
      </c>
    </row>
    <row r="200" spans="1:11" ht="15.75" customHeight="1" x14ac:dyDescent="0.25">
      <c r="A200" s="45">
        <v>43861</v>
      </c>
      <c r="B200" s="42" t="s">
        <v>19</v>
      </c>
      <c r="C200" s="11">
        <v>100</v>
      </c>
      <c r="D200" s="11" t="s">
        <v>10</v>
      </c>
      <c r="E200" s="46">
        <v>40840</v>
      </c>
      <c r="F200" s="46">
        <v>40920</v>
      </c>
      <c r="G200" s="46">
        <v>0</v>
      </c>
      <c r="H200" s="44">
        <f t="shared" si="137"/>
        <v>8000</v>
      </c>
      <c r="I200" s="44">
        <v>0</v>
      </c>
      <c r="J200" s="44">
        <f t="shared" si="138"/>
        <v>80</v>
      </c>
      <c r="K200" s="44">
        <f t="shared" si="139"/>
        <v>8000</v>
      </c>
    </row>
    <row r="201" spans="1:11" ht="15.75" customHeight="1" x14ac:dyDescent="0.25">
      <c r="A201" s="45">
        <v>43860</v>
      </c>
      <c r="B201" s="42" t="s">
        <v>14</v>
      </c>
      <c r="C201" s="11">
        <v>30</v>
      </c>
      <c r="D201" s="11" t="s">
        <v>10</v>
      </c>
      <c r="E201" s="46">
        <v>46170</v>
      </c>
      <c r="F201" s="46">
        <v>46300</v>
      </c>
      <c r="G201" s="46">
        <v>0</v>
      </c>
      <c r="H201" s="44">
        <f t="shared" si="137"/>
        <v>3900</v>
      </c>
      <c r="I201" s="44">
        <v>0</v>
      </c>
      <c r="J201" s="44">
        <f t="shared" si="138"/>
        <v>130</v>
      </c>
      <c r="K201" s="44">
        <f t="shared" si="139"/>
        <v>3900</v>
      </c>
    </row>
    <row r="202" spans="1:11" ht="15.75" customHeight="1" x14ac:dyDescent="0.25">
      <c r="A202" s="45">
        <v>43860</v>
      </c>
      <c r="B202" s="42" t="s">
        <v>19</v>
      </c>
      <c r="C202" s="11">
        <v>100</v>
      </c>
      <c r="D202" s="11" t="s">
        <v>10</v>
      </c>
      <c r="E202" s="46">
        <v>40680</v>
      </c>
      <c r="F202" s="46">
        <v>40770</v>
      </c>
      <c r="G202" s="46">
        <v>0</v>
      </c>
      <c r="H202" s="44">
        <f t="shared" si="137"/>
        <v>9000</v>
      </c>
      <c r="I202" s="44">
        <v>0</v>
      </c>
      <c r="J202" s="44">
        <f t="shared" si="138"/>
        <v>90</v>
      </c>
      <c r="K202" s="44">
        <f t="shared" si="139"/>
        <v>9000</v>
      </c>
    </row>
    <row r="203" spans="1:11" ht="15.75" customHeight="1" x14ac:dyDescent="0.25">
      <c r="A203" s="45">
        <v>43859</v>
      </c>
      <c r="B203" s="42" t="s">
        <v>19</v>
      </c>
      <c r="C203" s="11">
        <v>100</v>
      </c>
      <c r="D203" s="11" t="s">
        <v>10</v>
      </c>
      <c r="E203" s="46">
        <v>40210</v>
      </c>
      <c r="F203" s="46">
        <v>40290</v>
      </c>
      <c r="G203" s="46">
        <v>0</v>
      </c>
      <c r="H203" s="44">
        <f t="shared" si="137"/>
        <v>8000</v>
      </c>
      <c r="I203" s="44">
        <v>0</v>
      </c>
      <c r="J203" s="44">
        <f t="shared" si="138"/>
        <v>80</v>
      </c>
      <c r="K203" s="44">
        <f t="shared" si="139"/>
        <v>8000</v>
      </c>
    </row>
    <row r="204" spans="1:11" ht="15.75" customHeight="1" x14ac:dyDescent="0.25">
      <c r="A204" s="45">
        <v>43858</v>
      </c>
      <c r="B204" s="42" t="s">
        <v>19</v>
      </c>
      <c r="C204" s="11">
        <v>100</v>
      </c>
      <c r="D204" s="11" t="s">
        <v>11</v>
      </c>
      <c r="E204" s="46">
        <v>40410</v>
      </c>
      <c r="F204" s="46">
        <v>40330</v>
      </c>
      <c r="G204" s="46">
        <v>0</v>
      </c>
      <c r="H204" s="44">
        <f t="shared" si="137"/>
        <v>8000</v>
      </c>
      <c r="I204" s="44">
        <v>0</v>
      </c>
      <c r="J204" s="44">
        <f t="shared" si="138"/>
        <v>80</v>
      </c>
      <c r="K204" s="44">
        <f t="shared" si="139"/>
        <v>8000</v>
      </c>
    </row>
    <row r="205" spans="1:11" ht="15.75" customHeight="1" x14ac:dyDescent="0.25">
      <c r="A205" s="45">
        <v>43857</v>
      </c>
      <c r="B205" s="42" t="s">
        <v>14</v>
      </c>
      <c r="C205" s="11">
        <v>30</v>
      </c>
      <c r="D205" s="11" t="s">
        <v>10</v>
      </c>
      <c r="E205" s="46">
        <v>47430</v>
      </c>
      <c r="F205" s="46">
        <v>47540</v>
      </c>
      <c r="G205" s="46">
        <v>0</v>
      </c>
      <c r="H205" s="44">
        <f t="shared" si="137"/>
        <v>3300</v>
      </c>
      <c r="I205" s="44">
        <v>0</v>
      </c>
      <c r="J205" s="44">
        <f t="shared" si="138"/>
        <v>110</v>
      </c>
      <c r="K205" s="44">
        <f t="shared" si="139"/>
        <v>3300</v>
      </c>
    </row>
    <row r="206" spans="1:11" ht="15.75" customHeight="1" x14ac:dyDescent="0.25">
      <c r="A206" s="45">
        <v>43853</v>
      </c>
      <c r="B206" s="42" t="s">
        <v>16</v>
      </c>
      <c r="C206" s="11">
        <v>100</v>
      </c>
      <c r="D206" s="11" t="s">
        <v>11</v>
      </c>
      <c r="E206" s="46">
        <v>3950</v>
      </c>
      <c r="F206" s="46">
        <v>3917</v>
      </c>
      <c r="G206" s="46">
        <v>0</v>
      </c>
      <c r="H206" s="44">
        <f t="shared" si="137"/>
        <v>3300</v>
      </c>
      <c r="I206" s="44">
        <v>0</v>
      </c>
      <c r="J206" s="44">
        <f t="shared" si="138"/>
        <v>33</v>
      </c>
      <c r="K206" s="44">
        <f t="shared" si="139"/>
        <v>3300</v>
      </c>
    </row>
    <row r="207" spans="1:11" ht="15.75" customHeight="1" x14ac:dyDescent="0.25">
      <c r="A207" s="45">
        <v>43852</v>
      </c>
      <c r="B207" s="42" t="s">
        <v>16</v>
      </c>
      <c r="C207" s="11">
        <v>100</v>
      </c>
      <c r="D207" s="11" t="s">
        <v>11</v>
      </c>
      <c r="E207" s="46">
        <v>4140</v>
      </c>
      <c r="F207" s="46">
        <v>4105</v>
      </c>
      <c r="G207" s="46">
        <v>4055</v>
      </c>
      <c r="H207" s="44">
        <f t="shared" si="137"/>
        <v>3500</v>
      </c>
      <c r="I207" s="44">
        <f>C207*50</f>
        <v>5000</v>
      </c>
      <c r="J207" s="44">
        <f t="shared" si="138"/>
        <v>85</v>
      </c>
      <c r="K207" s="44">
        <f t="shared" si="139"/>
        <v>8500</v>
      </c>
    </row>
    <row r="208" spans="1:11" ht="15.75" customHeight="1" x14ac:dyDescent="0.25">
      <c r="A208" s="45">
        <v>43847</v>
      </c>
      <c r="B208" s="42" t="s">
        <v>19</v>
      </c>
      <c r="C208" s="11">
        <v>100</v>
      </c>
      <c r="D208" s="11" t="s">
        <v>10</v>
      </c>
      <c r="E208" s="46">
        <v>39870</v>
      </c>
      <c r="F208" s="46">
        <v>39950</v>
      </c>
      <c r="G208" s="46">
        <v>0</v>
      </c>
      <c r="H208" s="44">
        <f t="shared" si="137"/>
        <v>8000</v>
      </c>
      <c r="I208" s="44">
        <v>0</v>
      </c>
      <c r="J208" s="44">
        <f t="shared" si="138"/>
        <v>80</v>
      </c>
      <c r="K208" s="44">
        <f t="shared" si="139"/>
        <v>8000</v>
      </c>
    </row>
    <row r="209" spans="1:11" ht="15.75" customHeight="1" x14ac:dyDescent="0.25">
      <c r="A209" s="45">
        <v>43847</v>
      </c>
      <c r="B209" s="42" t="s">
        <v>18</v>
      </c>
      <c r="C209" s="11">
        <v>2500</v>
      </c>
      <c r="D209" s="11" t="s">
        <v>10</v>
      </c>
      <c r="E209" s="46">
        <v>453.5</v>
      </c>
      <c r="F209" s="46">
        <v>455.5</v>
      </c>
      <c r="G209" s="46">
        <v>0</v>
      </c>
      <c r="H209" s="44">
        <f t="shared" si="137"/>
        <v>5000</v>
      </c>
      <c r="I209" s="44">
        <v>0</v>
      </c>
      <c r="J209" s="44">
        <f t="shared" si="138"/>
        <v>2</v>
      </c>
      <c r="K209" s="44">
        <f t="shared" si="139"/>
        <v>5000</v>
      </c>
    </row>
    <row r="210" spans="1:11" ht="15.75" customHeight="1" x14ac:dyDescent="0.25">
      <c r="A210" s="45">
        <v>43847</v>
      </c>
      <c r="B210" s="42" t="s">
        <v>21</v>
      </c>
      <c r="C210" s="11">
        <v>1500</v>
      </c>
      <c r="D210" s="11" t="s">
        <v>10</v>
      </c>
      <c r="E210" s="46">
        <v>1024.5</v>
      </c>
      <c r="F210" s="46">
        <v>1025.9000000000001</v>
      </c>
      <c r="G210" s="46">
        <v>0</v>
      </c>
      <c r="H210" s="44">
        <f t="shared" si="137"/>
        <v>2100.0000000001364</v>
      </c>
      <c r="I210" s="44">
        <v>0</v>
      </c>
      <c r="J210" s="44">
        <f t="shared" si="138"/>
        <v>1.4000000000000909</v>
      </c>
      <c r="K210" s="44">
        <f t="shared" si="139"/>
        <v>2100.0000000001364</v>
      </c>
    </row>
    <row r="211" spans="1:11" ht="15.75" customHeight="1" x14ac:dyDescent="0.25">
      <c r="A211" s="45">
        <v>43833</v>
      </c>
      <c r="B211" s="42" t="s">
        <v>16</v>
      </c>
      <c r="C211" s="11">
        <v>100</v>
      </c>
      <c r="D211" s="11" t="s">
        <v>10</v>
      </c>
      <c r="E211" s="46">
        <v>4550</v>
      </c>
      <c r="F211" s="46">
        <v>4590</v>
      </c>
      <c r="G211" s="46">
        <v>0</v>
      </c>
      <c r="H211" s="44">
        <f t="shared" si="137"/>
        <v>4000</v>
      </c>
      <c r="I211" s="44">
        <v>0</v>
      </c>
      <c r="J211" s="44">
        <f t="shared" si="138"/>
        <v>40</v>
      </c>
      <c r="K211" s="44">
        <f t="shared" si="139"/>
        <v>4000</v>
      </c>
    </row>
    <row r="212" spans="1:11" ht="15.75" customHeight="1" x14ac:dyDescent="0.25">
      <c r="A212" s="45">
        <v>43833</v>
      </c>
      <c r="B212" s="42" t="s">
        <v>19</v>
      </c>
      <c r="C212" s="11">
        <v>100</v>
      </c>
      <c r="D212" s="11" t="s">
        <v>10</v>
      </c>
      <c r="E212" s="46">
        <v>40000</v>
      </c>
      <c r="F212" s="46">
        <v>40100</v>
      </c>
      <c r="G212" s="46">
        <v>0</v>
      </c>
      <c r="H212" s="44">
        <f t="shared" si="137"/>
        <v>10000</v>
      </c>
      <c r="I212" s="44">
        <v>0</v>
      </c>
      <c r="J212" s="44">
        <f t="shared" si="138"/>
        <v>100</v>
      </c>
      <c r="K212" s="44">
        <f t="shared" si="139"/>
        <v>10000</v>
      </c>
    </row>
    <row r="213" spans="1:11" ht="15.75" customHeight="1" x14ac:dyDescent="0.25">
      <c r="A213" s="45">
        <v>43832</v>
      </c>
      <c r="B213" s="42" t="s">
        <v>19</v>
      </c>
      <c r="C213" s="11">
        <v>100</v>
      </c>
      <c r="D213" s="11" t="s">
        <v>10</v>
      </c>
      <c r="E213" s="46">
        <v>39180</v>
      </c>
      <c r="F213" s="46">
        <v>39270</v>
      </c>
      <c r="G213" s="46">
        <v>0</v>
      </c>
      <c r="H213" s="44">
        <f t="shared" si="137"/>
        <v>9000</v>
      </c>
      <c r="I213" s="44">
        <v>0</v>
      </c>
      <c r="J213" s="44">
        <f t="shared" si="138"/>
        <v>90</v>
      </c>
      <c r="K213" s="44">
        <f t="shared" si="139"/>
        <v>9000</v>
      </c>
    </row>
    <row r="214" spans="1:11" ht="15.75" customHeight="1" x14ac:dyDescent="0.25">
      <c r="A214" s="45">
        <v>43825</v>
      </c>
      <c r="B214" s="42" t="s">
        <v>16</v>
      </c>
      <c r="C214" s="11">
        <v>100</v>
      </c>
      <c r="D214" s="11" t="s">
        <v>10</v>
      </c>
      <c r="E214" s="46">
        <v>4380</v>
      </c>
      <c r="F214" s="46">
        <v>4410</v>
      </c>
      <c r="G214" s="46">
        <v>0</v>
      </c>
      <c r="H214" s="44">
        <f t="shared" si="137"/>
        <v>3000</v>
      </c>
      <c r="I214" s="44">
        <v>0</v>
      </c>
      <c r="J214" s="44">
        <f t="shared" si="138"/>
        <v>30</v>
      </c>
      <c r="K214" s="44">
        <f t="shared" si="139"/>
        <v>3000</v>
      </c>
    </row>
    <row r="215" spans="1:11" ht="15.75" customHeight="1" x14ac:dyDescent="0.25">
      <c r="A215" s="45">
        <v>43822</v>
      </c>
      <c r="B215" s="42" t="s">
        <v>14</v>
      </c>
      <c r="C215" s="11">
        <v>30</v>
      </c>
      <c r="D215" s="11" t="s">
        <v>10</v>
      </c>
      <c r="E215" s="46">
        <v>45250</v>
      </c>
      <c r="F215" s="46">
        <v>45400</v>
      </c>
      <c r="G215" s="46">
        <v>45600</v>
      </c>
      <c r="H215" s="44">
        <f t="shared" si="137"/>
        <v>4500</v>
      </c>
      <c r="I215" s="44">
        <f>C215*200</f>
        <v>6000</v>
      </c>
      <c r="J215" s="44">
        <f t="shared" si="138"/>
        <v>350</v>
      </c>
      <c r="K215" s="44">
        <f t="shared" si="139"/>
        <v>10500</v>
      </c>
    </row>
    <row r="216" spans="1:11" ht="15.75" customHeight="1" x14ac:dyDescent="0.25">
      <c r="A216" s="45">
        <v>43818</v>
      </c>
      <c r="B216" s="42" t="s">
        <v>19</v>
      </c>
      <c r="C216" s="11">
        <v>100</v>
      </c>
      <c r="D216" s="11" t="s">
        <v>11</v>
      </c>
      <c r="E216" s="46">
        <v>37900</v>
      </c>
      <c r="F216" s="46">
        <v>38000</v>
      </c>
      <c r="G216" s="46">
        <v>0</v>
      </c>
      <c r="H216" s="44">
        <f t="shared" si="137"/>
        <v>-10000</v>
      </c>
      <c r="I216" s="44">
        <v>0</v>
      </c>
      <c r="J216" s="44">
        <f t="shared" si="138"/>
        <v>-100</v>
      </c>
      <c r="K216" s="44">
        <f t="shared" si="139"/>
        <v>-10000</v>
      </c>
    </row>
    <row r="217" spans="1:11" ht="15.75" customHeight="1" x14ac:dyDescent="0.25">
      <c r="A217" s="45">
        <v>43815</v>
      </c>
      <c r="B217" s="42" t="s">
        <v>52</v>
      </c>
      <c r="C217" s="11">
        <v>1250</v>
      </c>
      <c r="D217" s="11" t="s">
        <v>10</v>
      </c>
      <c r="E217" s="46">
        <v>166.5</v>
      </c>
      <c r="F217" s="46">
        <v>168.2</v>
      </c>
      <c r="G217" s="46">
        <v>0</v>
      </c>
      <c r="H217" s="44">
        <f t="shared" si="137"/>
        <v>2124.9999999999859</v>
      </c>
      <c r="I217" s="44">
        <v>0</v>
      </c>
      <c r="J217" s="44">
        <f t="shared" si="138"/>
        <v>1.6999999999999886</v>
      </c>
      <c r="K217" s="44">
        <f t="shared" si="139"/>
        <v>2124.9999999999859</v>
      </c>
    </row>
    <row r="218" spans="1:11" ht="15.75" customHeight="1" x14ac:dyDescent="0.25">
      <c r="A218" s="45">
        <v>43812</v>
      </c>
      <c r="B218" s="42" t="s">
        <v>21</v>
      </c>
      <c r="C218" s="11">
        <v>1500</v>
      </c>
      <c r="D218" s="11" t="s">
        <v>10</v>
      </c>
      <c r="E218" s="46">
        <v>1031</v>
      </c>
      <c r="F218" s="46">
        <v>1035</v>
      </c>
      <c r="G218" s="46">
        <v>0</v>
      </c>
      <c r="H218" s="44">
        <f t="shared" si="137"/>
        <v>6000</v>
      </c>
      <c r="I218" s="44">
        <v>0</v>
      </c>
      <c r="J218" s="44">
        <f t="shared" si="138"/>
        <v>4</v>
      </c>
      <c r="K218" s="44">
        <f t="shared" si="139"/>
        <v>6000</v>
      </c>
    </row>
    <row r="219" spans="1:11" ht="15.75" customHeight="1" x14ac:dyDescent="0.25">
      <c r="A219" s="45">
        <v>43812</v>
      </c>
      <c r="B219" s="42" t="s">
        <v>17</v>
      </c>
      <c r="C219" s="11">
        <v>5000</v>
      </c>
      <c r="D219" s="11" t="s">
        <v>10</v>
      </c>
      <c r="E219" s="46">
        <v>184</v>
      </c>
      <c r="F219" s="46">
        <v>183</v>
      </c>
      <c r="G219" s="46">
        <v>0</v>
      </c>
      <c r="H219" s="44">
        <f t="shared" si="137"/>
        <v>-5000</v>
      </c>
      <c r="I219" s="44">
        <v>0</v>
      </c>
      <c r="J219" s="44">
        <f t="shared" si="138"/>
        <v>-1</v>
      </c>
      <c r="K219" s="44">
        <f t="shared" si="139"/>
        <v>-5000</v>
      </c>
    </row>
    <row r="220" spans="1:11" ht="15.75" customHeight="1" x14ac:dyDescent="0.25">
      <c r="A220" s="45">
        <v>43809</v>
      </c>
      <c r="B220" s="42" t="s">
        <v>18</v>
      </c>
      <c r="C220" s="11">
        <v>2500</v>
      </c>
      <c r="D220" s="11" t="s">
        <v>10</v>
      </c>
      <c r="E220" s="46">
        <v>438.6</v>
      </c>
      <c r="F220" s="46">
        <v>439.8</v>
      </c>
      <c r="G220" s="46">
        <v>0</v>
      </c>
      <c r="H220" s="44">
        <f t="shared" si="137"/>
        <v>2999.9999999999718</v>
      </c>
      <c r="I220" s="44">
        <v>0</v>
      </c>
      <c r="J220" s="44">
        <f t="shared" si="138"/>
        <v>1.1999999999999886</v>
      </c>
      <c r="K220" s="44">
        <f t="shared" si="139"/>
        <v>2999.9999999999718</v>
      </c>
    </row>
    <row r="221" spans="1:11" ht="15.75" customHeight="1" x14ac:dyDescent="0.25">
      <c r="A221" s="45">
        <v>43805</v>
      </c>
      <c r="B221" s="42" t="s">
        <v>18</v>
      </c>
      <c r="C221" s="11">
        <v>2500</v>
      </c>
      <c r="D221" s="11" t="s">
        <v>10</v>
      </c>
      <c r="E221" s="46">
        <v>433</v>
      </c>
      <c r="F221" s="46">
        <v>435</v>
      </c>
      <c r="G221" s="46">
        <v>0</v>
      </c>
      <c r="H221" s="44">
        <f t="shared" si="137"/>
        <v>5000</v>
      </c>
      <c r="I221" s="44">
        <v>0</v>
      </c>
      <c r="J221" s="44">
        <f t="shared" si="138"/>
        <v>2</v>
      </c>
      <c r="K221" s="44">
        <f t="shared" si="139"/>
        <v>5000</v>
      </c>
    </row>
    <row r="222" spans="1:11" ht="15.75" customHeight="1" x14ac:dyDescent="0.25">
      <c r="A222" s="45">
        <v>43802</v>
      </c>
      <c r="B222" s="42" t="s">
        <v>19</v>
      </c>
      <c r="C222" s="11">
        <v>100</v>
      </c>
      <c r="D222" s="11" t="s">
        <v>10</v>
      </c>
      <c r="E222" s="46">
        <v>38020</v>
      </c>
      <c r="F222" s="46">
        <v>38100</v>
      </c>
      <c r="G222" s="46">
        <v>38250</v>
      </c>
      <c r="H222" s="44">
        <f t="shared" si="137"/>
        <v>8000</v>
      </c>
      <c r="I222" s="44">
        <f>C222*150</f>
        <v>15000</v>
      </c>
      <c r="J222" s="44">
        <f t="shared" si="138"/>
        <v>230</v>
      </c>
      <c r="K222" s="44">
        <f t="shared" si="139"/>
        <v>23000</v>
      </c>
    </row>
    <row r="223" spans="1:11" ht="15.75" customHeight="1" x14ac:dyDescent="0.25">
      <c r="A223" s="45">
        <v>43802</v>
      </c>
      <c r="B223" s="42" t="s">
        <v>18</v>
      </c>
      <c r="C223" s="11">
        <v>2500</v>
      </c>
      <c r="D223" s="11" t="s">
        <v>11</v>
      </c>
      <c r="E223" s="46">
        <v>430</v>
      </c>
      <c r="F223" s="46">
        <v>428.5</v>
      </c>
      <c r="G223" s="46">
        <v>0</v>
      </c>
      <c r="H223" s="44">
        <f t="shared" si="137"/>
        <v>3750</v>
      </c>
      <c r="I223" s="44">
        <v>0</v>
      </c>
      <c r="J223" s="44">
        <f t="shared" si="138"/>
        <v>1.5</v>
      </c>
      <c r="K223" s="44">
        <f t="shared" si="139"/>
        <v>3750</v>
      </c>
    </row>
    <row r="224" spans="1:11" ht="15.75" customHeight="1" x14ac:dyDescent="0.25">
      <c r="A224" s="45">
        <v>43789</v>
      </c>
      <c r="B224" s="42" t="s">
        <v>19</v>
      </c>
      <c r="C224" s="11">
        <v>100</v>
      </c>
      <c r="D224" s="11" t="s">
        <v>10</v>
      </c>
      <c r="E224" s="46">
        <v>38316</v>
      </c>
      <c r="F224" s="46">
        <v>38210</v>
      </c>
      <c r="G224" s="46">
        <v>0</v>
      </c>
      <c r="H224" s="44">
        <f t="shared" si="137"/>
        <v>-10600</v>
      </c>
      <c r="I224" s="44">
        <v>0</v>
      </c>
      <c r="J224" s="44">
        <f t="shared" si="138"/>
        <v>-106</v>
      </c>
      <c r="K224" s="44">
        <f t="shared" si="139"/>
        <v>-10600</v>
      </c>
    </row>
    <row r="225" spans="1:11" ht="15.75" customHeight="1" x14ac:dyDescent="0.25">
      <c r="A225" s="45">
        <v>43787</v>
      </c>
      <c r="B225" s="42" t="s">
        <v>19</v>
      </c>
      <c r="C225" s="11">
        <v>100</v>
      </c>
      <c r="D225" s="11" t="s">
        <v>10</v>
      </c>
      <c r="E225" s="46">
        <v>38000</v>
      </c>
      <c r="F225" s="46">
        <v>38080</v>
      </c>
      <c r="G225" s="46">
        <v>38190</v>
      </c>
      <c r="H225" s="44">
        <f t="shared" si="137"/>
        <v>8000</v>
      </c>
      <c r="I225" s="44">
        <f>C225*110</f>
        <v>11000</v>
      </c>
      <c r="J225" s="44">
        <f t="shared" si="138"/>
        <v>190</v>
      </c>
      <c r="K225" s="44">
        <f t="shared" si="139"/>
        <v>19000</v>
      </c>
    </row>
    <row r="226" spans="1:11" ht="15.75" customHeight="1" x14ac:dyDescent="0.25">
      <c r="A226" s="45">
        <v>43783</v>
      </c>
      <c r="B226" s="42" t="s">
        <v>19</v>
      </c>
      <c r="C226" s="11">
        <v>100</v>
      </c>
      <c r="D226" s="11" t="s">
        <v>10</v>
      </c>
      <c r="E226" s="46">
        <v>38180</v>
      </c>
      <c r="F226" s="46">
        <v>38270</v>
      </c>
      <c r="G226" s="46">
        <v>0</v>
      </c>
      <c r="H226" s="44">
        <f t="shared" si="137"/>
        <v>9000</v>
      </c>
      <c r="I226" s="44">
        <v>0</v>
      </c>
      <c r="J226" s="44">
        <f t="shared" si="138"/>
        <v>90</v>
      </c>
      <c r="K226" s="44">
        <f t="shared" si="139"/>
        <v>9000</v>
      </c>
    </row>
    <row r="227" spans="1:11" ht="15.75" customHeight="1" x14ac:dyDescent="0.25">
      <c r="A227" s="45">
        <v>43783</v>
      </c>
      <c r="B227" s="42" t="s">
        <v>14</v>
      </c>
      <c r="C227" s="11">
        <v>30</v>
      </c>
      <c r="D227" s="11" t="s">
        <v>10</v>
      </c>
      <c r="E227" s="46">
        <v>44800</v>
      </c>
      <c r="F227" s="46">
        <v>44580</v>
      </c>
      <c r="G227" s="46">
        <v>0</v>
      </c>
      <c r="H227" s="44">
        <f t="shared" ref="H227:H258" si="140">(IF(D227="SELL",E227-F227,IF(D227="BUY",F227-E227)))*C227</f>
        <v>-6600</v>
      </c>
      <c r="I227" s="44">
        <v>0</v>
      </c>
      <c r="J227" s="44">
        <f t="shared" ref="J227:J258" si="141">(I227+H227)/C227</f>
        <v>-220</v>
      </c>
      <c r="K227" s="44">
        <f t="shared" ref="K227:K258" si="142">J227*C227</f>
        <v>-6600</v>
      </c>
    </row>
    <row r="228" spans="1:11" ht="15.75" customHeight="1" x14ac:dyDescent="0.25">
      <c r="A228" s="45">
        <v>43782</v>
      </c>
      <c r="B228" s="42" t="s">
        <v>19</v>
      </c>
      <c r="C228" s="11">
        <v>100</v>
      </c>
      <c r="D228" s="11" t="s">
        <v>10</v>
      </c>
      <c r="E228" s="46">
        <v>38000</v>
      </c>
      <c r="F228" s="46">
        <v>38100</v>
      </c>
      <c r="G228" s="46">
        <v>0</v>
      </c>
      <c r="H228" s="44">
        <f t="shared" si="140"/>
        <v>10000</v>
      </c>
      <c r="I228" s="44">
        <v>0</v>
      </c>
      <c r="J228" s="44">
        <f t="shared" si="141"/>
        <v>100</v>
      </c>
      <c r="K228" s="44">
        <f t="shared" si="142"/>
        <v>10000</v>
      </c>
    </row>
    <row r="229" spans="1:11" ht="15.75" customHeight="1" x14ac:dyDescent="0.25">
      <c r="A229" s="45">
        <v>43782</v>
      </c>
      <c r="B229" s="42" t="s">
        <v>14</v>
      </c>
      <c r="C229" s="11">
        <v>30</v>
      </c>
      <c r="D229" s="11" t="s">
        <v>10</v>
      </c>
      <c r="E229" s="46">
        <v>44440</v>
      </c>
      <c r="F229" s="46">
        <v>44590</v>
      </c>
      <c r="G229" s="46">
        <v>0</v>
      </c>
      <c r="H229" s="44">
        <f t="shared" si="140"/>
        <v>4500</v>
      </c>
      <c r="I229" s="44">
        <v>0</v>
      </c>
      <c r="J229" s="44">
        <f t="shared" si="141"/>
        <v>150</v>
      </c>
      <c r="K229" s="44">
        <f t="shared" si="142"/>
        <v>4500</v>
      </c>
    </row>
    <row r="230" spans="1:11" ht="15.75" customHeight="1" x14ac:dyDescent="0.25">
      <c r="A230" s="45">
        <v>43777</v>
      </c>
      <c r="B230" s="42" t="s">
        <v>19</v>
      </c>
      <c r="C230" s="11">
        <v>100</v>
      </c>
      <c r="D230" s="11" t="s">
        <v>11</v>
      </c>
      <c r="E230" s="46">
        <v>37700</v>
      </c>
      <c r="F230" s="46">
        <v>37620</v>
      </c>
      <c r="G230" s="46">
        <v>37500</v>
      </c>
      <c r="H230" s="44">
        <f t="shared" si="140"/>
        <v>8000</v>
      </c>
      <c r="I230" s="44">
        <f>C230*120</f>
        <v>12000</v>
      </c>
      <c r="J230" s="44">
        <f t="shared" si="141"/>
        <v>200</v>
      </c>
      <c r="K230" s="44">
        <f t="shared" si="142"/>
        <v>20000</v>
      </c>
    </row>
    <row r="231" spans="1:11" ht="15.75" customHeight="1" x14ac:dyDescent="0.25">
      <c r="A231" s="45">
        <v>43776</v>
      </c>
      <c r="B231" s="42" t="s">
        <v>19</v>
      </c>
      <c r="C231" s="11">
        <v>100</v>
      </c>
      <c r="D231" s="11" t="s">
        <v>11</v>
      </c>
      <c r="E231" s="46">
        <v>37970</v>
      </c>
      <c r="F231" s="46">
        <v>37890</v>
      </c>
      <c r="G231" s="46">
        <v>37780</v>
      </c>
      <c r="H231" s="44">
        <f t="shared" si="140"/>
        <v>8000</v>
      </c>
      <c r="I231" s="44">
        <f>C231*110</f>
        <v>11000</v>
      </c>
      <c r="J231" s="44">
        <f t="shared" si="141"/>
        <v>190</v>
      </c>
      <c r="K231" s="44">
        <f t="shared" si="142"/>
        <v>19000</v>
      </c>
    </row>
    <row r="232" spans="1:11" ht="15.75" customHeight="1" x14ac:dyDescent="0.25">
      <c r="A232" s="45">
        <v>43774</v>
      </c>
      <c r="B232" s="42" t="s">
        <v>14</v>
      </c>
      <c r="C232" s="11">
        <v>30</v>
      </c>
      <c r="D232" s="11" t="s">
        <v>11</v>
      </c>
      <c r="E232" s="46">
        <v>46390</v>
      </c>
      <c r="F232" s="46">
        <v>46280</v>
      </c>
      <c r="G232" s="46">
        <v>46050</v>
      </c>
      <c r="H232" s="44">
        <f t="shared" si="140"/>
        <v>3300</v>
      </c>
      <c r="I232" s="44">
        <f>C232*230</f>
        <v>6900</v>
      </c>
      <c r="J232" s="44">
        <f t="shared" si="141"/>
        <v>340</v>
      </c>
      <c r="K232" s="44">
        <f t="shared" si="142"/>
        <v>10200</v>
      </c>
    </row>
    <row r="233" spans="1:11" ht="15.75" customHeight="1" x14ac:dyDescent="0.25">
      <c r="A233" s="45">
        <v>43773</v>
      </c>
      <c r="B233" s="42" t="s">
        <v>16</v>
      </c>
      <c r="C233" s="11">
        <v>100</v>
      </c>
      <c r="D233" s="11" t="s">
        <v>10</v>
      </c>
      <c r="E233" s="46">
        <v>4000</v>
      </c>
      <c r="F233" s="46">
        <v>4030</v>
      </c>
      <c r="G233" s="46">
        <v>0</v>
      </c>
      <c r="H233" s="44">
        <f t="shared" si="140"/>
        <v>3000</v>
      </c>
      <c r="I233" s="44">
        <v>0</v>
      </c>
      <c r="J233" s="44">
        <f t="shared" si="141"/>
        <v>30</v>
      </c>
      <c r="K233" s="44">
        <f t="shared" si="142"/>
        <v>3000</v>
      </c>
    </row>
    <row r="234" spans="1:11" ht="15.75" customHeight="1" x14ac:dyDescent="0.25">
      <c r="A234" s="45">
        <v>43770</v>
      </c>
      <c r="B234" s="42" t="s">
        <v>16</v>
      </c>
      <c r="C234" s="11">
        <v>100</v>
      </c>
      <c r="D234" s="11" t="s">
        <v>10</v>
      </c>
      <c r="E234" s="46">
        <v>3880</v>
      </c>
      <c r="F234" s="46">
        <v>3910</v>
      </c>
      <c r="G234" s="46">
        <v>0</v>
      </c>
      <c r="H234" s="44">
        <f t="shared" si="140"/>
        <v>3000</v>
      </c>
      <c r="I234" s="44">
        <v>0</v>
      </c>
      <c r="J234" s="44">
        <f t="shared" si="141"/>
        <v>30</v>
      </c>
      <c r="K234" s="44">
        <f t="shared" si="142"/>
        <v>3000</v>
      </c>
    </row>
    <row r="235" spans="1:11" ht="15.75" customHeight="1" x14ac:dyDescent="0.25">
      <c r="A235" s="45">
        <v>43770</v>
      </c>
      <c r="B235" s="42" t="s">
        <v>14</v>
      </c>
      <c r="C235" s="11">
        <v>30</v>
      </c>
      <c r="D235" s="11" t="s">
        <v>10</v>
      </c>
      <c r="E235" s="46">
        <v>46780</v>
      </c>
      <c r="F235" s="46">
        <v>46560</v>
      </c>
      <c r="G235" s="46">
        <v>0</v>
      </c>
      <c r="H235" s="44">
        <f t="shared" si="140"/>
        <v>-6600</v>
      </c>
      <c r="I235" s="44">
        <v>0</v>
      </c>
      <c r="J235" s="44">
        <f t="shared" si="141"/>
        <v>-220</v>
      </c>
      <c r="K235" s="44">
        <f t="shared" si="142"/>
        <v>-6600</v>
      </c>
    </row>
    <row r="236" spans="1:11" ht="15.75" customHeight="1" x14ac:dyDescent="0.25">
      <c r="A236" s="45">
        <v>43770</v>
      </c>
      <c r="B236" s="42" t="s">
        <v>19</v>
      </c>
      <c r="C236" s="11">
        <v>100</v>
      </c>
      <c r="D236" s="11" t="s">
        <v>10</v>
      </c>
      <c r="E236" s="46">
        <v>38490</v>
      </c>
      <c r="F236" s="46">
        <v>38402</v>
      </c>
      <c r="G236" s="46">
        <v>0</v>
      </c>
      <c r="H236" s="44">
        <f t="shared" si="140"/>
        <v>-8800</v>
      </c>
      <c r="I236" s="44">
        <v>0</v>
      </c>
      <c r="J236" s="44">
        <f t="shared" si="141"/>
        <v>-88</v>
      </c>
      <c r="K236" s="44">
        <f t="shared" si="142"/>
        <v>-8800</v>
      </c>
    </row>
    <row r="237" spans="1:11" ht="15.75" customHeight="1" x14ac:dyDescent="0.25">
      <c r="A237" s="45">
        <v>43769</v>
      </c>
      <c r="B237" s="42" t="s">
        <v>19</v>
      </c>
      <c r="C237" s="11">
        <v>100</v>
      </c>
      <c r="D237" s="11" t="s">
        <v>10</v>
      </c>
      <c r="E237" s="46">
        <v>38220</v>
      </c>
      <c r="F237" s="46">
        <v>38300</v>
      </c>
      <c r="G237" s="46">
        <v>0</v>
      </c>
      <c r="H237" s="44">
        <f t="shared" si="140"/>
        <v>8000</v>
      </c>
      <c r="I237" s="44">
        <v>0</v>
      </c>
      <c r="J237" s="44">
        <f t="shared" si="141"/>
        <v>80</v>
      </c>
      <c r="K237" s="44">
        <f t="shared" si="142"/>
        <v>8000</v>
      </c>
    </row>
    <row r="238" spans="1:11" ht="15.75" customHeight="1" x14ac:dyDescent="0.25">
      <c r="A238" s="45">
        <v>43769</v>
      </c>
      <c r="B238" s="42" t="s">
        <v>14</v>
      </c>
      <c r="C238" s="11">
        <v>30</v>
      </c>
      <c r="D238" s="11" t="s">
        <v>10</v>
      </c>
      <c r="E238" s="46">
        <v>46500</v>
      </c>
      <c r="F238" s="46">
        <v>46650</v>
      </c>
      <c r="G238" s="46">
        <v>46850</v>
      </c>
      <c r="H238" s="44">
        <f t="shared" si="140"/>
        <v>4500</v>
      </c>
      <c r="I238" s="44">
        <f>C238*200</f>
        <v>6000</v>
      </c>
      <c r="J238" s="44">
        <f t="shared" si="141"/>
        <v>350</v>
      </c>
      <c r="K238" s="44">
        <f t="shared" si="142"/>
        <v>10500</v>
      </c>
    </row>
    <row r="239" spans="1:11" ht="15.75" customHeight="1" x14ac:dyDescent="0.25">
      <c r="A239" s="45">
        <v>43768</v>
      </c>
      <c r="B239" s="42" t="s">
        <v>19</v>
      </c>
      <c r="C239" s="11">
        <v>100</v>
      </c>
      <c r="D239" s="11" t="s">
        <v>10</v>
      </c>
      <c r="E239" s="46">
        <v>38040</v>
      </c>
      <c r="F239" s="46">
        <v>38120</v>
      </c>
      <c r="G239" s="46">
        <v>0</v>
      </c>
      <c r="H239" s="44">
        <f t="shared" si="140"/>
        <v>8000</v>
      </c>
      <c r="I239" s="44">
        <v>0</v>
      </c>
      <c r="J239" s="44">
        <f t="shared" si="141"/>
        <v>80</v>
      </c>
      <c r="K239" s="44">
        <f t="shared" si="142"/>
        <v>8000</v>
      </c>
    </row>
    <row r="240" spans="1:11" ht="15.75" customHeight="1" x14ac:dyDescent="0.25">
      <c r="A240" s="45">
        <v>43768</v>
      </c>
      <c r="B240" s="42" t="s">
        <v>14</v>
      </c>
      <c r="C240" s="11">
        <v>30</v>
      </c>
      <c r="D240" s="11" t="s">
        <v>10</v>
      </c>
      <c r="E240" s="46">
        <v>46230</v>
      </c>
      <c r="F240" s="46">
        <v>46330</v>
      </c>
      <c r="G240" s="46">
        <v>0</v>
      </c>
      <c r="H240" s="44">
        <f t="shared" si="140"/>
        <v>3000</v>
      </c>
      <c r="I240" s="44">
        <v>0</v>
      </c>
      <c r="J240" s="44">
        <f t="shared" si="141"/>
        <v>100</v>
      </c>
      <c r="K240" s="44">
        <f t="shared" si="142"/>
        <v>3000</v>
      </c>
    </row>
    <row r="241" spans="1:11" ht="15.75" customHeight="1" x14ac:dyDescent="0.25">
      <c r="A241" s="45">
        <v>43767</v>
      </c>
      <c r="B241" s="42" t="s">
        <v>14</v>
      </c>
      <c r="C241" s="11">
        <v>30</v>
      </c>
      <c r="D241" s="11" t="s">
        <v>11</v>
      </c>
      <c r="E241" s="46">
        <v>45697</v>
      </c>
      <c r="F241" s="46">
        <v>45580</v>
      </c>
      <c r="G241" s="46">
        <v>0</v>
      </c>
      <c r="H241" s="44">
        <f t="shared" si="140"/>
        <v>3510</v>
      </c>
      <c r="I241" s="44">
        <v>0</v>
      </c>
      <c r="J241" s="44">
        <f t="shared" si="141"/>
        <v>117</v>
      </c>
      <c r="K241" s="44">
        <f t="shared" si="142"/>
        <v>3510</v>
      </c>
    </row>
    <row r="242" spans="1:11" ht="15.75" customHeight="1" x14ac:dyDescent="0.25">
      <c r="A242" s="45">
        <v>43761</v>
      </c>
      <c r="B242" s="42" t="s">
        <v>16</v>
      </c>
      <c r="C242" s="11">
        <v>100</v>
      </c>
      <c r="D242" s="11" t="s">
        <v>11</v>
      </c>
      <c r="E242" s="46">
        <v>3820</v>
      </c>
      <c r="F242" s="46">
        <v>3865</v>
      </c>
      <c r="G242" s="46">
        <v>0</v>
      </c>
      <c r="H242" s="44">
        <f t="shared" si="140"/>
        <v>-4500</v>
      </c>
      <c r="I242" s="44">
        <v>0</v>
      </c>
      <c r="J242" s="44">
        <f t="shared" si="141"/>
        <v>-45</v>
      </c>
      <c r="K242" s="44">
        <f t="shared" si="142"/>
        <v>-4500</v>
      </c>
    </row>
    <row r="243" spans="1:11" ht="15.75" customHeight="1" x14ac:dyDescent="0.25">
      <c r="A243" s="45">
        <v>43760</v>
      </c>
      <c r="B243" s="42" t="s">
        <v>16</v>
      </c>
      <c r="C243" s="11">
        <v>100</v>
      </c>
      <c r="D243" s="11" t="s">
        <v>10</v>
      </c>
      <c r="E243" s="46">
        <v>3854</v>
      </c>
      <c r="F243" s="46">
        <v>3884</v>
      </c>
      <c r="G243" s="46">
        <v>0</v>
      </c>
      <c r="H243" s="44">
        <f t="shared" si="140"/>
        <v>3000</v>
      </c>
      <c r="I243" s="44">
        <v>0</v>
      </c>
      <c r="J243" s="44">
        <f t="shared" si="141"/>
        <v>30</v>
      </c>
      <c r="K243" s="44">
        <f t="shared" si="142"/>
        <v>3000</v>
      </c>
    </row>
    <row r="244" spans="1:11" ht="15.75" customHeight="1" x14ac:dyDescent="0.25">
      <c r="A244" s="45">
        <v>43754</v>
      </c>
      <c r="B244" s="42" t="s">
        <v>15</v>
      </c>
      <c r="C244" s="11">
        <v>5000</v>
      </c>
      <c r="D244" s="11" t="s">
        <v>10</v>
      </c>
      <c r="E244" s="46">
        <v>155.4</v>
      </c>
      <c r="F244" s="46">
        <v>156.4</v>
      </c>
      <c r="G244" s="46">
        <v>0</v>
      </c>
      <c r="H244" s="44">
        <f t="shared" si="140"/>
        <v>5000</v>
      </c>
      <c r="I244" s="44">
        <v>0</v>
      </c>
      <c r="J244" s="44">
        <f t="shared" si="141"/>
        <v>1</v>
      </c>
      <c r="K244" s="44">
        <f t="shared" si="142"/>
        <v>5000</v>
      </c>
    </row>
    <row r="245" spans="1:11" ht="15.75" customHeight="1" x14ac:dyDescent="0.25">
      <c r="A245" s="45">
        <v>43747</v>
      </c>
      <c r="B245" s="42" t="s">
        <v>16</v>
      </c>
      <c r="C245" s="11">
        <v>100</v>
      </c>
      <c r="D245" s="11" t="s">
        <v>10</v>
      </c>
      <c r="E245" s="46">
        <v>3785</v>
      </c>
      <c r="F245" s="46">
        <v>3817</v>
      </c>
      <c r="G245" s="46">
        <v>0</v>
      </c>
      <c r="H245" s="44">
        <f t="shared" si="140"/>
        <v>3200</v>
      </c>
      <c r="I245" s="44">
        <v>0</v>
      </c>
      <c r="J245" s="44">
        <f t="shared" si="141"/>
        <v>32</v>
      </c>
      <c r="K245" s="44">
        <f t="shared" si="142"/>
        <v>3200</v>
      </c>
    </row>
    <row r="246" spans="1:11" ht="15.75" customHeight="1" x14ac:dyDescent="0.25">
      <c r="A246" s="45">
        <v>43747</v>
      </c>
      <c r="B246" s="42" t="s">
        <v>17</v>
      </c>
      <c r="C246" s="11">
        <v>5000</v>
      </c>
      <c r="D246" s="11" t="s">
        <v>11</v>
      </c>
      <c r="E246" s="46">
        <v>180.7</v>
      </c>
      <c r="F246" s="46">
        <v>181.8</v>
      </c>
      <c r="G246" s="46">
        <v>0</v>
      </c>
      <c r="H246" s="44">
        <f t="shared" si="140"/>
        <v>-5500.0000000001137</v>
      </c>
      <c r="I246" s="44">
        <v>0</v>
      </c>
      <c r="J246" s="44">
        <f t="shared" si="141"/>
        <v>-1.1000000000000227</v>
      </c>
      <c r="K246" s="44">
        <f t="shared" si="142"/>
        <v>-5500.0000000001137</v>
      </c>
    </row>
    <row r="247" spans="1:11" ht="15.75" customHeight="1" x14ac:dyDescent="0.25">
      <c r="A247" s="45">
        <v>43745</v>
      </c>
      <c r="B247" s="42" t="s">
        <v>19</v>
      </c>
      <c r="C247" s="11">
        <v>100</v>
      </c>
      <c r="D247" s="11" t="s">
        <v>11</v>
      </c>
      <c r="E247" s="46">
        <v>38290</v>
      </c>
      <c r="F247" s="46">
        <v>38210</v>
      </c>
      <c r="G247" s="46">
        <v>0</v>
      </c>
      <c r="H247" s="44">
        <f t="shared" si="140"/>
        <v>8000</v>
      </c>
      <c r="I247" s="44">
        <v>0</v>
      </c>
      <c r="J247" s="44">
        <f t="shared" si="141"/>
        <v>80</v>
      </c>
      <c r="K247" s="44">
        <f t="shared" si="142"/>
        <v>8000</v>
      </c>
    </row>
    <row r="248" spans="1:11" ht="15.75" customHeight="1" x14ac:dyDescent="0.25">
      <c r="A248" s="45">
        <v>43745</v>
      </c>
      <c r="B248" s="42" t="s">
        <v>16</v>
      </c>
      <c r="C248" s="11">
        <v>100</v>
      </c>
      <c r="D248" s="11" t="s">
        <v>10</v>
      </c>
      <c r="E248" s="46">
        <v>3788</v>
      </c>
      <c r="F248" s="46">
        <v>3818</v>
      </c>
      <c r="G248" s="46">
        <v>0</v>
      </c>
      <c r="H248" s="44">
        <f t="shared" si="140"/>
        <v>3000</v>
      </c>
      <c r="I248" s="44">
        <v>0</v>
      </c>
      <c r="J248" s="44">
        <f t="shared" si="141"/>
        <v>30</v>
      </c>
      <c r="K248" s="44">
        <f t="shared" si="142"/>
        <v>3000</v>
      </c>
    </row>
    <row r="249" spans="1:11" ht="15.75" customHeight="1" x14ac:dyDescent="0.25">
      <c r="A249" s="45">
        <v>43741</v>
      </c>
      <c r="B249" s="42" t="s">
        <v>16</v>
      </c>
      <c r="C249" s="11">
        <v>100</v>
      </c>
      <c r="D249" s="11" t="s">
        <v>11</v>
      </c>
      <c r="E249" s="46">
        <v>3708</v>
      </c>
      <c r="F249" s="46">
        <v>3672</v>
      </c>
      <c r="G249" s="46">
        <v>3630</v>
      </c>
      <c r="H249" s="44">
        <f t="shared" si="140"/>
        <v>3600</v>
      </c>
      <c r="I249" s="44">
        <f>C249*42</f>
        <v>4200</v>
      </c>
      <c r="J249" s="44">
        <f t="shared" si="141"/>
        <v>78</v>
      </c>
      <c r="K249" s="44">
        <f t="shared" si="142"/>
        <v>7800</v>
      </c>
    </row>
    <row r="250" spans="1:11" ht="15.75" customHeight="1" x14ac:dyDescent="0.25">
      <c r="A250" s="45">
        <v>43739</v>
      </c>
      <c r="B250" s="42" t="s">
        <v>16</v>
      </c>
      <c r="C250" s="11">
        <v>100</v>
      </c>
      <c r="D250" s="11" t="s">
        <v>10</v>
      </c>
      <c r="E250" s="46">
        <v>3892</v>
      </c>
      <c r="F250" s="46">
        <v>3851</v>
      </c>
      <c r="G250" s="46">
        <v>0</v>
      </c>
      <c r="H250" s="44">
        <f t="shared" si="140"/>
        <v>-4100</v>
      </c>
      <c r="I250" s="44">
        <v>0</v>
      </c>
      <c r="J250" s="44">
        <f t="shared" si="141"/>
        <v>-41</v>
      </c>
      <c r="K250" s="44">
        <f t="shared" si="142"/>
        <v>-4100</v>
      </c>
    </row>
    <row r="251" spans="1:11" ht="15.75" customHeight="1" x14ac:dyDescent="0.25">
      <c r="A251" s="45">
        <v>43735</v>
      </c>
      <c r="B251" s="42" t="s">
        <v>19</v>
      </c>
      <c r="C251" s="11">
        <v>100</v>
      </c>
      <c r="D251" s="11" t="s">
        <v>11</v>
      </c>
      <c r="E251" s="46">
        <v>37530</v>
      </c>
      <c r="F251" s="46">
        <v>37430</v>
      </c>
      <c r="G251" s="46">
        <v>37330</v>
      </c>
      <c r="H251" s="44">
        <f t="shared" si="140"/>
        <v>10000</v>
      </c>
      <c r="I251" s="44">
        <f>C251*100</f>
        <v>10000</v>
      </c>
      <c r="J251" s="44">
        <f t="shared" si="141"/>
        <v>200</v>
      </c>
      <c r="K251" s="44">
        <f t="shared" si="142"/>
        <v>20000</v>
      </c>
    </row>
    <row r="252" spans="1:11" ht="15.75" customHeight="1" x14ac:dyDescent="0.25">
      <c r="A252" s="45">
        <v>43735</v>
      </c>
      <c r="B252" s="42" t="s">
        <v>16</v>
      </c>
      <c r="C252" s="11">
        <v>100</v>
      </c>
      <c r="D252" s="11" t="s">
        <v>10</v>
      </c>
      <c r="E252" s="46">
        <v>3955</v>
      </c>
      <c r="F252" s="46">
        <v>3990</v>
      </c>
      <c r="G252" s="46">
        <v>0</v>
      </c>
      <c r="H252" s="44">
        <f t="shared" si="140"/>
        <v>3500</v>
      </c>
      <c r="I252" s="44">
        <v>0</v>
      </c>
      <c r="J252" s="44">
        <f t="shared" si="141"/>
        <v>35</v>
      </c>
      <c r="K252" s="44">
        <f t="shared" si="142"/>
        <v>3500</v>
      </c>
    </row>
    <row r="253" spans="1:11" ht="15.75" customHeight="1" x14ac:dyDescent="0.25">
      <c r="A253" s="45">
        <v>43733</v>
      </c>
      <c r="B253" s="42" t="s">
        <v>17</v>
      </c>
      <c r="C253" s="11">
        <v>5000</v>
      </c>
      <c r="D253" s="11" t="s">
        <v>11</v>
      </c>
      <c r="E253" s="46">
        <v>179.5</v>
      </c>
      <c r="F253" s="46">
        <v>178.5</v>
      </c>
      <c r="G253" s="46">
        <v>0</v>
      </c>
      <c r="H253" s="44">
        <f t="shared" si="140"/>
        <v>5000</v>
      </c>
      <c r="I253" s="44">
        <v>0</v>
      </c>
      <c r="J253" s="44">
        <f t="shared" si="141"/>
        <v>1</v>
      </c>
      <c r="K253" s="44">
        <f t="shared" si="142"/>
        <v>5000</v>
      </c>
    </row>
    <row r="254" spans="1:11" ht="15.75" customHeight="1" x14ac:dyDescent="0.25">
      <c r="A254" s="45">
        <v>43733</v>
      </c>
      <c r="B254" s="42" t="s">
        <v>19</v>
      </c>
      <c r="C254" s="11">
        <v>100</v>
      </c>
      <c r="D254" s="11" t="s">
        <v>10</v>
      </c>
      <c r="E254" s="46">
        <v>38110</v>
      </c>
      <c r="F254" s="46">
        <v>38194</v>
      </c>
      <c r="G254" s="46">
        <v>0</v>
      </c>
      <c r="H254" s="44">
        <f t="shared" si="140"/>
        <v>8400</v>
      </c>
      <c r="I254" s="44">
        <v>0</v>
      </c>
      <c r="J254" s="44">
        <f t="shared" si="141"/>
        <v>84</v>
      </c>
      <c r="K254" s="44">
        <f t="shared" si="142"/>
        <v>8400</v>
      </c>
    </row>
    <row r="255" spans="1:11" ht="15.75" customHeight="1" x14ac:dyDescent="0.25">
      <c r="A255" s="45">
        <v>43732</v>
      </c>
      <c r="B255" s="42" t="s">
        <v>19</v>
      </c>
      <c r="C255" s="11">
        <v>100</v>
      </c>
      <c r="D255" s="11" t="s">
        <v>10</v>
      </c>
      <c r="E255" s="46">
        <v>37890</v>
      </c>
      <c r="F255" s="46">
        <v>37790</v>
      </c>
      <c r="G255" s="46">
        <v>0</v>
      </c>
      <c r="H255" s="44">
        <f t="shared" si="140"/>
        <v>-10000</v>
      </c>
      <c r="I255" s="44">
        <v>0</v>
      </c>
      <c r="J255" s="44">
        <f t="shared" si="141"/>
        <v>-100</v>
      </c>
      <c r="K255" s="44">
        <f t="shared" si="142"/>
        <v>-10000</v>
      </c>
    </row>
    <row r="256" spans="1:11" ht="15.75" customHeight="1" x14ac:dyDescent="0.25">
      <c r="A256" s="45">
        <v>43731</v>
      </c>
      <c r="B256" s="42" t="s">
        <v>16</v>
      </c>
      <c r="C256" s="11">
        <v>100</v>
      </c>
      <c r="D256" s="11" t="s">
        <v>10</v>
      </c>
      <c r="E256" s="46">
        <v>4145</v>
      </c>
      <c r="F256" s="46">
        <v>4163</v>
      </c>
      <c r="G256" s="46">
        <v>0</v>
      </c>
      <c r="H256" s="44">
        <f t="shared" si="140"/>
        <v>1800</v>
      </c>
      <c r="I256" s="44">
        <v>0</v>
      </c>
      <c r="J256" s="44">
        <f t="shared" si="141"/>
        <v>18</v>
      </c>
      <c r="K256" s="44">
        <f t="shared" si="142"/>
        <v>1800</v>
      </c>
    </row>
    <row r="257" spans="1:11" ht="15.75" customHeight="1" x14ac:dyDescent="0.25">
      <c r="A257" s="45">
        <v>43728</v>
      </c>
      <c r="B257" s="42" t="s">
        <v>21</v>
      </c>
      <c r="C257" s="11">
        <v>250</v>
      </c>
      <c r="D257" s="11" t="s">
        <v>10</v>
      </c>
      <c r="E257" s="46">
        <v>1261</v>
      </c>
      <c r="F257" s="46">
        <v>1269</v>
      </c>
      <c r="G257" s="46">
        <v>1278</v>
      </c>
      <c r="H257" s="44">
        <f t="shared" si="140"/>
        <v>2000</v>
      </c>
      <c r="I257" s="44">
        <f>C257*9</f>
        <v>2250</v>
      </c>
      <c r="J257" s="44">
        <f t="shared" si="141"/>
        <v>17</v>
      </c>
      <c r="K257" s="44">
        <f t="shared" si="142"/>
        <v>4250</v>
      </c>
    </row>
    <row r="258" spans="1:11" ht="15.75" customHeight="1" x14ac:dyDescent="0.25">
      <c r="A258" s="45">
        <v>43726</v>
      </c>
      <c r="B258" s="42" t="s">
        <v>17</v>
      </c>
      <c r="C258" s="11">
        <v>5000</v>
      </c>
      <c r="D258" s="11" t="s">
        <v>11</v>
      </c>
      <c r="E258" s="46">
        <v>184</v>
      </c>
      <c r="F258" s="46">
        <v>183.4</v>
      </c>
      <c r="G258" s="46">
        <v>0</v>
      </c>
      <c r="H258" s="44">
        <f t="shared" si="140"/>
        <v>2999.9999999999718</v>
      </c>
      <c r="I258" s="44">
        <v>0</v>
      </c>
      <c r="J258" s="44">
        <f t="shared" si="141"/>
        <v>0.59999999999999432</v>
      </c>
      <c r="K258" s="44">
        <f t="shared" si="142"/>
        <v>2999.9999999999718</v>
      </c>
    </row>
    <row r="259" spans="1:11" ht="15.75" customHeight="1" x14ac:dyDescent="0.25">
      <c r="A259" s="45">
        <v>43725</v>
      </c>
      <c r="B259" s="42" t="s">
        <v>58</v>
      </c>
      <c r="C259" s="11">
        <v>5000</v>
      </c>
      <c r="D259" s="11" t="s">
        <v>11</v>
      </c>
      <c r="E259" s="46">
        <v>139.30000000000001</v>
      </c>
      <c r="F259" s="46">
        <v>139.30000000000001</v>
      </c>
      <c r="G259" s="46">
        <v>0</v>
      </c>
      <c r="H259" s="44">
        <f t="shared" ref="H259:H276" si="143">(IF(D259="SELL",E259-F259,IF(D259="BUY",F259-E259)))*C259</f>
        <v>0</v>
      </c>
      <c r="I259" s="44">
        <v>0</v>
      </c>
      <c r="J259" s="44">
        <f t="shared" ref="J259:J276" si="144">(I259+H259)/C259</f>
        <v>0</v>
      </c>
      <c r="K259" s="44">
        <f t="shared" ref="K259:K276" si="145">J259*C259</f>
        <v>0</v>
      </c>
    </row>
    <row r="260" spans="1:11" ht="15.75" customHeight="1" x14ac:dyDescent="0.25">
      <c r="A260" s="45">
        <v>43725</v>
      </c>
      <c r="B260" s="42" t="s">
        <v>17</v>
      </c>
      <c r="C260" s="11">
        <v>5000</v>
      </c>
      <c r="D260" s="11" t="s">
        <v>11</v>
      </c>
      <c r="E260" s="46">
        <v>184.8</v>
      </c>
      <c r="F260" s="46">
        <v>184.8</v>
      </c>
      <c r="G260" s="46">
        <v>0</v>
      </c>
      <c r="H260" s="44">
        <f t="shared" si="143"/>
        <v>0</v>
      </c>
      <c r="I260" s="44">
        <v>0</v>
      </c>
      <c r="J260" s="44">
        <f t="shared" si="144"/>
        <v>0</v>
      </c>
      <c r="K260" s="44">
        <f t="shared" si="145"/>
        <v>0</v>
      </c>
    </row>
    <row r="261" spans="1:11" ht="15.75" customHeight="1" x14ac:dyDescent="0.25">
      <c r="A261" s="45">
        <v>43724</v>
      </c>
      <c r="B261" s="42" t="s">
        <v>19</v>
      </c>
      <c r="C261" s="11">
        <v>100</v>
      </c>
      <c r="D261" s="11" t="s">
        <v>10</v>
      </c>
      <c r="E261" s="46">
        <v>38110</v>
      </c>
      <c r="F261" s="46">
        <v>38200</v>
      </c>
      <c r="G261" s="46">
        <v>0</v>
      </c>
      <c r="H261" s="44">
        <f t="shared" si="143"/>
        <v>9000</v>
      </c>
      <c r="I261" s="44">
        <v>0</v>
      </c>
      <c r="J261" s="44">
        <f t="shared" si="144"/>
        <v>90</v>
      </c>
      <c r="K261" s="44">
        <f t="shared" si="145"/>
        <v>9000</v>
      </c>
    </row>
    <row r="262" spans="1:11" ht="15.75" customHeight="1" x14ac:dyDescent="0.25">
      <c r="A262" s="45">
        <v>43724</v>
      </c>
      <c r="B262" s="42" t="s">
        <v>52</v>
      </c>
      <c r="C262" s="11">
        <v>1250</v>
      </c>
      <c r="D262" s="11" t="s">
        <v>10</v>
      </c>
      <c r="E262" s="46">
        <v>192</v>
      </c>
      <c r="F262" s="46">
        <v>193.7</v>
      </c>
      <c r="G262" s="46">
        <v>0</v>
      </c>
      <c r="H262" s="44">
        <f t="shared" si="143"/>
        <v>2124.9999999999859</v>
      </c>
      <c r="I262" s="44">
        <v>0</v>
      </c>
      <c r="J262" s="44">
        <f t="shared" si="144"/>
        <v>1.6999999999999886</v>
      </c>
      <c r="K262" s="44">
        <f t="shared" si="145"/>
        <v>2124.9999999999859</v>
      </c>
    </row>
    <row r="263" spans="1:11" ht="15.75" customHeight="1" x14ac:dyDescent="0.25">
      <c r="A263" s="45">
        <v>43721</v>
      </c>
      <c r="B263" s="42" t="s">
        <v>18</v>
      </c>
      <c r="C263" s="11">
        <v>2500</v>
      </c>
      <c r="D263" s="11" t="s">
        <v>10</v>
      </c>
      <c r="E263" s="46">
        <v>457</v>
      </c>
      <c r="F263" s="46">
        <v>460</v>
      </c>
      <c r="G263" s="46">
        <v>0</v>
      </c>
      <c r="H263" s="44">
        <f t="shared" si="143"/>
        <v>7500</v>
      </c>
      <c r="I263" s="44">
        <v>0</v>
      </c>
      <c r="J263" s="44">
        <f t="shared" si="144"/>
        <v>3</v>
      </c>
      <c r="K263" s="44">
        <f t="shared" si="145"/>
        <v>7500</v>
      </c>
    </row>
    <row r="264" spans="1:11" ht="15.75" customHeight="1" x14ac:dyDescent="0.25">
      <c r="A264" s="45">
        <v>43721</v>
      </c>
      <c r="B264" s="42" t="s">
        <v>17</v>
      </c>
      <c r="C264" s="11">
        <v>5000</v>
      </c>
      <c r="D264" s="11" t="s">
        <v>10</v>
      </c>
      <c r="E264" s="46">
        <v>186.6</v>
      </c>
      <c r="F264" s="46">
        <v>187.6</v>
      </c>
      <c r="G264" s="46">
        <v>0</v>
      </c>
      <c r="H264" s="44">
        <f t="shared" si="143"/>
        <v>5000</v>
      </c>
      <c r="I264" s="44">
        <v>0</v>
      </c>
      <c r="J264" s="44">
        <f t="shared" si="144"/>
        <v>1</v>
      </c>
      <c r="K264" s="44">
        <f t="shared" si="145"/>
        <v>5000</v>
      </c>
    </row>
    <row r="265" spans="1:11" ht="15.75" customHeight="1" x14ac:dyDescent="0.25">
      <c r="A265" s="45">
        <v>43720</v>
      </c>
      <c r="B265" s="42" t="s">
        <v>14</v>
      </c>
      <c r="C265" s="11">
        <v>30</v>
      </c>
      <c r="D265" s="11" t="s">
        <v>10</v>
      </c>
      <c r="E265" s="46">
        <v>47800</v>
      </c>
      <c r="F265" s="46">
        <v>48000</v>
      </c>
      <c r="G265" s="46">
        <v>0</v>
      </c>
      <c r="H265" s="44">
        <f t="shared" si="143"/>
        <v>6000</v>
      </c>
      <c r="I265" s="44">
        <v>0</v>
      </c>
      <c r="J265" s="44">
        <f t="shared" si="144"/>
        <v>200</v>
      </c>
      <c r="K265" s="44">
        <f t="shared" si="145"/>
        <v>6000</v>
      </c>
    </row>
    <row r="266" spans="1:11" ht="15.75" customHeight="1" x14ac:dyDescent="0.25">
      <c r="A266" s="45">
        <v>43720</v>
      </c>
      <c r="B266" s="42" t="s">
        <v>18</v>
      </c>
      <c r="C266" s="11">
        <v>2500</v>
      </c>
      <c r="D266" s="11" t="s">
        <v>10</v>
      </c>
      <c r="E266" s="46">
        <v>454</v>
      </c>
      <c r="F266" s="46">
        <v>456</v>
      </c>
      <c r="G266" s="46">
        <v>0</v>
      </c>
      <c r="H266" s="44">
        <f t="shared" si="143"/>
        <v>5000</v>
      </c>
      <c r="I266" s="44">
        <v>0</v>
      </c>
      <c r="J266" s="44">
        <f t="shared" si="144"/>
        <v>2</v>
      </c>
      <c r="K266" s="44">
        <f t="shared" si="145"/>
        <v>5000</v>
      </c>
    </row>
    <row r="267" spans="1:11" ht="15.75" customHeight="1" x14ac:dyDescent="0.25">
      <c r="A267" s="45">
        <v>43719</v>
      </c>
      <c r="B267" s="42" t="s">
        <v>18</v>
      </c>
      <c r="C267" s="11">
        <v>2500</v>
      </c>
      <c r="D267" s="11" t="s">
        <v>11</v>
      </c>
      <c r="E267" s="46">
        <v>452</v>
      </c>
      <c r="F267" s="46">
        <v>449.55</v>
      </c>
      <c r="G267" s="46">
        <v>0</v>
      </c>
      <c r="H267" s="44">
        <f t="shared" si="143"/>
        <v>6124.9999999999718</v>
      </c>
      <c r="I267" s="44">
        <v>0</v>
      </c>
      <c r="J267" s="44">
        <f t="shared" si="144"/>
        <v>2.4499999999999886</v>
      </c>
      <c r="K267" s="44">
        <f t="shared" si="145"/>
        <v>6124.9999999999718</v>
      </c>
    </row>
    <row r="268" spans="1:11" ht="15.75" customHeight="1" x14ac:dyDescent="0.25">
      <c r="A268" s="45">
        <v>43719</v>
      </c>
      <c r="B268" s="42" t="s">
        <v>16</v>
      </c>
      <c r="C268" s="11">
        <v>100</v>
      </c>
      <c r="D268" s="11" t="s">
        <v>10</v>
      </c>
      <c r="E268" s="46">
        <v>4170</v>
      </c>
      <c r="F268" s="46">
        <v>4119</v>
      </c>
      <c r="G268" s="46">
        <v>0</v>
      </c>
      <c r="H268" s="44">
        <f t="shared" si="143"/>
        <v>-5100</v>
      </c>
      <c r="I268" s="44">
        <v>0</v>
      </c>
      <c r="J268" s="44">
        <f t="shared" si="144"/>
        <v>-51</v>
      </c>
      <c r="K268" s="44">
        <f t="shared" si="145"/>
        <v>-5100</v>
      </c>
    </row>
    <row r="269" spans="1:11" ht="15.75" customHeight="1" x14ac:dyDescent="0.25">
      <c r="A269" s="45">
        <v>43717</v>
      </c>
      <c r="B269" s="42" t="s">
        <v>16</v>
      </c>
      <c r="C269" s="11">
        <v>100</v>
      </c>
      <c r="D269" s="11" t="s">
        <v>10</v>
      </c>
      <c r="E269" s="46">
        <v>4104</v>
      </c>
      <c r="F269" s="46">
        <v>4170</v>
      </c>
      <c r="G269" s="46">
        <v>0</v>
      </c>
      <c r="H269" s="44">
        <f t="shared" si="143"/>
        <v>6600</v>
      </c>
      <c r="I269" s="44">
        <v>0</v>
      </c>
      <c r="J269" s="44">
        <f t="shared" si="144"/>
        <v>66</v>
      </c>
      <c r="K269" s="44">
        <f t="shared" si="145"/>
        <v>6600</v>
      </c>
    </row>
    <row r="270" spans="1:11" ht="15.75" customHeight="1" x14ac:dyDescent="0.25">
      <c r="A270" s="45">
        <v>43717</v>
      </c>
      <c r="B270" s="42" t="s">
        <v>16</v>
      </c>
      <c r="C270" s="11">
        <v>100</v>
      </c>
      <c r="D270" s="11" t="s">
        <v>10</v>
      </c>
      <c r="E270" s="46">
        <v>4115</v>
      </c>
      <c r="F270" s="46">
        <v>4145</v>
      </c>
      <c r="G270" s="46">
        <v>0</v>
      </c>
      <c r="H270" s="44">
        <f t="shared" si="143"/>
        <v>3000</v>
      </c>
      <c r="I270" s="44">
        <v>0</v>
      </c>
      <c r="J270" s="44">
        <f t="shared" si="144"/>
        <v>30</v>
      </c>
      <c r="K270" s="44">
        <f t="shared" si="145"/>
        <v>3000</v>
      </c>
    </row>
    <row r="271" spans="1:11" ht="15.75" customHeight="1" x14ac:dyDescent="0.25">
      <c r="A271" s="45">
        <v>43714</v>
      </c>
      <c r="B271" s="42" t="s">
        <v>16</v>
      </c>
      <c r="C271" s="11">
        <v>100</v>
      </c>
      <c r="D271" s="11" t="s">
        <v>11</v>
      </c>
      <c r="E271" s="46">
        <v>4000</v>
      </c>
      <c r="F271" s="46">
        <v>3940</v>
      </c>
      <c r="G271" s="46">
        <v>0</v>
      </c>
      <c r="H271" s="44">
        <f t="shared" si="143"/>
        <v>6000</v>
      </c>
      <c r="I271" s="44">
        <v>0</v>
      </c>
      <c r="J271" s="44">
        <f t="shared" si="144"/>
        <v>60</v>
      </c>
      <c r="K271" s="44">
        <f t="shared" si="145"/>
        <v>6000</v>
      </c>
    </row>
    <row r="272" spans="1:11" ht="15.75" customHeight="1" x14ac:dyDescent="0.25">
      <c r="A272" s="45">
        <v>43713</v>
      </c>
      <c r="B272" s="42" t="s">
        <v>16</v>
      </c>
      <c r="C272" s="11">
        <v>100</v>
      </c>
      <c r="D272" s="11" t="s">
        <v>11</v>
      </c>
      <c r="E272" s="46">
        <v>4025</v>
      </c>
      <c r="F272" s="46">
        <v>4090</v>
      </c>
      <c r="G272" s="46">
        <v>0</v>
      </c>
      <c r="H272" s="44">
        <f t="shared" si="143"/>
        <v>-6500</v>
      </c>
      <c r="I272" s="44">
        <v>0</v>
      </c>
      <c r="J272" s="44">
        <f t="shared" si="144"/>
        <v>-65</v>
      </c>
      <c r="K272" s="44">
        <f t="shared" si="145"/>
        <v>-6500</v>
      </c>
    </row>
    <row r="273" spans="1:11" ht="15.75" customHeight="1" x14ac:dyDescent="0.25">
      <c r="A273" s="45">
        <v>43712</v>
      </c>
      <c r="B273" s="42" t="s">
        <v>17</v>
      </c>
      <c r="C273" s="11">
        <v>5000</v>
      </c>
      <c r="D273" s="11" t="s">
        <v>10</v>
      </c>
      <c r="E273" s="46">
        <v>183.3</v>
      </c>
      <c r="F273" s="46">
        <v>184.3</v>
      </c>
      <c r="G273" s="46">
        <v>186</v>
      </c>
      <c r="H273" s="44">
        <f t="shared" si="143"/>
        <v>5000</v>
      </c>
      <c r="I273" s="44">
        <f>C273*2</f>
        <v>10000</v>
      </c>
      <c r="J273" s="44">
        <f t="shared" si="144"/>
        <v>3</v>
      </c>
      <c r="K273" s="44">
        <f t="shared" si="145"/>
        <v>15000</v>
      </c>
    </row>
    <row r="274" spans="1:11" ht="15.75" customHeight="1" x14ac:dyDescent="0.25">
      <c r="A274" s="45">
        <v>43712</v>
      </c>
      <c r="B274" s="42" t="s">
        <v>16</v>
      </c>
      <c r="C274" s="11">
        <v>100</v>
      </c>
      <c r="D274" s="11" t="s">
        <v>10</v>
      </c>
      <c r="E274" s="46">
        <v>3935</v>
      </c>
      <c r="F274" s="46">
        <v>3970</v>
      </c>
      <c r="G274" s="46">
        <v>4050</v>
      </c>
      <c r="H274" s="44">
        <f t="shared" si="143"/>
        <v>3500</v>
      </c>
      <c r="I274" s="44">
        <f>C274*80</f>
        <v>8000</v>
      </c>
      <c r="J274" s="44">
        <f t="shared" si="144"/>
        <v>115</v>
      </c>
      <c r="K274" s="44">
        <f t="shared" si="145"/>
        <v>11500</v>
      </c>
    </row>
    <row r="275" spans="1:11" ht="15.75" customHeight="1" x14ac:dyDescent="0.25">
      <c r="A275" s="45">
        <v>43711</v>
      </c>
      <c r="B275" s="42" t="s">
        <v>18</v>
      </c>
      <c r="C275" s="11">
        <v>2500</v>
      </c>
      <c r="D275" s="11" t="s">
        <v>11</v>
      </c>
      <c r="E275" s="46">
        <v>439</v>
      </c>
      <c r="F275" s="46">
        <v>436</v>
      </c>
      <c r="G275" s="46">
        <v>0</v>
      </c>
      <c r="H275" s="44">
        <f t="shared" si="143"/>
        <v>7500</v>
      </c>
      <c r="I275" s="44">
        <v>0</v>
      </c>
      <c r="J275" s="44">
        <f t="shared" si="144"/>
        <v>3</v>
      </c>
      <c r="K275" s="44">
        <f t="shared" si="145"/>
        <v>7500</v>
      </c>
    </row>
    <row r="276" spans="1:11" ht="15.75" customHeight="1" x14ac:dyDescent="0.25">
      <c r="A276" s="45">
        <v>43711</v>
      </c>
      <c r="B276" s="42" t="s">
        <v>34</v>
      </c>
      <c r="C276" s="11">
        <v>100</v>
      </c>
      <c r="D276" s="11" t="s">
        <v>11</v>
      </c>
      <c r="E276" s="46">
        <v>3895</v>
      </c>
      <c r="F276" s="46">
        <v>3865</v>
      </c>
      <c r="G276" s="46">
        <v>0</v>
      </c>
      <c r="H276" s="44">
        <f t="shared" si="143"/>
        <v>3000</v>
      </c>
      <c r="I276" s="44">
        <v>0</v>
      </c>
      <c r="J276" s="44">
        <f t="shared" si="144"/>
        <v>30</v>
      </c>
      <c r="K276" s="44">
        <f t="shared" si="145"/>
        <v>3000</v>
      </c>
    </row>
    <row r="277" spans="1:11" ht="15.75" customHeight="1" x14ac:dyDescent="0.25">
      <c r="A277" s="45">
        <v>43707</v>
      </c>
      <c r="B277" s="42" t="s">
        <v>34</v>
      </c>
      <c r="C277" s="11">
        <v>100</v>
      </c>
      <c r="D277" s="11" t="s">
        <v>11</v>
      </c>
      <c r="E277" s="46">
        <v>4028</v>
      </c>
      <c r="F277" s="46">
        <v>3980</v>
      </c>
      <c r="G277" s="46">
        <v>3921</v>
      </c>
      <c r="H277" s="44">
        <f t="shared" ref="H277:H312" si="146">(IF(D277="SELL",E277-F277,IF(D277="BUY",F277-E277)))*C277</f>
        <v>4800</v>
      </c>
      <c r="I277" s="44">
        <f>C277*59</f>
        <v>5900</v>
      </c>
      <c r="J277" s="44">
        <f t="shared" ref="J277:J308" si="147">(I277+H277)/C277</f>
        <v>107</v>
      </c>
      <c r="K277" s="44">
        <f t="shared" ref="K277:K308" si="148">J277*C277</f>
        <v>10700</v>
      </c>
    </row>
    <row r="278" spans="1:11" ht="15.75" customHeight="1" x14ac:dyDescent="0.25">
      <c r="A278" s="45">
        <v>43707</v>
      </c>
      <c r="B278" s="42" t="s">
        <v>18</v>
      </c>
      <c r="C278" s="11">
        <v>2500</v>
      </c>
      <c r="D278" s="11" t="s">
        <v>11</v>
      </c>
      <c r="E278" s="46">
        <v>443</v>
      </c>
      <c r="F278" s="46">
        <v>441</v>
      </c>
      <c r="G278" s="46">
        <v>0</v>
      </c>
      <c r="H278" s="44">
        <f t="shared" si="146"/>
        <v>5000</v>
      </c>
      <c r="I278" s="44">
        <v>0</v>
      </c>
      <c r="J278" s="44">
        <f t="shared" si="147"/>
        <v>2</v>
      </c>
      <c r="K278" s="44">
        <f t="shared" si="148"/>
        <v>5000</v>
      </c>
    </row>
    <row r="279" spans="1:11" ht="15.75" customHeight="1" x14ac:dyDescent="0.25">
      <c r="A279" s="45">
        <v>43707</v>
      </c>
      <c r="B279" s="42" t="s">
        <v>15</v>
      </c>
      <c r="C279" s="11">
        <v>5000</v>
      </c>
      <c r="D279" s="11" t="s">
        <v>11</v>
      </c>
      <c r="E279" s="46">
        <v>153.5</v>
      </c>
      <c r="F279" s="46">
        <v>153.5</v>
      </c>
      <c r="G279" s="46">
        <v>0</v>
      </c>
      <c r="H279" s="44">
        <f t="shared" si="146"/>
        <v>0</v>
      </c>
      <c r="I279" s="44">
        <v>0</v>
      </c>
      <c r="J279" s="44">
        <f t="shared" si="147"/>
        <v>0</v>
      </c>
      <c r="K279" s="44">
        <f t="shared" si="148"/>
        <v>0</v>
      </c>
    </row>
    <row r="280" spans="1:11" ht="15.75" customHeight="1" x14ac:dyDescent="0.25">
      <c r="A280" s="45">
        <v>43706</v>
      </c>
      <c r="B280" s="42" t="s">
        <v>34</v>
      </c>
      <c r="C280" s="11">
        <v>100</v>
      </c>
      <c r="D280" s="11" t="s">
        <v>10</v>
      </c>
      <c r="E280" s="46">
        <v>4055</v>
      </c>
      <c r="F280" s="46">
        <v>4085</v>
      </c>
      <c r="G280" s="46">
        <v>0</v>
      </c>
      <c r="H280" s="44">
        <f t="shared" si="146"/>
        <v>3000</v>
      </c>
      <c r="I280" s="44">
        <v>0</v>
      </c>
      <c r="J280" s="44">
        <f t="shared" si="147"/>
        <v>30</v>
      </c>
      <c r="K280" s="44">
        <f t="shared" si="148"/>
        <v>3000</v>
      </c>
    </row>
    <row r="281" spans="1:11" ht="15.75" customHeight="1" x14ac:dyDescent="0.25">
      <c r="A281" s="45">
        <v>43705</v>
      </c>
      <c r="B281" s="42" t="s">
        <v>34</v>
      </c>
      <c r="C281" s="11">
        <v>100</v>
      </c>
      <c r="D281" s="11" t="s">
        <v>10</v>
      </c>
      <c r="E281" s="46">
        <v>4040</v>
      </c>
      <c r="F281" s="46">
        <v>4070</v>
      </c>
      <c r="G281" s="46">
        <v>0</v>
      </c>
      <c r="H281" s="44">
        <f t="shared" si="146"/>
        <v>3000</v>
      </c>
      <c r="I281" s="44">
        <v>0</v>
      </c>
      <c r="J281" s="44">
        <f t="shared" si="147"/>
        <v>30</v>
      </c>
      <c r="K281" s="44">
        <f t="shared" si="148"/>
        <v>3000</v>
      </c>
    </row>
    <row r="282" spans="1:11" ht="15.75" customHeight="1" x14ac:dyDescent="0.25">
      <c r="A282" s="45">
        <v>43703</v>
      </c>
      <c r="B282" s="42" t="s">
        <v>34</v>
      </c>
      <c r="C282" s="11">
        <v>100</v>
      </c>
      <c r="D282" s="11" t="s">
        <v>10</v>
      </c>
      <c r="E282" s="46">
        <v>3965</v>
      </c>
      <c r="F282" s="46">
        <v>3968</v>
      </c>
      <c r="G282" s="46">
        <v>0</v>
      </c>
      <c r="H282" s="44">
        <f t="shared" si="146"/>
        <v>300</v>
      </c>
      <c r="I282" s="44">
        <v>0</v>
      </c>
      <c r="J282" s="44">
        <f t="shared" si="147"/>
        <v>3</v>
      </c>
      <c r="K282" s="44">
        <f t="shared" si="148"/>
        <v>300</v>
      </c>
    </row>
    <row r="283" spans="1:11" ht="15.75" customHeight="1" x14ac:dyDescent="0.25">
      <c r="A283" s="45">
        <v>43700</v>
      </c>
      <c r="B283" s="42" t="s">
        <v>18</v>
      </c>
      <c r="C283" s="11">
        <v>2500</v>
      </c>
      <c r="D283" s="11" t="s">
        <v>11</v>
      </c>
      <c r="E283" s="46">
        <v>443</v>
      </c>
      <c r="F283" s="46">
        <v>440</v>
      </c>
      <c r="G283" s="46">
        <v>0</v>
      </c>
      <c r="H283" s="44">
        <f t="shared" si="146"/>
        <v>7500</v>
      </c>
      <c r="I283" s="44">
        <v>0</v>
      </c>
      <c r="J283" s="44">
        <f t="shared" si="147"/>
        <v>3</v>
      </c>
      <c r="K283" s="44">
        <f t="shared" si="148"/>
        <v>7500</v>
      </c>
    </row>
    <row r="284" spans="1:11" ht="15.75" customHeight="1" x14ac:dyDescent="0.25">
      <c r="A284" s="45">
        <v>43700</v>
      </c>
      <c r="B284" s="42" t="s">
        <v>34</v>
      </c>
      <c r="C284" s="11">
        <v>100</v>
      </c>
      <c r="D284" s="11" t="s">
        <v>11</v>
      </c>
      <c r="E284" s="46">
        <v>3945</v>
      </c>
      <c r="F284" s="46">
        <v>3915</v>
      </c>
      <c r="G284" s="46">
        <v>3860</v>
      </c>
      <c r="H284" s="44">
        <f t="shared" si="146"/>
        <v>3000</v>
      </c>
      <c r="I284" s="44">
        <f>C284*55</f>
        <v>5500</v>
      </c>
      <c r="J284" s="44">
        <f t="shared" si="147"/>
        <v>85</v>
      </c>
      <c r="K284" s="44">
        <f t="shared" si="148"/>
        <v>8500</v>
      </c>
    </row>
    <row r="285" spans="1:11" ht="15.75" customHeight="1" x14ac:dyDescent="0.25">
      <c r="A285" s="45">
        <v>43700</v>
      </c>
      <c r="B285" s="42" t="s">
        <v>52</v>
      </c>
      <c r="C285" s="11">
        <v>1250</v>
      </c>
      <c r="D285" s="11" t="s">
        <v>11</v>
      </c>
      <c r="E285" s="46">
        <v>154</v>
      </c>
      <c r="F285" s="46">
        <v>154</v>
      </c>
      <c r="G285" s="46">
        <v>0</v>
      </c>
      <c r="H285" s="44">
        <f t="shared" si="146"/>
        <v>0</v>
      </c>
      <c r="I285" s="44">
        <v>0</v>
      </c>
      <c r="J285" s="44">
        <f t="shared" si="147"/>
        <v>0</v>
      </c>
      <c r="K285" s="44">
        <f t="shared" si="148"/>
        <v>0</v>
      </c>
    </row>
    <row r="286" spans="1:11" ht="15.75" customHeight="1" x14ac:dyDescent="0.25">
      <c r="A286" s="45">
        <v>43698</v>
      </c>
      <c r="B286" s="42" t="s">
        <v>52</v>
      </c>
      <c r="C286" s="11">
        <v>1250</v>
      </c>
      <c r="D286" s="11" t="s">
        <v>10</v>
      </c>
      <c r="E286" s="46">
        <v>160.1</v>
      </c>
      <c r="F286" s="46">
        <v>157</v>
      </c>
      <c r="G286" s="46">
        <v>0</v>
      </c>
      <c r="H286" s="44">
        <f t="shared" si="146"/>
        <v>-3874.9999999999927</v>
      </c>
      <c r="I286" s="44">
        <v>0</v>
      </c>
      <c r="J286" s="44">
        <f t="shared" si="147"/>
        <v>-3.0999999999999943</v>
      </c>
      <c r="K286" s="44">
        <f t="shared" si="148"/>
        <v>-3874.9999999999927</v>
      </c>
    </row>
    <row r="287" spans="1:11" ht="15.75" customHeight="1" x14ac:dyDescent="0.25">
      <c r="A287" s="45">
        <v>43696</v>
      </c>
      <c r="B287" s="42" t="s">
        <v>34</v>
      </c>
      <c r="C287" s="11">
        <v>100</v>
      </c>
      <c r="D287" s="11" t="s">
        <v>10</v>
      </c>
      <c r="E287" s="46">
        <v>3965</v>
      </c>
      <c r="F287" s="46">
        <v>4010</v>
      </c>
      <c r="G287" s="46">
        <v>0</v>
      </c>
      <c r="H287" s="44">
        <f t="shared" si="146"/>
        <v>4500</v>
      </c>
      <c r="I287" s="44">
        <v>0</v>
      </c>
      <c r="J287" s="44">
        <f t="shared" si="147"/>
        <v>45</v>
      </c>
      <c r="K287" s="44">
        <f t="shared" si="148"/>
        <v>4500</v>
      </c>
    </row>
    <row r="288" spans="1:11" ht="15.75" customHeight="1" x14ac:dyDescent="0.25">
      <c r="A288" s="45">
        <v>43693</v>
      </c>
      <c r="B288" s="42" t="s">
        <v>34</v>
      </c>
      <c r="C288" s="11">
        <v>100</v>
      </c>
      <c r="D288" s="11" t="s">
        <v>10</v>
      </c>
      <c r="E288" s="34">
        <v>3950</v>
      </c>
      <c r="F288" s="34">
        <v>3910</v>
      </c>
      <c r="G288" s="46">
        <v>0</v>
      </c>
      <c r="H288" s="44">
        <f t="shared" si="146"/>
        <v>-4000</v>
      </c>
      <c r="I288" s="44">
        <v>0</v>
      </c>
      <c r="J288" s="44">
        <f t="shared" si="147"/>
        <v>-40</v>
      </c>
      <c r="K288" s="44">
        <f t="shared" si="148"/>
        <v>-4000</v>
      </c>
    </row>
    <row r="289" spans="1:13" ht="15.75" customHeight="1" x14ac:dyDescent="0.25">
      <c r="A289" s="45">
        <v>43691</v>
      </c>
      <c r="B289" s="42" t="s">
        <v>21</v>
      </c>
      <c r="C289" s="11">
        <v>250</v>
      </c>
      <c r="D289" s="11" t="s">
        <v>10</v>
      </c>
      <c r="E289" s="34">
        <v>1134</v>
      </c>
      <c r="F289" s="34">
        <v>1142</v>
      </c>
      <c r="G289" s="46">
        <v>0</v>
      </c>
      <c r="H289" s="44">
        <f t="shared" si="146"/>
        <v>2000</v>
      </c>
      <c r="I289" s="44">
        <v>0</v>
      </c>
      <c r="J289" s="44">
        <f t="shared" si="147"/>
        <v>8</v>
      </c>
      <c r="K289" s="44">
        <f t="shared" si="148"/>
        <v>2000</v>
      </c>
    </row>
    <row r="290" spans="1:13" ht="15.75" customHeight="1" x14ac:dyDescent="0.25">
      <c r="A290" s="45">
        <v>43690</v>
      </c>
      <c r="B290" s="42" t="s">
        <v>19</v>
      </c>
      <c r="C290" s="11">
        <v>100</v>
      </c>
      <c r="D290" s="11" t="s">
        <v>10</v>
      </c>
      <c r="E290" s="34">
        <v>37540</v>
      </c>
      <c r="F290" s="34">
        <v>37640</v>
      </c>
      <c r="G290" s="46">
        <v>0</v>
      </c>
      <c r="H290" s="44">
        <f t="shared" si="146"/>
        <v>10000</v>
      </c>
      <c r="I290" s="44">
        <v>0</v>
      </c>
      <c r="J290" s="44">
        <f t="shared" si="147"/>
        <v>100</v>
      </c>
      <c r="K290" s="44">
        <f t="shared" si="148"/>
        <v>10000</v>
      </c>
    </row>
    <row r="291" spans="1:13" ht="15.75" customHeight="1" x14ac:dyDescent="0.25">
      <c r="A291" s="45">
        <v>43690</v>
      </c>
      <c r="B291" s="42" t="s">
        <v>34</v>
      </c>
      <c r="C291" s="11">
        <v>100</v>
      </c>
      <c r="D291" s="11" t="s">
        <v>10</v>
      </c>
      <c r="E291" s="34">
        <v>3935</v>
      </c>
      <c r="F291" s="34">
        <v>3885</v>
      </c>
      <c r="G291" s="46">
        <v>0</v>
      </c>
      <c r="H291" s="44">
        <f t="shared" si="146"/>
        <v>-5000</v>
      </c>
      <c r="I291" s="44">
        <v>0</v>
      </c>
      <c r="J291" s="44">
        <f t="shared" si="147"/>
        <v>-50</v>
      </c>
      <c r="K291" s="44">
        <f t="shared" si="148"/>
        <v>-5000</v>
      </c>
    </row>
    <row r="292" spans="1:13" ht="15.75" customHeight="1" x14ac:dyDescent="0.25">
      <c r="A292" s="45">
        <v>43685</v>
      </c>
      <c r="B292" s="42" t="s">
        <v>34</v>
      </c>
      <c r="C292" s="42">
        <v>100</v>
      </c>
      <c r="D292" s="42" t="s">
        <v>10</v>
      </c>
      <c r="E292" s="46">
        <v>3747</v>
      </c>
      <c r="F292" s="46">
        <v>3685</v>
      </c>
      <c r="G292" s="46">
        <v>0</v>
      </c>
      <c r="H292" s="44">
        <f t="shared" si="146"/>
        <v>-6200</v>
      </c>
      <c r="I292" s="44">
        <v>0</v>
      </c>
      <c r="J292" s="44">
        <f t="shared" si="147"/>
        <v>-62</v>
      </c>
      <c r="K292" s="44">
        <f t="shared" si="148"/>
        <v>-6200</v>
      </c>
    </row>
    <row r="293" spans="1:13" ht="15.75" customHeight="1" x14ac:dyDescent="0.25">
      <c r="A293" s="45">
        <v>43684</v>
      </c>
      <c r="B293" s="42" t="s">
        <v>15</v>
      </c>
      <c r="C293" s="42">
        <v>5000</v>
      </c>
      <c r="D293" s="42" t="s">
        <v>11</v>
      </c>
      <c r="E293" s="46">
        <v>154</v>
      </c>
      <c r="F293" s="46">
        <v>153</v>
      </c>
      <c r="G293" s="46">
        <v>151</v>
      </c>
      <c r="H293" s="44">
        <f t="shared" si="146"/>
        <v>5000</v>
      </c>
      <c r="I293" s="44">
        <f>C293*2</f>
        <v>10000</v>
      </c>
      <c r="J293" s="44">
        <f t="shared" si="147"/>
        <v>3</v>
      </c>
      <c r="K293" s="44">
        <f t="shared" si="148"/>
        <v>15000</v>
      </c>
      <c r="L293" s="23"/>
      <c r="M293" s="23"/>
    </row>
    <row r="294" spans="1:13" ht="15.75" customHeight="1" x14ac:dyDescent="0.25">
      <c r="A294" s="45">
        <v>43684</v>
      </c>
      <c r="B294" s="42" t="s">
        <v>19</v>
      </c>
      <c r="C294" s="42">
        <v>100</v>
      </c>
      <c r="D294" s="42" t="s">
        <v>11</v>
      </c>
      <c r="E294" s="46">
        <v>37660</v>
      </c>
      <c r="F294" s="46">
        <v>37830</v>
      </c>
      <c r="G294" s="46">
        <v>0</v>
      </c>
      <c r="H294" s="44">
        <f t="shared" si="146"/>
        <v>-17000</v>
      </c>
      <c r="I294" s="44">
        <v>0</v>
      </c>
      <c r="J294" s="44">
        <f t="shared" si="147"/>
        <v>-170</v>
      </c>
      <c r="K294" s="44">
        <f t="shared" si="148"/>
        <v>-17000</v>
      </c>
      <c r="L294" s="23"/>
      <c r="M294" s="23"/>
    </row>
    <row r="295" spans="1:13" ht="15.75" customHeight="1" x14ac:dyDescent="0.25">
      <c r="A295" s="45">
        <v>43684</v>
      </c>
      <c r="B295" s="42" t="s">
        <v>18</v>
      </c>
      <c r="C295" s="42">
        <v>2500</v>
      </c>
      <c r="D295" s="42" t="s">
        <v>11</v>
      </c>
      <c r="E295" s="46">
        <v>436</v>
      </c>
      <c r="F295" s="46">
        <v>438.6</v>
      </c>
      <c r="G295" s="46">
        <v>0</v>
      </c>
      <c r="H295" s="44">
        <f t="shared" si="146"/>
        <v>-6500.0000000000564</v>
      </c>
      <c r="I295" s="44">
        <v>0</v>
      </c>
      <c r="J295" s="44">
        <f t="shared" si="147"/>
        <v>-2.6000000000000227</v>
      </c>
      <c r="K295" s="44">
        <f t="shared" si="148"/>
        <v>-6500.0000000000564</v>
      </c>
      <c r="L295" s="23"/>
      <c r="M295" s="23"/>
    </row>
    <row r="296" spans="1:13" ht="15.75" customHeight="1" x14ac:dyDescent="0.25">
      <c r="A296" s="45">
        <v>43683</v>
      </c>
      <c r="B296" s="42" t="s">
        <v>15</v>
      </c>
      <c r="C296" s="42">
        <v>5000</v>
      </c>
      <c r="D296" s="42" t="s">
        <v>10</v>
      </c>
      <c r="E296" s="46">
        <v>154.80000000000001</v>
      </c>
      <c r="F296" s="46">
        <v>155.80000000000001</v>
      </c>
      <c r="G296" s="46">
        <v>0</v>
      </c>
      <c r="H296" s="44">
        <f t="shared" si="146"/>
        <v>5000</v>
      </c>
      <c r="I296" s="44">
        <v>0</v>
      </c>
      <c r="J296" s="44">
        <f t="shared" si="147"/>
        <v>1</v>
      </c>
      <c r="K296" s="44">
        <f t="shared" si="148"/>
        <v>5000</v>
      </c>
      <c r="L296" s="23"/>
      <c r="M296" s="23"/>
    </row>
    <row r="297" spans="1:13" ht="15.75" customHeight="1" x14ac:dyDescent="0.25">
      <c r="A297" s="45">
        <v>43682</v>
      </c>
      <c r="B297" s="42" t="s">
        <v>18</v>
      </c>
      <c r="C297" s="42">
        <v>2500</v>
      </c>
      <c r="D297" s="42" t="s">
        <v>10</v>
      </c>
      <c r="E297" s="46">
        <v>436.3</v>
      </c>
      <c r="F297" s="46">
        <v>438.5</v>
      </c>
      <c r="G297" s="46">
        <v>0</v>
      </c>
      <c r="H297" s="44">
        <f t="shared" si="146"/>
        <v>5499.9999999999718</v>
      </c>
      <c r="I297" s="44">
        <v>0</v>
      </c>
      <c r="J297" s="44">
        <f t="shared" si="147"/>
        <v>2.1999999999999886</v>
      </c>
      <c r="K297" s="44">
        <f t="shared" si="148"/>
        <v>5499.9999999999718</v>
      </c>
      <c r="L297" s="23"/>
      <c r="M297" s="23"/>
    </row>
    <row r="298" spans="1:13" ht="15.75" customHeight="1" x14ac:dyDescent="0.25">
      <c r="A298" s="45">
        <v>43679</v>
      </c>
      <c r="B298" s="42" t="s">
        <v>34</v>
      </c>
      <c r="C298" s="42">
        <v>100</v>
      </c>
      <c r="D298" s="42" t="s">
        <v>10</v>
      </c>
      <c r="E298" s="46">
        <v>3835</v>
      </c>
      <c r="F298" s="46">
        <v>3865</v>
      </c>
      <c r="G298" s="46">
        <v>0</v>
      </c>
      <c r="H298" s="44">
        <f t="shared" si="146"/>
        <v>3000</v>
      </c>
      <c r="I298" s="44">
        <v>0</v>
      </c>
      <c r="J298" s="44">
        <f t="shared" si="147"/>
        <v>30</v>
      </c>
      <c r="K298" s="44">
        <f t="shared" si="148"/>
        <v>3000</v>
      </c>
      <c r="L298" s="23"/>
      <c r="M298" s="23"/>
    </row>
    <row r="299" spans="1:13" ht="15.75" customHeight="1" x14ac:dyDescent="0.25">
      <c r="A299" s="45">
        <v>43678</v>
      </c>
      <c r="B299" s="42" t="s">
        <v>52</v>
      </c>
      <c r="C299" s="42">
        <v>1250</v>
      </c>
      <c r="D299" s="42" t="s">
        <v>10</v>
      </c>
      <c r="E299" s="46">
        <v>156</v>
      </c>
      <c r="F299" s="46">
        <v>158.5</v>
      </c>
      <c r="G299" s="46">
        <v>0</v>
      </c>
      <c r="H299" s="44">
        <f t="shared" si="146"/>
        <v>3125</v>
      </c>
      <c r="I299" s="44">
        <v>0</v>
      </c>
      <c r="J299" s="44">
        <f t="shared" si="147"/>
        <v>2.5</v>
      </c>
      <c r="K299" s="44">
        <f t="shared" si="148"/>
        <v>3125</v>
      </c>
      <c r="L299" s="23"/>
      <c r="M299" s="23"/>
    </row>
    <row r="300" spans="1:13" ht="15.75" customHeight="1" x14ac:dyDescent="0.25">
      <c r="A300" s="45">
        <v>43675</v>
      </c>
      <c r="B300" s="42" t="s">
        <v>34</v>
      </c>
      <c r="C300" s="42">
        <v>100</v>
      </c>
      <c r="D300" s="42" t="s">
        <v>10</v>
      </c>
      <c r="E300" s="46">
        <v>3905</v>
      </c>
      <c r="F300" s="46">
        <v>3860</v>
      </c>
      <c r="G300" s="46">
        <v>0</v>
      </c>
      <c r="H300" s="44">
        <f t="shared" si="146"/>
        <v>-4500</v>
      </c>
      <c r="I300" s="44">
        <v>0</v>
      </c>
      <c r="J300" s="44">
        <f t="shared" si="147"/>
        <v>-45</v>
      </c>
      <c r="K300" s="44">
        <f t="shared" si="148"/>
        <v>-4500</v>
      </c>
      <c r="L300" s="23"/>
      <c r="M300" s="23"/>
    </row>
    <row r="301" spans="1:13" s="23" customFormat="1" ht="15.75" customHeight="1" x14ac:dyDescent="0.25">
      <c r="A301" s="45">
        <v>43671</v>
      </c>
      <c r="B301" s="42" t="s">
        <v>34</v>
      </c>
      <c r="C301" s="42">
        <v>100</v>
      </c>
      <c r="D301" s="42" t="s">
        <v>10</v>
      </c>
      <c r="E301" s="46">
        <v>3900</v>
      </c>
      <c r="F301" s="46">
        <v>3930</v>
      </c>
      <c r="G301" s="46">
        <v>0</v>
      </c>
      <c r="H301" s="44">
        <f t="shared" si="146"/>
        <v>3000</v>
      </c>
      <c r="I301" s="44">
        <v>0</v>
      </c>
      <c r="J301" s="44">
        <f t="shared" si="147"/>
        <v>30</v>
      </c>
      <c r="K301" s="44">
        <f t="shared" si="148"/>
        <v>3000</v>
      </c>
    </row>
    <row r="302" spans="1:13" s="23" customFormat="1" ht="15.75" customHeight="1" x14ac:dyDescent="0.25">
      <c r="A302" s="45">
        <v>43670</v>
      </c>
      <c r="B302" s="42" t="s">
        <v>19</v>
      </c>
      <c r="C302" s="42">
        <v>100</v>
      </c>
      <c r="D302" s="42" t="s">
        <v>10</v>
      </c>
      <c r="E302" s="46">
        <v>34950</v>
      </c>
      <c r="F302" s="46">
        <v>35080</v>
      </c>
      <c r="G302" s="46">
        <v>0</v>
      </c>
      <c r="H302" s="44">
        <f t="shared" si="146"/>
        <v>13000</v>
      </c>
      <c r="I302" s="44">
        <v>0</v>
      </c>
      <c r="J302" s="44">
        <f t="shared" si="147"/>
        <v>130</v>
      </c>
      <c r="K302" s="44">
        <f t="shared" si="148"/>
        <v>13000</v>
      </c>
    </row>
    <row r="303" spans="1:13" s="23" customFormat="1" ht="15.75" customHeight="1" x14ac:dyDescent="0.25">
      <c r="A303" s="45">
        <v>43668</v>
      </c>
      <c r="B303" s="42" t="s">
        <v>34</v>
      </c>
      <c r="C303" s="42">
        <v>100</v>
      </c>
      <c r="D303" s="42" t="s">
        <v>10</v>
      </c>
      <c r="E303" s="46">
        <v>3927</v>
      </c>
      <c r="F303" s="46">
        <v>3890</v>
      </c>
      <c r="G303" s="46">
        <v>0</v>
      </c>
      <c r="H303" s="44">
        <f t="shared" si="146"/>
        <v>-3700</v>
      </c>
      <c r="I303" s="44">
        <v>0</v>
      </c>
      <c r="J303" s="44">
        <f t="shared" si="147"/>
        <v>-37</v>
      </c>
      <c r="K303" s="44">
        <f t="shared" si="148"/>
        <v>-3700</v>
      </c>
    </row>
    <row r="304" spans="1:13" s="23" customFormat="1" ht="15.75" customHeight="1" x14ac:dyDescent="0.25">
      <c r="A304" s="45">
        <v>43665</v>
      </c>
      <c r="B304" s="42" t="s">
        <v>21</v>
      </c>
      <c r="C304" s="42">
        <v>250</v>
      </c>
      <c r="D304" s="42" t="s">
        <v>11</v>
      </c>
      <c r="E304" s="46">
        <v>1005</v>
      </c>
      <c r="F304" s="46">
        <v>997</v>
      </c>
      <c r="G304" s="46">
        <v>0</v>
      </c>
      <c r="H304" s="44">
        <f t="shared" si="146"/>
        <v>2000</v>
      </c>
      <c r="I304" s="44">
        <v>0</v>
      </c>
      <c r="J304" s="44">
        <f t="shared" si="147"/>
        <v>8</v>
      </c>
      <c r="K304" s="44">
        <f t="shared" si="148"/>
        <v>2000</v>
      </c>
    </row>
    <row r="305" spans="1:11" s="23" customFormat="1" ht="15.75" customHeight="1" x14ac:dyDescent="0.25">
      <c r="A305" s="45">
        <v>43664</v>
      </c>
      <c r="B305" s="42" t="s">
        <v>15</v>
      </c>
      <c r="C305" s="42">
        <v>5000</v>
      </c>
      <c r="D305" s="42" t="s">
        <v>10</v>
      </c>
      <c r="E305" s="46">
        <v>156.1</v>
      </c>
      <c r="F305" s="46">
        <v>157</v>
      </c>
      <c r="G305" s="46">
        <v>0</v>
      </c>
      <c r="H305" s="44">
        <f t="shared" si="146"/>
        <v>4500.0000000000282</v>
      </c>
      <c r="I305" s="44">
        <v>0</v>
      </c>
      <c r="J305" s="44">
        <f t="shared" si="147"/>
        <v>0.90000000000000568</v>
      </c>
      <c r="K305" s="44">
        <f t="shared" si="148"/>
        <v>4500.0000000000282</v>
      </c>
    </row>
    <row r="306" spans="1:11" s="23" customFormat="1" ht="15.75" customHeight="1" x14ac:dyDescent="0.25">
      <c r="A306" s="45">
        <v>43664</v>
      </c>
      <c r="B306" s="42" t="s">
        <v>17</v>
      </c>
      <c r="C306" s="42">
        <v>5000</v>
      </c>
      <c r="D306" s="42" t="s">
        <v>10</v>
      </c>
      <c r="E306" s="46">
        <v>196</v>
      </c>
      <c r="F306" s="46">
        <v>194.65</v>
      </c>
      <c r="G306" s="46">
        <v>0</v>
      </c>
      <c r="H306" s="44">
        <f t="shared" si="146"/>
        <v>-6749.9999999999718</v>
      </c>
      <c r="I306" s="44">
        <v>0</v>
      </c>
      <c r="J306" s="44">
        <f t="shared" si="147"/>
        <v>-1.3499999999999943</v>
      </c>
      <c r="K306" s="44">
        <f t="shared" si="148"/>
        <v>-6749.9999999999718</v>
      </c>
    </row>
    <row r="307" spans="1:11" s="23" customFormat="1" ht="15.75" customHeight="1" x14ac:dyDescent="0.25">
      <c r="A307" s="45">
        <v>43662</v>
      </c>
      <c r="B307" s="42" t="s">
        <v>18</v>
      </c>
      <c r="C307" s="42">
        <v>1000</v>
      </c>
      <c r="D307" s="42" t="s">
        <v>10</v>
      </c>
      <c r="E307" s="46">
        <v>446</v>
      </c>
      <c r="F307" s="46">
        <v>448.5</v>
      </c>
      <c r="G307" s="46">
        <v>0</v>
      </c>
      <c r="H307" s="44">
        <f t="shared" si="146"/>
        <v>2500</v>
      </c>
      <c r="I307" s="44">
        <v>0</v>
      </c>
      <c r="J307" s="44">
        <f t="shared" si="147"/>
        <v>2.5</v>
      </c>
      <c r="K307" s="44">
        <f t="shared" si="148"/>
        <v>2500</v>
      </c>
    </row>
    <row r="308" spans="1:11" s="23" customFormat="1" ht="15.75" customHeight="1" x14ac:dyDescent="0.25">
      <c r="A308" s="45">
        <v>43657</v>
      </c>
      <c r="B308" s="42" t="s">
        <v>17</v>
      </c>
      <c r="C308" s="42">
        <v>5000</v>
      </c>
      <c r="D308" s="42" t="s">
        <v>10</v>
      </c>
      <c r="E308" s="46">
        <v>192.2</v>
      </c>
      <c r="F308" s="46">
        <v>193.2</v>
      </c>
      <c r="G308" s="46">
        <v>0</v>
      </c>
      <c r="H308" s="44">
        <f t="shared" si="146"/>
        <v>5000</v>
      </c>
      <c r="I308" s="44">
        <v>0</v>
      </c>
      <c r="J308" s="44">
        <f t="shared" si="147"/>
        <v>1</v>
      </c>
      <c r="K308" s="44">
        <f t="shared" si="148"/>
        <v>5000</v>
      </c>
    </row>
    <row r="309" spans="1:11" s="23" customFormat="1" ht="15.75" customHeight="1" x14ac:dyDescent="0.25">
      <c r="A309" s="45">
        <v>43654</v>
      </c>
      <c r="B309" s="42" t="s">
        <v>17</v>
      </c>
      <c r="C309" s="42">
        <v>5000</v>
      </c>
      <c r="D309" s="42" t="s">
        <v>11</v>
      </c>
      <c r="E309" s="46">
        <v>193.6</v>
      </c>
      <c r="F309" s="46">
        <v>192.6</v>
      </c>
      <c r="G309" s="46">
        <v>0</v>
      </c>
      <c r="H309" s="44">
        <f t="shared" si="146"/>
        <v>5000</v>
      </c>
      <c r="I309" s="44">
        <v>0</v>
      </c>
      <c r="J309" s="44">
        <f t="shared" ref="J309:J334" si="149">(I309+H309)/C309</f>
        <v>1</v>
      </c>
      <c r="K309" s="44">
        <f t="shared" ref="K309:K334" si="150">J309*C309</f>
        <v>5000</v>
      </c>
    </row>
    <row r="310" spans="1:11" s="23" customFormat="1" ht="15.75" customHeight="1" x14ac:dyDescent="0.25">
      <c r="A310" s="45">
        <v>43648</v>
      </c>
      <c r="B310" s="42" t="s">
        <v>19</v>
      </c>
      <c r="C310" s="42">
        <v>100</v>
      </c>
      <c r="D310" s="42" t="s">
        <v>11</v>
      </c>
      <c r="E310" s="46">
        <v>33760</v>
      </c>
      <c r="F310" s="46">
        <v>33860</v>
      </c>
      <c r="G310" s="46">
        <v>0</v>
      </c>
      <c r="H310" s="44">
        <f t="shared" si="146"/>
        <v>-10000</v>
      </c>
      <c r="I310" s="44">
        <v>0</v>
      </c>
      <c r="J310" s="44">
        <f t="shared" si="149"/>
        <v>-100</v>
      </c>
      <c r="K310" s="44">
        <f t="shared" si="150"/>
        <v>-10000</v>
      </c>
    </row>
    <row r="311" spans="1:11" s="23" customFormat="1" ht="15.75" customHeight="1" x14ac:dyDescent="0.25">
      <c r="A311" s="45">
        <v>43643</v>
      </c>
      <c r="B311" s="42" t="s">
        <v>17</v>
      </c>
      <c r="C311" s="42">
        <v>5000</v>
      </c>
      <c r="D311" s="42" t="s">
        <v>10</v>
      </c>
      <c r="E311" s="46">
        <v>200.3</v>
      </c>
      <c r="F311" s="46">
        <v>199.3</v>
      </c>
      <c r="G311" s="46">
        <v>0</v>
      </c>
      <c r="H311" s="44">
        <f t="shared" si="146"/>
        <v>-5000</v>
      </c>
      <c r="I311" s="44">
        <v>0</v>
      </c>
      <c r="J311" s="44">
        <f t="shared" si="149"/>
        <v>-1</v>
      </c>
      <c r="K311" s="44">
        <f t="shared" si="150"/>
        <v>-5000</v>
      </c>
    </row>
    <row r="312" spans="1:11" s="23" customFormat="1" ht="15.75" customHeight="1" x14ac:dyDescent="0.25">
      <c r="A312" s="45">
        <v>43642</v>
      </c>
      <c r="B312" s="42" t="s">
        <v>17</v>
      </c>
      <c r="C312" s="42">
        <v>5000</v>
      </c>
      <c r="D312" s="42" t="s">
        <v>10</v>
      </c>
      <c r="E312" s="46">
        <v>205</v>
      </c>
      <c r="F312" s="46">
        <v>204</v>
      </c>
      <c r="G312" s="46">
        <v>0</v>
      </c>
      <c r="H312" s="44">
        <f t="shared" si="146"/>
        <v>-5000</v>
      </c>
      <c r="I312" s="44">
        <v>0</v>
      </c>
      <c r="J312" s="44">
        <f t="shared" si="149"/>
        <v>-1</v>
      </c>
      <c r="K312" s="44">
        <f t="shared" si="150"/>
        <v>-5000</v>
      </c>
    </row>
    <row r="313" spans="1:11" s="23" customFormat="1" ht="15.75" customHeight="1" x14ac:dyDescent="0.25">
      <c r="A313" s="45">
        <v>43601</v>
      </c>
      <c r="B313" s="42" t="s">
        <v>18</v>
      </c>
      <c r="C313" s="42">
        <v>1000</v>
      </c>
      <c r="D313" s="42" t="s">
        <v>10</v>
      </c>
      <c r="E313" s="46">
        <v>413.2</v>
      </c>
      <c r="F313" s="46">
        <v>0</v>
      </c>
      <c r="G313" s="46">
        <v>0</v>
      </c>
      <c r="H313" s="44">
        <v>0</v>
      </c>
      <c r="I313" s="44">
        <v>0</v>
      </c>
      <c r="J313" s="44">
        <f t="shared" si="149"/>
        <v>0</v>
      </c>
      <c r="K313" s="44">
        <f t="shared" si="150"/>
        <v>0</v>
      </c>
    </row>
    <row r="314" spans="1:11" s="23" customFormat="1" ht="15.75" customHeight="1" x14ac:dyDescent="0.25">
      <c r="A314" s="45">
        <v>43600</v>
      </c>
      <c r="B314" s="42" t="s">
        <v>17</v>
      </c>
      <c r="C314" s="42">
        <v>5000</v>
      </c>
      <c r="D314" s="42" t="s">
        <v>10</v>
      </c>
      <c r="E314" s="46">
        <v>215</v>
      </c>
      <c r="F314" s="46">
        <v>0</v>
      </c>
      <c r="G314" s="46">
        <v>0</v>
      </c>
      <c r="H314" s="44">
        <v>0</v>
      </c>
      <c r="I314" s="44">
        <v>0</v>
      </c>
      <c r="J314" s="44">
        <f t="shared" si="149"/>
        <v>0</v>
      </c>
      <c r="K314" s="44">
        <f t="shared" si="150"/>
        <v>0</v>
      </c>
    </row>
    <row r="315" spans="1:11" s="23" customFormat="1" ht="15.75" customHeight="1" x14ac:dyDescent="0.25">
      <c r="A315" s="45">
        <v>43599</v>
      </c>
      <c r="B315" s="42" t="s">
        <v>34</v>
      </c>
      <c r="C315" s="42">
        <v>100</v>
      </c>
      <c r="D315" s="42" t="s">
        <v>10</v>
      </c>
      <c r="E315" s="46">
        <v>4350</v>
      </c>
      <c r="F315" s="46">
        <v>0</v>
      </c>
      <c r="G315" s="46">
        <v>0</v>
      </c>
      <c r="H315" s="44">
        <v>0</v>
      </c>
      <c r="I315" s="44">
        <v>0</v>
      </c>
      <c r="J315" s="44">
        <f t="shared" si="149"/>
        <v>0</v>
      </c>
      <c r="K315" s="44">
        <f t="shared" si="150"/>
        <v>0</v>
      </c>
    </row>
    <row r="316" spans="1:11" s="23" customFormat="1" ht="15.75" customHeight="1" x14ac:dyDescent="0.25">
      <c r="A316" s="45">
        <v>43598</v>
      </c>
      <c r="B316" s="42" t="s">
        <v>19</v>
      </c>
      <c r="C316" s="42">
        <v>100</v>
      </c>
      <c r="D316" s="42" t="s">
        <v>10</v>
      </c>
      <c r="E316" s="46">
        <v>32020</v>
      </c>
      <c r="F316" s="46">
        <v>32110</v>
      </c>
      <c r="G316" s="46">
        <v>32250</v>
      </c>
      <c r="H316" s="44">
        <f t="shared" ref="H316:H322" si="151">(IF(D316="SELL",E316-F316,IF(D316="BUY",F316-E316)))*C316</f>
        <v>9000</v>
      </c>
      <c r="I316" s="44">
        <f>C316*140</f>
        <v>14000</v>
      </c>
      <c r="J316" s="44">
        <f t="shared" si="149"/>
        <v>230</v>
      </c>
      <c r="K316" s="44">
        <f t="shared" si="150"/>
        <v>23000</v>
      </c>
    </row>
    <row r="317" spans="1:11" s="23" customFormat="1" ht="15.75" customHeight="1" x14ac:dyDescent="0.25">
      <c r="A317" s="45">
        <v>43598</v>
      </c>
      <c r="B317" s="42" t="s">
        <v>34</v>
      </c>
      <c r="C317" s="42">
        <v>100</v>
      </c>
      <c r="D317" s="42" t="s">
        <v>10</v>
      </c>
      <c r="E317" s="46">
        <v>4350</v>
      </c>
      <c r="F317" s="46">
        <v>4380</v>
      </c>
      <c r="G317" s="46">
        <v>4435</v>
      </c>
      <c r="H317" s="44">
        <f t="shared" si="151"/>
        <v>3000</v>
      </c>
      <c r="I317" s="44">
        <f>C317*55</f>
        <v>5500</v>
      </c>
      <c r="J317" s="44">
        <f t="shared" si="149"/>
        <v>85</v>
      </c>
      <c r="K317" s="44">
        <f t="shared" si="150"/>
        <v>8500</v>
      </c>
    </row>
    <row r="318" spans="1:11" s="23" customFormat="1" ht="15.75" customHeight="1" x14ac:dyDescent="0.25">
      <c r="A318" s="45">
        <v>43594</v>
      </c>
      <c r="B318" s="42" t="s">
        <v>34</v>
      </c>
      <c r="C318" s="42">
        <v>100</v>
      </c>
      <c r="D318" s="42" t="s">
        <v>10</v>
      </c>
      <c r="E318" s="46">
        <v>4320</v>
      </c>
      <c r="F318" s="46">
        <v>4350</v>
      </c>
      <c r="G318" s="46">
        <v>0</v>
      </c>
      <c r="H318" s="44">
        <f t="shared" si="151"/>
        <v>3000</v>
      </c>
      <c r="I318" s="44">
        <v>0</v>
      </c>
      <c r="J318" s="44">
        <f t="shared" si="149"/>
        <v>30</v>
      </c>
      <c r="K318" s="44">
        <f t="shared" si="150"/>
        <v>3000</v>
      </c>
    </row>
    <row r="319" spans="1:11" s="23" customFormat="1" ht="15.75" customHeight="1" x14ac:dyDescent="0.25">
      <c r="A319" s="45">
        <v>43592</v>
      </c>
      <c r="B319" s="42" t="s">
        <v>17</v>
      </c>
      <c r="C319" s="42">
        <v>5000</v>
      </c>
      <c r="D319" s="42" t="s">
        <v>11</v>
      </c>
      <c r="E319" s="46">
        <v>217.55</v>
      </c>
      <c r="F319" s="46">
        <v>216.5</v>
      </c>
      <c r="G319" s="46">
        <v>0</v>
      </c>
      <c r="H319" s="44">
        <f t="shared" si="151"/>
        <v>5250.0000000000564</v>
      </c>
      <c r="I319" s="44">
        <v>0</v>
      </c>
      <c r="J319" s="44">
        <f t="shared" si="149"/>
        <v>1.0500000000000114</v>
      </c>
      <c r="K319" s="44">
        <f t="shared" si="150"/>
        <v>5250.0000000000564</v>
      </c>
    </row>
    <row r="320" spans="1:11" s="23" customFormat="1" ht="15.75" customHeight="1" x14ac:dyDescent="0.25">
      <c r="A320" s="45">
        <v>43588</v>
      </c>
      <c r="B320" s="42" t="s">
        <v>17</v>
      </c>
      <c r="C320" s="42">
        <v>5000</v>
      </c>
      <c r="D320" s="42" t="s">
        <v>11</v>
      </c>
      <c r="E320" s="46">
        <v>217.5</v>
      </c>
      <c r="F320" s="46">
        <v>219</v>
      </c>
      <c r="G320" s="46">
        <v>0</v>
      </c>
      <c r="H320" s="44">
        <f t="shared" si="151"/>
        <v>-7500</v>
      </c>
      <c r="I320" s="44">
        <v>0</v>
      </c>
      <c r="J320" s="44">
        <f t="shared" si="149"/>
        <v>-1.5</v>
      </c>
      <c r="K320" s="44">
        <f t="shared" si="150"/>
        <v>-7500</v>
      </c>
    </row>
    <row r="321" spans="1:13" s="23" customFormat="1" ht="15.75" customHeight="1" x14ac:dyDescent="0.25">
      <c r="A321" s="45">
        <v>43579</v>
      </c>
      <c r="B321" s="42" t="s">
        <v>17</v>
      </c>
      <c r="C321" s="42">
        <v>5000</v>
      </c>
      <c r="D321" s="42" t="s">
        <v>11</v>
      </c>
      <c r="E321" s="46">
        <v>223.6</v>
      </c>
      <c r="F321" s="46">
        <v>222.6</v>
      </c>
      <c r="G321" s="46">
        <v>0</v>
      </c>
      <c r="H321" s="44">
        <f t="shared" si="151"/>
        <v>5000</v>
      </c>
      <c r="I321" s="44">
        <v>0</v>
      </c>
      <c r="J321" s="44">
        <f t="shared" si="149"/>
        <v>1</v>
      </c>
      <c r="K321" s="44">
        <f t="shared" si="150"/>
        <v>5000</v>
      </c>
    </row>
    <row r="322" spans="1:13" s="23" customFormat="1" ht="15.75" customHeight="1" x14ac:dyDescent="0.25">
      <c r="A322" s="45">
        <v>43567</v>
      </c>
      <c r="B322" s="42" t="s">
        <v>18</v>
      </c>
      <c r="C322" s="42">
        <v>1000</v>
      </c>
      <c r="D322" s="42" t="s">
        <v>10</v>
      </c>
      <c r="E322" s="46">
        <v>446</v>
      </c>
      <c r="F322" s="46">
        <v>449</v>
      </c>
      <c r="G322" s="46">
        <v>0</v>
      </c>
      <c r="H322" s="44">
        <f t="shared" si="151"/>
        <v>3000</v>
      </c>
      <c r="I322" s="44">
        <v>0</v>
      </c>
      <c r="J322" s="44">
        <f t="shared" si="149"/>
        <v>3</v>
      </c>
      <c r="K322" s="44">
        <f t="shared" si="150"/>
        <v>3000</v>
      </c>
    </row>
    <row r="323" spans="1:13" s="23" customFormat="1" ht="15.75" customHeight="1" x14ac:dyDescent="0.25">
      <c r="A323" s="45">
        <v>43565</v>
      </c>
      <c r="B323" s="42" t="s">
        <v>18</v>
      </c>
      <c r="C323" s="42">
        <v>1000</v>
      </c>
      <c r="D323" s="42" t="s">
        <v>11</v>
      </c>
      <c r="E323" s="46">
        <v>447</v>
      </c>
      <c r="F323" s="46">
        <v>0</v>
      </c>
      <c r="G323" s="46">
        <v>0</v>
      </c>
      <c r="H323" s="44">
        <v>0</v>
      </c>
      <c r="I323" s="44">
        <v>0</v>
      </c>
      <c r="J323" s="44">
        <f t="shared" si="149"/>
        <v>0</v>
      </c>
      <c r="K323" s="44">
        <f t="shared" si="150"/>
        <v>0</v>
      </c>
    </row>
    <row r="324" spans="1:13" s="23" customFormat="1" ht="15.75" customHeight="1" x14ac:dyDescent="0.25">
      <c r="A324" s="45">
        <v>43564</v>
      </c>
      <c r="B324" s="42" t="s">
        <v>34</v>
      </c>
      <c r="C324" s="42">
        <v>100</v>
      </c>
      <c r="D324" s="42" t="s">
        <v>11</v>
      </c>
      <c r="E324" s="46">
        <v>4470</v>
      </c>
      <c r="F324" s="46">
        <v>4440</v>
      </c>
      <c r="G324" s="46">
        <v>0</v>
      </c>
      <c r="H324" s="44">
        <f t="shared" ref="H324:H334" si="152">(IF(D324="SELL",E324-F324,IF(D324="BUY",F324-E324)))*C324</f>
        <v>3000</v>
      </c>
      <c r="I324" s="44">
        <v>0</v>
      </c>
      <c r="J324" s="44">
        <f t="shared" si="149"/>
        <v>30</v>
      </c>
      <c r="K324" s="44">
        <f t="shared" si="150"/>
        <v>3000</v>
      </c>
    </row>
    <row r="325" spans="1:13" s="23" customFormat="1" ht="15.75" customHeight="1" x14ac:dyDescent="0.25">
      <c r="A325" s="45">
        <v>43563</v>
      </c>
      <c r="B325" s="42" t="s">
        <v>14</v>
      </c>
      <c r="C325" s="42">
        <v>30</v>
      </c>
      <c r="D325" s="42" t="s">
        <v>10</v>
      </c>
      <c r="E325" s="46">
        <v>37970</v>
      </c>
      <c r="F325" s="46">
        <v>38110</v>
      </c>
      <c r="G325" s="46">
        <v>0</v>
      </c>
      <c r="H325" s="44">
        <f t="shared" si="152"/>
        <v>4200</v>
      </c>
      <c r="I325" s="44">
        <v>0</v>
      </c>
      <c r="J325" s="44">
        <f t="shared" si="149"/>
        <v>140</v>
      </c>
      <c r="K325" s="44">
        <f t="shared" si="150"/>
        <v>4200</v>
      </c>
    </row>
    <row r="326" spans="1:13" s="23" customFormat="1" ht="15.75" customHeight="1" x14ac:dyDescent="0.25">
      <c r="A326" s="45">
        <v>43559</v>
      </c>
      <c r="B326" s="42" t="s">
        <v>34</v>
      </c>
      <c r="C326" s="42">
        <v>100</v>
      </c>
      <c r="D326" s="42" t="s">
        <v>10</v>
      </c>
      <c r="E326" s="46">
        <v>4310</v>
      </c>
      <c r="F326" s="46">
        <v>4340</v>
      </c>
      <c r="G326" s="46">
        <v>0</v>
      </c>
      <c r="H326" s="44">
        <f t="shared" si="152"/>
        <v>3000</v>
      </c>
      <c r="I326" s="44">
        <v>0</v>
      </c>
      <c r="J326" s="44">
        <f t="shared" si="149"/>
        <v>30</v>
      </c>
      <c r="K326" s="44">
        <f t="shared" si="150"/>
        <v>3000</v>
      </c>
    </row>
    <row r="327" spans="1:13" s="23" customFormat="1" ht="15.75" customHeight="1" x14ac:dyDescent="0.25">
      <c r="A327" s="45">
        <v>43558</v>
      </c>
      <c r="B327" s="42" t="s">
        <v>14</v>
      </c>
      <c r="C327" s="42">
        <v>30</v>
      </c>
      <c r="D327" s="42" t="s">
        <v>11</v>
      </c>
      <c r="E327" s="46">
        <v>37280</v>
      </c>
      <c r="F327" s="46">
        <v>37150</v>
      </c>
      <c r="G327" s="46">
        <v>0</v>
      </c>
      <c r="H327" s="44">
        <f t="shared" si="152"/>
        <v>3900</v>
      </c>
      <c r="I327" s="44">
        <v>0</v>
      </c>
      <c r="J327" s="44">
        <f t="shared" si="149"/>
        <v>130</v>
      </c>
      <c r="K327" s="44">
        <f t="shared" si="150"/>
        <v>3900</v>
      </c>
    </row>
    <row r="328" spans="1:13" s="23" customFormat="1" ht="15.75" customHeight="1" x14ac:dyDescent="0.25">
      <c r="A328" s="45">
        <v>43558</v>
      </c>
      <c r="B328" s="42" t="s">
        <v>17</v>
      </c>
      <c r="C328" s="42">
        <v>5000</v>
      </c>
      <c r="D328" s="42" t="s">
        <v>10</v>
      </c>
      <c r="E328" s="46">
        <v>223.4</v>
      </c>
      <c r="F328" s="46">
        <v>224.4</v>
      </c>
      <c r="G328" s="46">
        <v>226.5</v>
      </c>
      <c r="H328" s="44">
        <f t="shared" si="152"/>
        <v>5000</v>
      </c>
      <c r="I328" s="44">
        <f>C328*2.1</f>
        <v>10500</v>
      </c>
      <c r="J328" s="44">
        <f t="shared" si="149"/>
        <v>3.1</v>
      </c>
      <c r="K328" s="44">
        <f t="shared" si="150"/>
        <v>15500</v>
      </c>
    </row>
    <row r="329" spans="1:13" s="23" customFormat="1" ht="15.75" customHeight="1" x14ac:dyDescent="0.25">
      <c r="A329" s="45">
        <v>43557</v>
      </c>
      <c r="B329" s="42" t="s">
        <v>14</v>
      </c>
      <c r="C329" s="42">
        <v>30</v>
      </c>
      <c r="D329" s="42" t="s">
        <v>11</v>
      </c>
      <c r="E329" s="46">
        <v>37450</v>
      </c>
      <c r="F329" s="46">
        <v>37320</v>
      </c>
      <c r="G329" s="46">
        <v>0</v>
      </c>
      <c r="H329" s="44">
        <f t="shared" si="152"/>
        <v>3900</v>
      </c>
      <c r="I329" s="44">
        <v>0</v>
      </c>
      <c r="J329" s="44">
        <f t="shared" si="149"/>
        <v>130</v>
      </c>
      <c r="K329" s="44">
        <f t="shared" si="150"/>
        <v>3900</v>
      </c>
    </row>
    <row r="330" spans="1:13" s="23" customFormat="1" ht="15.75" customHeight="1" x14ac:dyDescent="0.25">
      <c r="A330" s="45">
        <v>43553</v>
      </c>
      <c r="B330" s="42" t="s">
        <v>18</v>
      </c>
      <c r="C330" s="42">
        <v>1000</v>
      </c>
      <c r="D330" s="42" t="s">
        <v>10</v>
      </c>
      <c r="E330" s="46">
        <v>445.5</v>
      </c>
      <c r="F330" s="46">
        <v>447.5</v>
      </c>
      <c r="G330" s="46">
        <v>0</v>
      </c>
      <c r="H330" s="44">
        <f t="shared" si="152"/>
        <v>2000</v>
      </c>
      <c r="I330" s="44">
        <v>0</v>
      </c>
      <c r="J330" s="44">
        <f t="shared" si="149"/>
        <v>2</v>
      </c>
      <c r="K330" s="44">
        <f t="shared" si="150"/>
        <v>2000</v>
      </c>
    </row>
    <row r="331" spans="1:13" s="23" customFormat="1" ht="15.75" customHeight="1" x14ac:dyDescent="0.25">
      <c r="A331" s="45">
        <v>43538</v>
      </c>
      <c r="B331" s="42" t="s">
        <v>19</v>
      </c>
      <c r="C331" s="42">
        <v>100</v>
      </c>
      <c r="D331" s="42" t="s">
        <v>11</v>
      </c>
      <c r="E331" s="46">
        <v>32095</v>
      </c>
      <c r="F331" s="46">
        <v>32040</v>
      </c>
      <c r="G331" s="46">
        <v>31970</v>
      </c>
      <c r="H331" s="44">
        <f t="shared" si="152"/>
        <v>5500</v>
      </c>
      <c r="I331" s="44">
        <f>C331*70</f>
        <v>7000</v>
      </c>
      <c r="J331" s="44">
        <f t="shared" si="149"/>
        <v>125</v>
      </c>
      <c r="K331" s="44">
        <f t="shared" si="150"/>
        <v>12500</v>
      </c>
    </row>
    <row r="332" spans="1:13" s="23" customFormat="1" ht="15.75" customHeight="1" x14ac:dyDescent="0.25">
      <c r="A332" s="45">
        <v>43538</v>
      </c>
      <c r="B332" s="42" t="s">
        <v>14</v>
      </c>
      <c r="C332" s="42">
        <v>30</v>
      </c>
      <c r="D332" s="42" t="s">
        <v>11</v>
      </c>
      <c r="E332" s="46">
        <v>38550</v>
      </c>
      <c r="F332" s="46">
        <v>38300</v>
      </c>
      <c r="G332" s="46">
        <v>38100</v>
      </c>
      <c r="H332" s="44">
        <f t="shared" si="152"/>
        <v>7500</v>
      </c>
      <c r="I332" s="44">
        <f>C332*200</f>
        <v>6000</v>
      </c>
      <c r="J332" s="44">
        <f t="shared" si="149"/>
        <v>450</v>
      </c>
      <c r="K332" s="44">
        <f t="shared" si="150"/>
        <v>13500</v>
      </c>
    </row>
    <row r="333" spans="1:13" s="23" customFormat="1" ht="15.75" customHeight="1" x14ac:dyDescent="0.25">
      <c r="A333" s="45">
        <v>43536</v>
      </c>
      <c r="B333" s="42" t="s">
        <v>18</v>
      </c>
      <c r="C333" s="42">
        <v>1000</v>
      </c>
      <c r="D333" s="42" t="s">
        <v>10</v>
      </c>
      <c r="E333" s="46">
        <v>453.8</v>
      </c>
      <c r="F333" s="46">
        <v>455.3</v>
      </c>
      <c r="G333" s="46">
        <v>0</v>
      </c>
      <c r="H333" s="44">
        <f t="shared" si="152"/>
        <v>1500</v>
      </c>
      <c r="I333" s="44">
        <v>0</v>
      </c>
      <c r="J333" s="44">
        <f t="shared" si="149"/>
        <v>1.5</v>
      </c>
      <c r="K333" s="44">
        <f t="shared" si="150"/>
        <v>1500</v>
      </c>
    </row>
    <row r="334" spans="1:13" s="23" customFormat="1" ht="15.75" customHeight="1" x14ac:dyDescent="0.25">
      <c r="A334" s="45">
        <v>43536</v>
      </c>
      <c r="B334" s="42" t="s">
        <v>19</v>
      </c>
      <c r="C334" s="42">
        <v>100</v>
      </c>
      <c r="D334" s="42" t="s">
        <v>11</v>
      </c>
      <c r="E334" s="46">
        <v>31940</v>
      </c>
      <c r="F334" s="46">
        <v>31880</v>
      </c>
      <c r="G334" s="46">
        <v>0</v>
      </c>
      <c r="H334" s="44">
        <f t="shared" si="152"/>
        <v>6000</v>
      </c>
      <c r="I334" s="44">
        <v>0</v>
      </c>
      <c r="J334" s="44">
        <f t="shared" si="149"/>
        <v>60</v>
      </c>
      <c r="K334" s="44">
        <f t="shared" si="150"/>
        <v>6000</v>
      </c>
    </row>
    <row r="335" spans="1:13" s="23" customFormat="1" ht="15.75" customHeight="1" x14ac:dyDescent="0.25">
      <c r="A335" s="45"/>
      <c r="B335" s="42"/>
      <c r="C335" s="42"/>
      <c r="D335" s="42"/>
      <c r="E335" s="42"/>
      <c r="F335" s="42"/>
      <c r="G335" s="42"/>
      <c r="H335" s="44"/>
      <c r="I335" s="44"/>
      <c r="J335" s="44"/>
      <c r="K335" s="44"/>
      <c r="L335"/>
      <c r="M335"/>
    </row>
    <row r="336" spans="1:13" s="23" customFormat="1" ht="15.75" customHeight="1" x14ac:dyDescent="0.25">
      <c r="A336" s="43"/>
      <c r="B336" s="42"/>
      <c r="C336" s="42"/>
      <c r="D336" s="42"/>
      <c r="E336" s="42"/>
      <c r="F336" s="42"/>
      <c r="G336" s="42"/>
      <c r="H336" s="41"/>
      <c r="I336" s="41"/>
      <c r="J336" s="41"/>
      <c r="K336" s="41"/>
      <c r="L336"/>
      <c r="M336"/>
    </row>
    <row r="337" spans="1:13" s="23" customFormat="1" ht="15.75" customHeight="1" x14ac:dyDescent="0.25">
      <c r="A337" s="40"/>
      <c r="B337" s="9"/>
      <c r="C337" s="9"/>
      <c r="D337" s="9"/>
      <c r="E337" s="9"/>
      <c r="F337" s="9"/>
      <c r="G337" s="9"/>
      <c r="H337" s="8"/>
      <c r="I337" s="8"/>
      <c r="J337" s="8"/>
      <c r="K337" s="8"/>
      <c r="L337"/>
      <c r="M337"/>
    </row>
    <row r="338" spans="1:13" s="23" customFormat="1" ht="15.75" customHeight="1" x14ac:dyDescent="0.25">
      <c r="A338" s="40"/>
      <c r="B338" s="9"/>
      <c r="C338" s="9"/>
      <c r="D338" s="9"/>
      <c r="E338" s="9"/>
      <c r="F338" s="9"/>
      <c r="G338" s="9"/>
      <c r="H338" s="8"/>
      <c r="I338" s="8"/>
      <c r="J338" s="8"/>
      <c r="K338" s="8"/>
      <c r="L338"/>
      <c r="M338"/>
    </row>
    <row r="339" spans="1:13" s="23" customFormat="1" ht="15.75" customHeight="1" x14ac:dyDescent="0.25">
      <c r="A339" s="40"/>
      <c r="B339" s="9"/>
      <c r="C339" s="9"/>
      <c r="D339" s="9"/>
      <c r="E339" s="9"/>
      <c r="F339" s="9"/>
      <c r="G339" s="9"/>
      <c r="H339" s="8"/>
      <c r="I339" s="8"/>
      <c r="J339" s="8"/>
      <c r="K339" s="8"/>
      <c r="L339"/>
      <c r="M339"/>
    </row>
    <row r="340" spans="1:13" s="23" customFormat="1" ht="15.75" customHeight="1" x14ac:dyDescent="0.25">
      <c r="A340" s="40"/>
      <c r="B340" s="9"/>
      <c r="C340" s="9"/>
      <c r="D340" s="9"/>
      <c r="E340" s="9"/>
      <c r="F340" s="9"/>
      <c r="G340" s="9"/>
      <c r="H340" s="8"/>
      <c r="I340" s="8"/>
      <c r="J340" s="8"/>
      <c r="K340" s="8"/>
      <c r="L340"/>
      <c r="M340"/>
    </row>
    <row r="341" spans="1:13" s="23" customFormat="1" ht="15.75" customHeight="1" x14ac:dyDescent="0.25">
      <c r="A341" s="40"/>
      <c r="B341" s="9"/>
      <c r="C341" s="9"/>
      <c r="D341" s="9"/>
      <c r="E341" s="9"/>
      <c r="F341" s="9"/>
      <c r="G341" s="9"/>
      <c r="H341" s="8"/>
      <c r="I341" s="8"/>
      <c r="J341" s="8"/>
      <c r="K341" s="8"/>
      <c r="L341"/>
      <c r="M341"/>
    </row>
    <row r="342" spans="1:13" s="23" customFormat="1" ht="15.75" customHeight="1" x14ac:dyDescent="0.25">
      <c r="A342" s="40"/>
      <c r="B342" s="9"/>
      <c r="C342" s="9"/>
      <c r="D342" s="9"/>
      <c r="E342" s="9"/>
      <c r="F342" s="9"/>
      <c r="G342" s="9"/>
      <c r="H342" s="8"/>
      <c r="I342" s="8"/>
      <c r="J342" s="8"/>
      <c r="K342" s="8"/>
      <c r="L342"/>
      <c r="M342"/>
    </row>
    <row r="343" spans="1:13" ht="15.75" customHeight="1" x14ac:dyDescent="0.25">
      <c r="A343" s="40"/>
      <c r="B343" s="9"/>
      <c r="C343" s="9"/>
      <c r="D343" s="9"/>
      <c r="E343" s="9"/>
      <c r="F343" s="9"/>
      <c r="G343" s="9"/>
      <c r="H343" s="8"/>
      <c r="I343" s="8"/>
      <c r="J343" s="8"/>
      <c r="K343" s="8"/>
    </row>
    <row r="344" spans="1:13" ht="15.75" customHeight="1" x14ac:dyDescent="0.25">
      <c r="A344" s="40"/>
      <c r="B344" s="9"/>
      <c r="C344" s="9"/>
      <c r="D344" s="9"/>
      <c r="E344" s="9"/>
      <c r="F344" s="9"/>
      <c r="G344" s="9"/>
      <c r="H344" s="8"/>
      <c r="I344" s="8"/>
      <c r="J344" s="8"/>
      <c r="K344" s="8"/>
    </row>
    <row r="345" spans="1:13" ht="15.75" customHeight="1" x14ac:dyDescent="0.25">
      <c r="A345" s="40"/>
      <c r="B345" s="9"/>
      <c r="C345" s="9"/>
      <c r="D345" s="9"/>
      <c r="E345" s="9"/>
      <c r="F345" s="9"/>
      <c r="G345" s="9"/>
      <c r="H345" s="8"/>
      <c r="I345" s="8"/>
      <c r="J345" s="8"/>
      <c r="K345" s="8"/>
    </row>
    <row r="346" spans="1:13" ht="15.75" customHeight="1" x14ac:dyDescent="0.25">
      <c r="A346" s="40"/>
      <c r="B346" s="9"/>
      <c r="C346" s="9"/>
      <c r="D346" s="9"/>
      <c r="E346" s="9"/>
      <c r="F346" s="9"/>
      <c r="G346" s="9"/>
      <c r="H346" s="8"/>
      <c r="I346" s="8"/>
      <c r="J346" s="8"/>
      <c r="K346" s="8"/>
    </row>
    <row r="347" spans="1:13" ht="15.75" customHeight="1" x14ac:dyDescent="0.25">
      <c r="A347" s="40"/>
      <c r="B347" s="9"/>
      <c r="C347" s="9"/>
      <c r="D347" s="9"/>
      <c r="E347" s="9"/>
      <c r="F347" s="9"/>
      <c r="G347" s="9"/>
      <c r="H347" s="8"/>
      <c r="I347" s="8"/>
      <c r="J347" s="8"/>
      <c r="K347" s="8"/>
    </row>
    <row r="348" spans="1:13" ht="15.75" customHeight="1" x14ac:dyDescent="0.25">
      <c r="A348" s="40"/>
      <c r="B348" s="9"/>
      <c r="C348" s="9"/>
      <c r="D348" s="9"/>
      <c r="E348" s="9"/>
      <c r="F348" s="9"/>
      <c r="G348" s="9"/>
      <c r="H348" s="8"/>
      <c r="I348" s="8"/>
      <c r="J348" s="8"/>
      <c r="K348" s="8"/>
    </row>
    <row r="349" spans="1:13" ht="15.75" customHeight="1" x14ac:dyDescent="0.25">
      <c r="A349" s="40"/>
      <c r="B349" s="9"/>
      <c r="C349" s="9"/>
      <c r="D349" s="9"/>
      <c r="E349" s="9"/>
      <c r="F349" s="9"/>
      <c r="G349" s="9"/>
      <c r="H349" s="8"/>
      <c r="I349" s="8"/>
      <c r="J349" s="8"/>
      <c r="K349" s="8"/>
    </row>
    <row r="350" spans="1:13" ht="15.75" customHeight="1" x14ac:dyDescent="0.25">
      <c r="A350" s="40"/>
      <c r="B350" s="9"/>
      <c r="C350" s="9"/>
      <c r="D350" s="9"/>
      <c r="E350" s="9"/>
      <c r="F350" s="9"/>
      <c r="G350" s="9"/>
      <c r="H350" s="8"/>
      <c r="I350" s="8"/>
      <c r="J350" s="8"/>
      <c r="K350" s="8"/>
    </row>
    <row r="351" spans="1:13" ht="15.75" customHeight="1" x14ac:dyDescent="0.25">
      <c r="A351" s="40"/>
      <c r="B351" s="9"/>
      <c r="C351" s="9"/>
      <c r="D351" s="9"/>
      <c r="E351" s="9"/>
      <c r="F351" s="9"/>
      <c r="G351" s="9"/>
      <c r="H351" s="8"/>
      <c r="I351" s="8"/>
      <c r="J351" s="8"/>
      <c r="K351" s="8"/>
    </row>
    <row r="352" spans="1:13" ht="15.75" customHeight="1" x14ac:dyDescent="0.25">
      <c r="A352" s="40"/>
      <c r="B352" s="9"/>
      <c r="C352" s="9"/>
      <c r="D352" s="9"/>
      <c r="E352" s="9"/>
      <c r="F352" s="9"/>
      <c r="G352" s="9"/>
      <c r="H352" s="8"/>
      <c r="I352" s="8"/>
      <c r="J352" s="8"/>
      <c r="K352" s="8"/>
    </row>
    <row r="353" spans="1:11" ht="15.75" customHeight="1" x14ac:dyDescent="0.25">
      <c r="A353" s="40"/>
      <c r="B353" s="9"/>
      <c r="C353" s="9"/>
      <c r="D353" s="9"/>
      <c r="E353" s="9"/>
      <c r="F353" s="9"/>
      <c r="G353" s="9"/>
      <c r="H353" s="8"/>
      <c r="I353" s="8"/>
      <c r="J353" s="8"/>
      <c r="K353" s="8"/>
    </row>
    <row r="354" spans="1:11" ht="15.75" customHeight="1" x14ac:dyDescent="0.25">
      <c r="A354" s="40"/>
      <c r="B354" s="9"/>
      <c r="C354" s="9"/>
      <c r="D354" s="9"/>
      <c r="E354" s="9"/>
      <c r="F354" s="9"/>
      <c r="G354" s="9"/>
      <c r="H354" s="8"/>
      <c r="I354" s="8"/>
      <c r="J354" s="8"/>
      <c r="K354" s="8"/>
    </row>
    <row r="355" spans="1:11" ht="15.75" customHeight="1" x14ac:dyDescent="0.25">
      <c r="A355" s="40"/>
      <c r="B355" s="9"/>
      <c r="C355" s="9"/>
      <c r="D355" s="9"/>
      <c r="E355" s="9"/>
      <c r="F355" s="9"/>
      <c r="G355" s="9"/>
      <c r="H355" s="8"/>
      <c r="I355" s="8"/>
      <c r="J355" s="8"/>
      <c r="K355" s="8"/>
    </row>
    <row r="356" spans="1:11" ht="15.75" customHeight="1" x14ac:dyDescent="0.25">
      <c r="A356" s="40"/>
      <c r="B356" s="9"/>
      <c r="C356" s="9"/>
      <c r="D356" s="9"/>
      <c r="E356" s="9"/>
      <c r="F356" s="9"/>
      <c r="G356" s="9"/>
      <c r="H356" s="8"/>
      <c r="I356" s="8"/>
      <c r="J356" s="8"/>
      <c r="K356" s="8"/>
    </row>
    <row r="357" spans="1:11" ht="15.75" customHeight="1" x14ac:dyDescent="0.25">
      <c r="A357" s="40"/>
      <c r="B357" s="9"/>
      <c r="C357" s="9"/>
      <c r="D357" s="9"/>
      <c r="E357" s="9"/>
      <c r="F357" s="9"/>
      <c r="G357" s="9"/>
      <c r="H357" s="8"/>
      <c r="I357" s="8"/>
      <c r="J357" s="8"/>
      <c r="K357" s="8"/>
    </row>
    <row r="358" spans="1:11" ht="15.75" customHeight="1" x14ac:dyDescent="0.25">
      <c r="A358" s="40"/>
      <c r="B358" s="9"/>
      <c r="C358" s="9"/>
      <c r="D358" s="9"/>
      <c r="E358" s="9"/>
      <c r="F358" s="9"/>
      <c r="G358" s="9"/>
      <c r="H358" s="8"/>
      <c r="I358" s="8"/>
      <c r="J358" s="8"/>
      <c r="K358" s="8"/>
    </row>
    <row r="359" spans="1:11" ht="15.75" customHeight="1" x14ac:dyDescent="0.25">
      <c r="A359" s="40"/>
      <c r="B359" s="9"/>
      <c r="C359" s="9"/>
      <c r="D359" s="9"/>
      <c r="E359" s="9"/>
      <c r="F359" s="9"/>
      <c r="G359" s="9"/>
      <c r="H359" s="8"/>
      <c r="I359" s="8"/>
      <c r="J359" s="8"/>
      <c r="K359" s="8"/>
    </row>
    <row r="360" spans="1:11" ht="15.75" customHeight="1" x14ac:dyDescent="0.25">
      <c r="A360" s="40"/>
      <c r="B360" s="9"/>
      <c r="C360" s="9"/>
      <c r="D360" s="9"/>
      <c r="E360" s="9"/>
      <c r="F360" s="9"/>
      <c r="G360" s="9"/>
      <c r="H360" s="8"/>
      <c r="I360" s="8"/>
      <c r="J360" s="8"/>
      <c r="K360" s="8"/>
    </row>
    <row r="361" spans="1:11" ht="15.75" customHeight="1" x14ac:dyDescent="0.25">
      <c r="A361" s="40"/>
      <c r="B361" s="9"/>
      <c r="C361" s="9"/>
      <c r="D361" s="9"/>
      <c r="E361" s="9"/>
      <c r="F361" s="9"/>
      <c r="G361" s="9"/>
      <c r="H361" s="8"/>
      <c r="I361" s="8"/>
      <c r="J361" s="8"/>
      <c r="K361" s="8"/>
    </row>
    <row r="362" spans="1:11" ht="15.75" customHeight="1" x14ac:dyDescent="0.25">
      <c r="A362" s="40"/>
      <c r="B362" s="9"/>
      <c r="C362" s="9"/>
      <c r="D362" s="9"/>
      <c r="E362" s="9"/>
      <c r="F362" s="9"/>
      <c r="G362" s="9"/>
      <c r="H362" s="8"/>
      <c r="I362" s="8"/>
      <c r="J362" s="8"/>
      <c r="K362" s="8"/>
    </row>
    <row r="363" spans="1:11" ht="15.75" customHeight="1" x14ac:dyDescent="0.25">
      <c r="A363" s="40"/>
      <c r="B363" s="9"/>
      <c r="C363" s="9"/>
      <c r="D363" s="9"/>
      <c r="E363" s="9"/>
      <c r="F363" s="9"/>
      <c r="G363" s="9"/>
      <c r="H363" s="8"/>
      <c r="I363" s="8"/>
      <c r="J363" s="8"/>
      <c r="K363" s="8"/>
    </row>
    <row r="364" spans="1:11" ht="15.75" customHeight="1" x14ac:dyDescent="0.25">
      <c r="A364" s="40"/>
      <c r="B364" s="9"/>
      <c r="C364" s="9"/>
      <c r="D364" s="9"/>
      <c r="E364" s="9"/>
      <c r="F364" s="9"/>
      <c r="G364" s="9"/>
      <c r="H364" s="8"/>
      <c r="I364" s="8"/>
      <c r="J364" s="8"/>
      <c r="K364" s="8"/>
    </row>
    <row r="365" spans="1:11" ht="15.75" customHeight="1" x14ac:dyDescent="0.25">
      <c r="A365" s="40"/>
      <c r="B365" s="9"/>
      <c r="C365" s="9"/>
      <c r="D365" s="9"/>
      <c r="E365" s="9"/>
      <c r="F365" s="9"/>
      <c r="G365" s="9"/>
      <c r="H365" s="8"/>
      <c r="I365" s="8"/>
      <c r="J365" s="8"/>
      <c r="K365" s="8"/>
    </row>
    <row r="366" spans="1:11" ht="15.75" customHeight="1" x14ac:dyDescent="0.25">
      <c r="A366" s="40"/>
      <c r="B366" s="9"/>
      <c r="C366" s="9"/>
      <c r="D366" s="9"/>
      <c r="E366" s="9"/>
      <c r="F366" s="9"/>
      <c r="G366" s="9"/>
      <c r="H366" s="8"/>
      <c r="I366" s="8"/>
      <c r="J366" s="8"/>
      <c r="K366" s="8"/>
    </row>
    <row r="367" spans="1:11" ht="15.75" customHeight="1" x14ac:dyDescent="0.25">
      <c r="A367" s="40"/>
      <c r="B367" s="9"/>
      <c r="C367" s="9"/>
      <c r="D367" s="9"/>
      <c r="E367" s="9"/>
      <c r="F367" s="9"/>
      <c r="G367" s="9"/>
      <c r="H367" s="8"/>
      <c r="I367" s="8"/>
      <c r="J367" s="8"/>
      <c r="K367" s="8"/>
    </row>
    <row r="368" spans="1:11" ht="15.75" customHeight="1" x14ac:dyDescent="0.25">
      <c r="A368" s="40"/>
      <c r="B368" s="9"/>
      <c r="C368" s="9"/>
      <c r="D368" s="9"/>
      <c r="E368" s="9"/>
      <c r="F368" s="9"/>
      <c r="G368" s="9"/>
      <c r="H368" s="8"/>
      <c r="I368" s="8"/>
      <c r="J368" s="8"/>
      <c r="K368" s="8"/>
    </row>
    <row r="369" spans="1:11" ht="15.75" customHeight="1" x14ac:dyDescent="0.25">
      <c r="A369" s="40"/>
      <c r="B369" s="9"/>
      <c r="C369" s="9"/>
      <c r="D369" s="9"/>
      <c r="E369" s="9"/>
      <c r="F369" s="9"/>
      <c r="G369" s="9"/>
      <c r="H369" s="8"/>
      <c r="I369" s="8"/>
      <c r="J369" s="8"/>
      <c r="K369" s="8"/>
    </row>
    <row r="370" spans="1:11" ht="15.75" customHeight="1" x14ac:dyDescent="0.25">
      <c r="A370" s="40"/>
      <c r="B370" s="9"/>
      <c r="C370" s="9"/>
      <c r="D370" s="9"/>
      <c r="E370" s="9"/>
      <c r="F370" s="9"/>
      <c r="G370" s="9"/>
      <c r="H370" s="8"/>
      <c r="I370" s="8"/>
      <c r="J370" s="8"/>
      <c r="K370" s="8"/>
    </row>
    <row r="371" spans="1:11" ht="15.75" customHeight="1" x14ac:dyDescent="0.25">
      <c r="A371" s="40"/>
      <c r="B371" s="9"/>
      <c r="C371" s="9"/>
      <c r="D371" s="9"/>
      <c r="E371" s="9"/>
      <c r="F371" s="9"/>
      <c r="G371" s="9"/>
      <c r="H371" s="8"/>
      <c r="I371" s="8"/>
      <c r="J371" s="8"/>
      <c r="K371" s="8"/>
    </row>
    <row r="372" spans="1:11" ht="15.75" customHeight="1" x14ac:dyDescent="0.25">
      <c r="A372" s="40"/>
      <c r="B372" s="9"/>
      <c r="C372" s="9"/>
      <c r="D372" s="9"/>
      <c r="E372" s="9"/>
      <c r="F372" s="9"/>
      <c r="G372" s="9"/>
      <c r="H372" s="8"/>
      <c r="I372" s="8"/>
      <c r="J372" s="8"/>
      <c r="K372" s="8"/>
    </row>
    <row r="373" spans="1:11" ht="15.75" customHeight="1" x14ac:dyDescent="0.25">
      <c r="A373" s="40"/>
      <c r="B373" s="9"/>
      <c r="C373" s="9"/>
      <c r="D373" s="9"/>
      <c r="E373" s="9"/>
      <c r="F373" s="9"/>
      <c r="G373" s="9"/>
      <c r="H373" s="8"/>
      <c r="I373" s="8"/>
      <c r="J373" s="8"/>
      <c r="K373" s="8"/>
    </row>
    <row r="374" spans="1:11" ht="15.75" customHeight="1" x14ac:dyDescent="0.25">
      <c r="A374" s="40"/>
      <c r="B374" s="9"/>
      <c r="C374" s="9"/>
      <c r="D374" s="9"/>
      <c r="E374" s="9"/>
      <c r="F374" s="9"/>
      <c r="G374" s="9"/>
      <c r="H374" s="8"/>
      <c r="I374" s="8"/>
      <c r="J374" s="8"/>
      <c r="K374" s="8"/>
    </row>
    <row r="375" spans="1:11" ht="15.75" customHeight="1" x14ac:dyDescent="0.25">
      <c r="A375" s="40"/>
      <c r="B375" s="9"/>
      <c r="C375" s="9"/>
      <c r="D375" s="9"/>
      <c r="E375" s="9"/>
      <c r="F375" s="9"/>
      <c r="G375" s="9"/>
      <c r="H375" s="8"/>
      <c r="I375" s="8"/>
      <c r="J375" s="8"/>
      <c r="K375" s="8"/>
    </row>
    <row r="376" spans="1:11" ht="15.75" customHeight="1" x14ac:dyDescent="0.25">
      <c r="A376" s="40"/>
      <c r="B376" s="9"/>
      <c r="C376" s="9"/>
      <c r="D376" s="9"/>
      <c r="E376" s="9"/>
      <c r="F376" s="9"/>
      <c r="G376" s="9"/>
      <c r="H376" s="8"/>
      <c r="I376" s="8"/>
      <c r="J376" s="8"/>
      <c r="K376" s="8"/>
    </row>
    <row r="377" spans="1:11" ht="15.75" customHeight="1" x14ac:dyDescent="0.25">
      <c r="A377" s="40"/>
      <c r="B377" s="9"/>
      <c r="C377" s="9"/>
      <c r="D377" s="9"/>
      <c r="E377" s="9"/>
      <c r="F377" s="9"/>
      <c r="G377" s="9"/>
      <c r="H377" s="8"/>
      <c r="I377" s="8"/>
      <c r="J377" s="8"/>
      <c r="K377" s="8"/>
    </row>
    <row r="378" spans="1:11" ht="15.75" customHeight="1" x14ac:dyDescent="0.25">
      <c r="A378" s="40"/>
      <c r="B378" s="9"/>
      <c r="C378" s="9"/>
      <c r="D378" s="9"/>
      <c r="E378" s="9"/>
      <c r="F378" s="9"/>
      <c r="G378" s="9"/>
      <c r="H378" s="8"/>
      <c r="I378" s="8"/>
      <c r="J378" s="8"/>
      <c r="K378" s="8"/>
    </row>
    <row r="379" spans="1:11" ht="15.75" customHeight="1" x14ac:dyDescent="0.25">
      <c r="A379" s="40"/>
      <c r="B379" s="9"/>
      <c r="C379" s="9"/>
      <c r="D379" s="9"/>
      <c r="E379" s="9"/>
      <c r="F379" s="9"/>
      <c r="G379" s="9"/>
      <c r="H379" s="8"/>
      <c r="I379" s="8"/>
      <c r="J379" s="8"/>
      <c r="K379" s="8"/>
    </row>
    <row r="380" spans="1:11" ht="15.75" customHeight="1" x14ac:dyDescent="0.25">
      <c r="A380" s="40"/>
      <c r="B380" s="9"/>
      <c r="C380" s="9"/>
      <c r="D380" s="9"/>
      <c r="E380" s="9"/>
      <c r="F380" s="9"/>
      <c r="G380" s="9"/>
      <c r="H380" s="8"/>
      <c r="I380" s="8"/>
      <c r="J380" s="8"/>
      <c r="K380" s="8"/>
    </row>
    <row r="381" spans="1:11" ht="15.75" customHeight="1" x14ac:dyDescent="0.25">
      <c r="A381" s="40"/>
      <c r="B381" s="9"/>
      <c r="C381" s="9"/>
      <c r="D381" s="9"/>
      <c r="E381" s="9"/>
      <c r="F381" s="9"/>
      <c r="G381" s="9"/>
      <c r="H381" s="8"/>
      <c r="I381" s="8"/>
      <c r="J381" s="8"/>
      <c r="K381" s="8"/>
    </row>
    <row r="382" spans="1:11" ht="15.75" customHeight="1" x14ac:dyDescent="0.25">
      <c r="A382" s="40"/>
      <c r="B382" s="9"/>
      <c r="C382" s="9"/>
      <c r="D382" s="9"/>
      <c r="E382" s="9"/>
      <c r="F382" s="9"/>
      <c r="G382" s="9"/>
      <c r="H382" s="8"/>
      <c r="I382" s="8"/>
      <c r="J382" s="8"/>
      <c r="K382" s="8"/>
    </row>
    <row r="383" spans="1:11" ht="15.75" customHeight="1" x14ac:dyDescent="0.25">
      <c r="A383" s="40"/>
      <c r="B383" s="9"/>
      <c r="C383" s="9"/>
      <c r="D383" s="9"/>
      <c r="E383" s="9"/>
      <c r="F383" s="9"/>
      <c r="G383" s="9"/>
      <c r="H383" s="8"/>
      <c r="I383" s="8"/>
      <c r="J383" s="8"/>
      <c r="K383" s="8"/>
    </row>
    <row r="384" spans="1:11" ht="15.75" customHeight="1" x14ac:dyDescent="0.25">
      <c r="A384" s="40"/>
      <c r="B384" s="9"/>
      <c r="C384" s="9"/>
      <c r="D384" s="9"/>
      <c r="E384" s="9"/>
      <c r="F384" s="9"/>
      <c r="G384" s="9"/>
      <c r="H384" s="8"/>
      <c r="I384" s="8"/>
      <c r="J384" s="8"/>
      <c r="K384" s="8"/>
    </row>
    <row r="385" spans="1:11" ht="15.75" customHeight="1" x14ac:dyDescent="0.25">
      <c r="A385" s="40"/>
      <c r="B385" s="9"/>
      <c r="C385" s="9"/>
      <c r="D385" s="9"/>
      <c r="E385" s="9"/>
      <c r="F385" s="9"/>
      <c r="G385" s="9"/>
      <c r="H385" s="8"/>
      <c r="I385" s="8"/>
      <c r="J385" s="8"/>
      <c r="K385" s="8"/>
    </row>
    <row r="386" spans="1:11" ht="15.75" customHeight="1" x14ac:dyDescent="0.25">
      <c r="A386" s="40"/>
      <c r="B386" s="9"/>
      <c r="C386" s="9"/>
      <c r="D386" s="9"/>
      <c r="E386" s="9"/>
      <c r="F386" s="9"/>
      <c r="G386" s="9"/>
      <c r="H386" s="8"/>
      <c r="I386" s="8"/>
      <c r="J386" s="8"/>
      <c r="K386" s="8"/>
    </row>
    <row r="387" spans="1:11" ht="15.75" customHeight="1" x14ac:dyDescent="0.25">
      <c r="A387" s="40"/>
      <c r="B387" s="9"/>
      <c r="C387" s="9"/>
      <c r="D387" s="9"/>
      <c r="E387" s="9"/>
      <c r="F387" s="9"/>
      <c r="G387" s="9"/>
      <c r="H387" s="8"/>
      <c r="I387" s="8"/>
      <c r="J387" s="8"/>
      <c r="K387" s="8"/>
    </row>
    <row r="388" spans="1:11" ht="15.75" customHeight="1" x14ac:dyDescent="0.25">
      <c r="A388" s="40"/>
      <c r="B388" s="9"/>
      <c r="C388" s="9"/>
      <c r="D388" s="9"/>
      <c r="E388" s="9"/>
      <c r="F388" s="9"/>
      <c r="G388" s="9"/>
      <c r="H388" s="8"/>
      <c r="I388" s="8"/>
      <c r="J388" s="8"/>
      <c r="K388" s="8"/>
    </row>
    <row r="389" spans="1:11" ht="15.75" customHeight="1" x14ac:dyDescent="0.25">
      <c r="A389" s="40"/>
      <c r="B389" s="9"/>
      <c r="C389" s="9"/>
      <c r="D389" s="9"/>
      <c r="E389" s="9"/>
      <c r="F389" s="9"/>
      <c r="G389" s="9"/>
      <c r="H389" s="8"/>
      <c r="I389" s="8"/>
      <c r="J389" s="8"/>
      <c r="K389" s="8"/>
    </row>
    <row r="390" spans="1:11" ht="15.75" customHeight="1" x14ac:dyDescent="0.25">
      <c r="A390" s="40"/>
      <c r="B390" s="9"/>
      <c r="C390" s="9"/>
      <c r="D390" s="9"/>
      <c r="E390" s="9"/>
      <c r="F390" s="9"/>
      <c r="G390" s="9"/>
      <c r="H390" s="8"/>
      <c r="I390" s="8"/>
      <c r="J390" s="8"/>
      <c r="K390" s="8"/>
    </row>
    <row r="391" spans="1:11" ht="15.75" customHeight="1" x14ac:dyDescent="0.25">
      <c r="A391" s="40"/>
      <c r="B391" s="9"/>
      <c r="C391" s="9"/>
      <c r="D391" s="9"/>
      <c r="E391" s="9"/>
      <c r="F391" s="9"/>
      <c r="G391" s="9"/>
      <c r="H391" s="8"/>
      <c r="I391" s="8"/>
      <c r="J391" s="8"/>
      <c r="K391" s="8"/>
    </row>
    <row r="392" spans="1:11" ht="15.75" customHeight="1" x14ac:dyDescent="0.25">
      <c r="A392" s="40"/>
      <c r="B392" s="9"/>
      <c r="C392" s="9"/>
      <c r="D392" s="9"/>
      <c r="E392" s="9"/>
      <c r="F392" s="9"/>
      <c r="G392" s="9"/>
      <c r="H392" s="8"/>
      <c r="I392" s="8"/>
      <c r="J392" s="8"/>
      <c r="K392" s="8"/>
    </row>
    <row r="393" spans="1:11" ht="15.75" customHeight="1" x14ac:dyDescent="0.25">
      <c r="A393" s="40"/>
      <c r="B393" s="9"/>
      <c r="C393" s="9"/>
      <c r="D393" s="9"/>
      <c r="E393" s="9"/>
      <c r="F393" s="9"/>
      <c r="G393" s="9"/>
      <c r="H393" s="8"/>
      <c r="I393" s="8"/>
      <c r="J393" s="8"/>
      <c r="K393" s="8"/>
    </row>
    <row r="394" spans="1:11" ht="15.75" customHeight="1" x14ac:dyDescent="0.25">
      <c r="A394" s="40"/>
      <c r="B394" s="9"/>
      <c r="C394" s="9"/>
      <c r="D394" s="9"/>
      <c r="E394" s="9"/>
      <c r="F394" s="9"/>
      <c r="G394" s="9"/>
      <c r="H394" s="8"/>
      <c r="I394" s="8"/>
      <c r="J394" s="8"/>
      <c r="K394" s="8"/>
    </row>
    <row r="395" spans="1:11" ht="15.75" customHeight="1" x14ac:dyDescent="0.25">
      <c r="A395" s="40"/>
      <c r="B395" s="9"/>
      <c r="C395" s="9"/>
      <c r="D395" s="9"/>
      <c r="E395" s="9"/>
      <c r="F395" s="9"/>
      <c r="G395" s="9"/>
      <c r="H395" s="8"/>
      <c r="I395" s="8"/>
      <c r="J395" s="8"/>
      <c r="K395" s="8"/>
    </row>
    <row r="396" spans="1:11" ht="15.75" customHeight="1" x14ac:dyDescent="0.25">
      <c r="A396" s="40"/>
      <c r="B396" s="9"/>
      <c r="C396" s="9"/>
      <c r="D396" s="9"/>
      <c r="E396" s="9"/>
      <c r="F396" s="9"/>
      <c r="G396" s="9"/>
      <c r="H396" s="8"/>
      <c r="I396" s="8"/>
      <c r="J396" s="8"/>
      <c r="K396" s="8"/>
    </row>
    <row r="397" spans="1:11" ht="15.75" customHeight="1" x14ac:dyDescent="0.25">
      <c r="A397" s="40"/>
      <c r="B397" s="9"/>
      <c r="C397" s="9"/>
      <c r="D397" s="9"/>
      <c r="E397" s="9"/>
      <c r="F397" s="9"/>
      <c r="G397" s="9"/>
      <c r="H397" s="8"/>
      <c r="I397" s="8"/>
      <c r="J397" s="8"/>
      <c r="K397" s="8"/>
    </row>
    <row r="398" spans="1:11" ht="15.75" customHeight="1" x14ac:dyDescent="0.25">
      <c r="A398" s="40"/>
      <c r="B398" s="9"/>
      <c r="C398" s="9"/>
      <c r="D398" s="9"/>
      <c r="E398" s="9"/>
      <c r="F398" s="9"/>
      <c r="G398" s="9"/>
      <c r="H398" s="8"/>
      <c r="I398" s="8"/>
      <c r="J398" s="8"/>
      <c r="K398" s="8"/>
    </row>
    <row r="399" spans="1:11" ht="15.75" customHeight="1" x14ac:dyDescent="0.25">
      <c r="A399" s="40"/>
      <c r="B399" s="9"/>
      <c r="C399" s="9"/>
      <c r="D399" s="9"/>
      <c r="E399" s="9"/>
      <c r="F399" s="9"/>
      <c r="G399" s="9"/>
      <c r="H399" s="8"/>
      <c r="I399" s="13"/>
      <c r="J399" s="8"/>
      <c r="K399" s="8"/>
    </row>
    <row r="400" spans="1:11" ht="15.75" customHeight="1" x14ac:dyDescent="0.25">
      <c r="A400" s="40"/>
      <c r="B400" s="9"/>
      <c r="C400" s="9"/>
      <c r="D400" s="9"/>
      <c r="E400" s="9"/>
      <c r="F400" s="9"/>
      <c r="G400" s="9"/>
      <c r="H400" s="8"/>
      <c r="I400" s="8"/>
      <c r="J400" s="8"/>
      <c r="K400" s="8"/>
    </row>
    <row r="401" spans="1:11" ht="15.75" customHeight="1" x14ac:dyDescent="0.25">
      <c r="A401" s="40"/>
      <c r="B401" s="9"/>
      <c r="C401" s="9"/>
      <c r="D401" s="9"/>
      <c r="E401" s="9"/>
      <c r="F401" s="9"/>
      <c r="G401" s="9"/>
      <c r="H401" s="8"/>
      <c r="I401" s="8"/>
      <c r="J401" s="8"/>
      <c r="K401" s="8"/>
    </row>
    <row r="402" spans="1:11" ht="15.75" customHeight="1" x14ac:dyDescent="0.25">
      <c r="A402" s="40"/>
      <c r="B402" s="9"/>
      <c r="C402" s="9"/>
      <c r="D402" s="9"/>
      <c r="E402" s="9"/>
      <c r="F402" s="9"/>
      <c r="G402" s="9"/>
      <c r="H402" s="8"/>
      <c r="I402" s="8"/>
      <c r="J402" s="8"/>
      <c r="K402" s="8"/>
    </row>
    <row r="403" spans="1:11" ht="15.75" customHeight="1" x14ac:dyDescent="0.25">
      <c r="A403" s="40"/>
      <c r="B403" s="9"/>
      <c r="C403" s="9"/>
      <c r="D403" s="9"/>
      <c r="E403" s="9"/>
      <c r="F403" s="9"/>
      <c r="G403" s="9"/>
      <c r="H403" s="8"/>
      <c r="I403" s="8"/>
      <c r="J403" s="8"/>
      <c r="K403" s="8"/>
    </row>
    <row r="404" spans="1:11" ht="15.75" customHeight="1" x14ac:dyDescent="0.25">
      <c r="A404" s="40"/>
      <c r="B404" s="9"/>
      <c r="C404" s="9"/>
      <c r="D404" s="9"/>
      <c r="E404" s="9"/>
      <c r="F404" s="9"/>
      <c r="G404" s="9"/>
      <c r="H404" s="8"/>
      <c r="I404" s="8"/>
      <c r="J404" s="8"/>
      <c r="K404" s="8"/>
    </row>
    <row r="405" spans="1:11" ht="15.75" customHeight="1" x14ac:dyDescent="0.25">
      <c r="A405" s="40"/>
      <c r="B405" s="9"/>
      <c r="C405" s="9"/>
      <c r="D405" s="9"/>
      <c r="E405" s="9"/>
      <c r="F405" s="9"/>
      <c r="G405" s="9"/>
      <c r="H405" s="8"/>
      <c r="I405" s="8"/>
      <c r="J405" s="8"/>
      <c r="K405" s="8"/>
    </row>
    <row r="406" spans="1:11" ht="15.75" customHeight="1" x14ac:dyDescent="0.25">
      <c r="A406" s="40"/>
      <c r="B406" s="9"/>
      <c r="C406" s="9"/>
      <c r="D406" s="9"/>
      <c r="E406" s="9"/>
      <c r="F406" s="9"/>
      <c r="G406" s="9"/>
      <c r="H406" s="8"/>
      <c r="I406" s="8"/>
      <c r="J406" s="8"/>
      <c r="K406" s="8"/>
    </row>
    <row r="407" spans="1:11" ht="15.75" customHeight="1" x14ac:dyDescent="0.25">
      <c r="A407" s="40"/>
      <c r="B407" s="9"/>
      <c r="C407" s="9"/>
      <c r="D407" s="9"/>
      <c r="E407" s="9"/>
      <c r="F407" s="9"/>
      <c r="G407" s="9"/>
      <c r="H407" s="8"/>
      <c r="I407" s="8"/>
      <c r="J407" s="8"/>
      <c r="K407" s="8"/>
    </row>
    <row r="408" spans="1:11" ht="15.75" customHeight="1" x14ac:dyDescent="0.25">
      <c r="A408" s="40"/>
      <c r="B408" s="9"/>
      <c r="C408" s="9"/>
      <c r="D408" s="9"/>
      <c r="E408" s="9"/>
      <c r="F408" s="9"/>
      <c r="G408" s="9"/>
      <c r="H408" s="8"/>
      <c r="I408" s="8"/>
      <c r="J408" s="8"/>
      <c r="K408" s="8"/>
    </row>
    <row r="409" spans="1:11" ht="15.75" customHeight="1" x14ac:dyDescent="0.25">
      <c r="A409" s="40"/>
      <c r="B409" s="9"/>
      <c r="C409" s="9"/>
      <c r="D409" s="9"/>
      <c r="E409" s="9"/>
      <c r="F409" s="9"/>
      <c r="G409" s="9"/>
      <c r="H409" s="8"/>
      <c r="I409" s="8"/>
      <c r="J409" s="8"/>
      <c r="K409" s="8"/>
    </row>
    <row r="410" spans="1:11" ht="15.75" customHeight="1" x14ac:dyDescent="0.25">
      <c r="A410" s="40"/>
      <c r="B410" s="9"/>
      <c r="C410" s="9"/>
      <c r="D410" s="9"/>
      <c r="E410" s="9"/>
      <c r="F410" s="9"/>
      <c r="G410" s="9"/>
      <c r="H410" s="8"/>
      <c r="I410" s="8"/>
      <c r="J410" s="8"/>
      <c r="K410" s="8"/>
    </row>
    <row r="411" spans="1:11" ht="15.75" customHeight="1" x14ac:dyDescent="0.25">
      <c r="A411" s="40"/>
      <c r="B411" s="9"/>
      <c r="C411" s="9"/>
      <c r="D411" s="9"/>
      <c r="E411" s="9"/>
      <c r="F411" s="9"/>
      <c r="G411" s="9"/>
      <c r="H411" s="8"/>
      <c r="I411" s="8"/>
      <c r="J411" s="8"/>
      <c r="K411" s="8"/>
    </row>
    <row r="412" spans="1:11" ht="15.75" customHeight="1" x14ac:dyDescent="0.25">
      <c r="A412" s="40"/>
      <c r="B412" s="9"/>
      <c r="C412" s="9"/>
      <c r="D412" s="9"/>
      <c r="E412" s="9"/>
      <c r="F412" s="9"/>
      <c r="G412" s="9"/>
      <c r="H412" s="8"/>
      <c r="I412" s="8"/>
      <c r="J412" s="8"/>
      <c r="K412" s="8"/>
    </row>
    <row r="413" spans="1:11" ht="15.75" customHeight="1" x14ac:dyDescent="0.25">
      <c r="A413" s="40"/>
      <c r="B413" s="9"/>
      <c r="C413" s="9"/>
      <c r="D413" s="9"/>
      <c r="E413" s="9"/>
      <c r="F413" s="9"/>
      <c r="G413" s="9"/>
      <c r="H413" s="8"/>
      <c r="I413" s="8"/>
      <c r="J413" s="8"/>
      <c r="K413" s="8"/>
    </row>
    <row r="414" spans="1:11" ht="15.75" customHeight="1" x14ac:dyDescent="0.25">
      <c r="A414" s="40"/>
      <c r="B414" s="9"/>
      <c r="C414" s="9"/>
      <c r="D414" s="9"/>
      <c r="E414" s="9"/>
      <c r="F414" s="9"/>
      <c r="G414" s="9"/>
      <c r="H414" s="8"/>
      <c r="I414" s="8"/>
      <c r="J414" s="8"/>
      <c r="K414" s="8"/>
    </row>
    <row r="415" spans="1:11" ht="15.75" customHeight="1" x14ac:dyDescent="0.25">
      <c r="A415" s="40"/>
      <c r="B415" s="9"/>
      <c r="C415" s="9"/>
      <c r="D415" s="9"/>
      <c r="E415" s="9"/>
      <c r="F415" s="9"/>
      <c r="G415" s="9"/>
      <c r="H415" s="8"/>
      <c r="I415" s="8"/>
      <c r="J415" s="8"/>
      <c r="K415" s="8"/>
    </row>
    <row r="416" spans="1:11" ht="15.75" customHeight="1" x14ac:dyDescent="0.25">
      <c r="A416" s="40"/>
      <c r="B416" s="9"/>
      <c r="C416" s="9"/>
      <c r="D416" s="9"/>
      <c r="E416" s="9"/>
      <c r="F416" s="9"/>
      <c r="G416" s="9"/>
      <c r="H416" s="8"/>
      <c r="I416" s="8"/>
      <c r="J416" s="8"/>
      <c r="K416" s="8"/>
    </row>
    <row r="417" spans="1:11" ht="15.75" customHeight="1" x14ac:dyDescent="0.25">
      <c r="A417" s="40"/>
      <c r="B417" s="9"/>
      <c r="C417" s="9"/>
      <c r="D417" s="9"/>
      <c r="E417" s="9"/>
      <c r="F417" s="9"/>
      <c r="G417" s="9"/>
      <c r="H417" s="8"/>
      <c r="I417" s="8"/>
      <c r="J417" s="8"/>
      <c r="K417" s="8"/>
    </row>
    <row r="418" spans="1:11" ht="15.75" customHeight="1" x14ac:dyDescent="0.25">
      <c r="A418" s="40"/>
      <c r="B418" s="9"/>
      <c r="C418" s="9"/>
      <c r="D418" s="9"/>
      <c r="E418" s="9"/>
      <c r="F418" s="9"/>
      <c r="G418" s="9"/>
      <c r="H418" s="8"/>
      <c r="I418" s="8"/>
      <c r="J418" s="8"/>
      <c r="K418" s="8"/>
    </row>
    <row r="419" spans="1:11" ht="15.75" customHeight="1" x14ac:dyDescent="0.25">
      <c r="A419" s="40"/>
      <c r="B419" s="9"/>
      <c r="C419" s="9"/>
      <c r="D419" s="9"/>
      <c r="E419" s="9"/>
      <c r="F419" s="9"/>
      <c r="G419" s="9"/>
      <c r="H419" s="8"/>
      <c r="I419" s="8"/>
      <c r="J419" s="8"/>
      <c r="K419" s="8"/>
    </row>
    <row r="420" spans="1:11" ht="15.75" customHeight="1" x14ac:dyDescent="0.25">
      <c r="A420" s="40"/>
      <c r="B420" s="9"/>
      <c r="C420" s="9"/>
      <c r="D420" s="9"/>
      <c r="E420" s="9"/>
      <c r="F420" s="9"/>
      <c r="G420" s="9"/>
      <c r="H420" s="8"/>
      <c r="I420" s="8"/>
      <c r="J420" s="8"/>
      <c r="K420" s="8"/>
    </row>
    <row r="421" spans="1:11" ht="15.75" customHeight="1" x14ac:dyDescent="0.25">
      <c r="A421" s="40"/>
      <c r="B421" s="9"/>
      <c r="C421" s="9"/>
      <c r="D421" s="9"/>
      <c r="E421" s="9"/>
      <c r="F421" s="9"/>
      <c r="G421" s="9"/>
      <c r="H421" s="8"/>
      <c r="I421" s="8"/>
      <c r="J421" s="8"/>
      <c r="K421" s="8"/>
    </row>
    <row r="422" spans="1:11" ht="15.75" customHeight="1" x14ac:dyDescent="0.25">
      <c r="A422" s="40"/>
      <c r="B422" s="9"/>
      <c r="C422" s="9"/>
      <c r="D422" s="9"/>
      <c r="E422" s="9"/>
      <c r="F422" s="9"/>
      <c r="G422" s="9"/>
      <c r="H422" s="8"/>
      <c r="I422" s="8"/>
      <c r="J422" s="8"/>
      <c r="K422" s="8"/>
    </row>
    <row r="423" spans="1:11" ht="15.75" customHeight="1" x14ac:dyDescent="0.25">
      <c r="A423" s="40"/>
      <c r="B423" s="9"/>
      <c r="C423" s="9"/>
      <c r="D423" s="9"/>
      <c r="E423" s="9"/>
      <c r="F423" s="9"/>
      <c r="G423" s="9"/>
      <c r="H423" s="8"/>
      <c r="I423" s="8"/>
      <c r="J423" s="8"/>
      <c r="K423" s="8"/>
    </row>
    <row r="424" spans="1:11" ht="15.75" customHeight="1" x14ac:dyDescent="0.25">
      <c r="A424" s="40"/>
      <c r="B424" s="9"/>
      <c r="C424" s="9"/>
      <c r="D424" s="9"/>
      <c r="E424" s="9"/>
      <c r="F424" s="9"/>
      <c r="G424" s="9"/>
      <c r="H424" s="8"/>
      <c r="I424" s="8"/>
      <c r="J424" s="8"/>
      <c r="K424" s="8"/>
    </row>
    <row r="425" spans="1:11" ht="15.75" customHeight="1" x14ac:dyDescent="0.25">
      <c r="A425" s="40"/>
      <c r="B425" s="9"/>
      <c r="C425" s="9"/>
      <c r="D425" s="9"/>
      <c r="E425" s="9"/>
      <c r="F425" s="9"/>
      <c r="G425" s="9"/>
      <c r="H425" s="8"/>
      <c r="I425" s="8"/>
      <c r="J425" s="8"/>
      <c r="K425" s="8"/>
    </row>
    <row r="426" spans="1:11" ht="15.75" customHeight="1" x14ac:dyDescent="0.25">
      <c r="A426" s="40"/>
      <c r="B426" s="9"/>
      <c r="C426" s="9"/>
      <c r="D426" s="9"/>
      <c r="E426" s="9"/>
      <c r="F426" s="9"/>
      <c r="G426" s="9"/>
      <c r="H426" s="8"/>
      <c r="I426" s="8"/>
      <c r="J426" s="8"/>
      <c r="K426" s="8"/>
    </row>
    <row r="427" spans="1:11" ht="15.75" customHeight="1" x14ac:dyDescent="0.25">
      <c r="A427" s="40"/>
      <c r="B427" s="9"/>
      <c r="C427" s="9"/>
      <c r="D427" s="9"/>
      <c r="E427" s="9"/>
      <c r="F427" s="9"/>
      <c r="G427" s="9"/>
      <c r="H427" s="8"/>
      <c r="I427" s="8"/>
      <c r="J427" s="8"/>
      <c r="K427" s="8"/>
    </row>
    <row r="428" spans="1:11" ht="15.75" customHeight="1" x14ac:dyDescent="0.25">
      <c r="A428" s="40"/>
      <c r="B428" s="9"/>
      <c r="C428" s="9"/>
      <c r="D428" s="9"/>
      <c r="E428" s="9"/>
      <c r="F428" s="9"/>
      <c r="G428" s="9"/>
      <c r="H428" s="8"/>
      <c r="I428" s="8"/>
      <c r="J428" s="8"/>
      <c r="K428" s="8"/>
    </row>
    <row r="429" spans="1:11" ht="15.75" customHeight="1" x14ac:dyDescent="0.25">
      <c r="A429" s="40"/>
      <c r="B429" s="9"/>
      <c r="C429" s="9"/>
      <c r="D429" s="9"/>
      <c r="E429" s="9"/>
      <c r="F429" s="9"/>
      <c r="G429" s="9"/>
      <c r="H429" s="8"/>
      <c r="I429" s="8"/>
      <c r="J429" s="8"/>
      <c r="K429" s="8"/>
    </row>
    <row r="430" spans="1:11" ht="15.75" customHeight="1" x14ac:dyDescent="0.25">
      <c r="A430" s="40"/>
      <c r="B430" s="9"/>
      <c r="C430" s="9"/>
      <c r="D430" s="9"/>
      <c r="E430" s="9"/>
      <c r="F430" s="9"/>
      <c r="G430" s="9"/>
      <c r="H430" s="8"/>
      <c r="I430" s="8"/>
      <c r="J430" s="8"/>
      <c r="K430" s="8"/>
    </row>
    <row r="431" spans="1:11" ht="15.75" customHeight="1" x14ac:dyDescent="0.25">
      <c r="A431" s="40"/>
      <c r="B431" s="9"/>
      <c r="C431" s="9"/>
      <c r="D431" s="9"/>
      <c r="E431" s="9"/>
      <c r="F431" s="9"/>
      <c r="G431" s="9"/>
      <c r="H431" s="8"/>
      <c r="I431" s="8"/>
      <c r="J431" s="8"/>
      <c r="K431" s="8"/>
    </row>
    <row r="432" spans="1:11" ht="15.75" customHeight="1" x14ac:dyDescent="0.25">
      <c r="A432" s="40"/>
      <c r="B432" s="9"/>
      <c r="C432" s="9"/>
      <c r="D432" s="9"/>
      <c r="E432" s="9"/>
      <c r="F432" s="9"/>
      <c r="G432" s="9"/>
      <c r="H432" s="8"/>
      <c r="I432" s="8"/>
      <c r="J432" s="8"/>
      <c r="K432" s="8"/>
    </row>
    <row r="433" spans="1:11" ht="15.75" customHeight="1" x14ac:dyDescent="0.25">
      <c r="A433" s="40"/>
      <c r="B433" s="9"/>
      <c r="C433" s="9"/>
      <c r="D433" s="9"/>
      <c r="E433" s="9"/>
      <c r="F433" s="9"/>
      <c r="G433" s="9"/>
      <c r="H433" s="8"/>
      <c r="I433" s="8"/>
      <c r="J433" s="8"/>
      <c r="K433" s="8"/>
    </row>
    <row r="434" spans="1:11" ht="15.75" customHeight="1" x14ac:dyDescent="0.25">
      <c r="A434" s="40"/>
      <c r="B434" s="9"/>
      <c r="C434" s="9"/>
      <c r="D434" s="9"/>
      <c r="E434" s="9"/>
      <c r="F434" s="9"/>
      <c r="G434" s="9"/>
      <c r="H434" s="8"/>
      <c r="I434" s="8"/>
      <c r="J434" s="8"/>
      <c r="K434" s="8"/>
    </row>
    <row r="435" spans="1:11" ht="15.75" customHeight="1" x14ac:dyDescent="0.25">
      <c r="A435" s="40"/>
      <c r="B435" s="9"/>
      <c r="C435" s="9"/>
      <c r="D435" s="9"/>
      <c r="E435" s="9"/>
      <c r="F435" s="9"/>
      <c r="G435" s="9"/>
      <c r="H435" s="8"/>
      <c r="I435" s="8"/>
      <c r="J435" s="8"/>
      <c r="K435" s="8"/>
    </row>
    <row r="436" spans="1:11" ht="15.75" customHeight="1" x14ac:dyDescent="0.25">
      <c r="A436" s="40"/>
      <c r="B436" s="9"/>
      <c r="C436" s="9"/>
      <c r="D436" s="9"/>
      <c r="E436" s="9"/>
      <c r="F436" s="9"/>
      <c r="G436" s="9"/>
      <c r="H436" s="8"/>
      <c r="I436" s="8"/>
      <c r="J436" s="8"/>
      <c r="K436" s="8"/>
    </row>
    <row r="437" spans="1:11" ht="15.75" customHeight="1" x14ac:dyDescent="0.25">
      <c r="A437" s="40"/>
      <c r="B437" s="9"/>
      <c r="C437" s="9"/>
      <c r="D437" s="9"/>
      <c r="E437" s="9"/>
      <c r="F437" s="9"/>
      <c r="G437" s="9"/>
      <c r="H437" s="8"/>
      <c r="I437" s="8"/>
      <c r="J437" s="8"/>
      <c r="K437" s="8"/>
    </row>
    <row r="438" spans="1:11" ht="15.75" customHeight="1" x14ac:dyDescent="0.25">
      <c r="A438" s="40"/>
      <c r="B438" s="9"/>
      <c r="C438" s="9"/>
      <c r="D438" s="9"/>
      <c r="E438" s="9"/>
      <c r="F438" s="9"/>
      <c r="G438" s="9"/>
      <c r="H438" s="8"/>
      <c r="I438" s="8"/>
      <c r="J438" s="8"/>
      <c r="K438" s="8"/>
    </row>
    <row r="439" spans="1:11" ht="15.75" customHeight="1" x14ac:dyDescent="0.25">
      <c r="A439" s="40"/>
      <c r="B439" s="9"/>
      <c r="C439" s="9"/>
      <c r="D439" s="9"/>
      <c r="E439" s="9"/>
      <c r="F439" s="9"/>
      <c r="G439" s="9"/>
      <c r="H439" s="8"/>
      <c r="I439" s="8"/>
      <c r="J439" s="8"/>
      <c r="K439" s="8"/>
    </row>
    <row r="440" spans="1:11" x14ac:dyDescent="0.25">
      <c r="A440" s="40"/>
      <c r="B440" s="9"/>
      <c r="C440" s="9"/>
      <c r="D440" s="9"/>
      <c r="E440" s="9"/>
      <c r="F440" s="9"/>
      <c r="G440" s="9"/>
      <c r="H440" s="8"/>
      <c r="I440" s="8"/>
      <c r="J440" s="8"/>
      <c r="K440" s="8"/>
    </row>
    <row r="441" spans="1:11" x14ac:dyDescent="0.25">
      <c r="A441" s="40"/>
      <c r="B441" s="9"/>
      <c r="C441" s="9"/>
      <c r="D441" s="9"/>
      <c r="E441" s="9"/>
      <c r="F441" s="9"/>
      <c r="G441" s="9"/>
      <c r="H441" s="8"/>
      <c r="I441" s="8"/>
      <c r="J441" s="8"/>
      <c r="K441" s="8"/>
    </row>
    <row r="442" spans="1:11" x14ac:dyDescent="0.25">
      <c r="A442" s="40"/>
      <c r="B442" s="9"/>
      <c r="C442" s="9"/>
      <c r="D442" s="9"/>
      <c r="E442" s="9"/>
      <c r="F442" s="9"/>
      <c r="G442" s="9"/>
      <c r="H442" s="8"/>
      <c r="I442" s="8"/>
      <c r="J442" s="8"/>
      <c r="K442" s="8"/>
    </row>
    <row r="443" spans="1:11" x14ac:dyDescent="0.25">
      <c r="A443" s="40"/>
      <c r="B443" s="9"/>
      <c r="C443" s="9"/>
      <c r="D443" s="9"/>
      <c r="E443" s="9"/>
      <c r="F443" s="9"/>
      <c r="G443" s="9"/>
      <c r="H443" s="8"/>
      <c r="I443" s="8"/>
      <c r="J443" s="8"/>
      <c r="K443" s="8"/>
    </row>
    <row r="444" spans="1:11" x14ac:dyDescent="0.25">
      <c r="A444" s="40"/>
      <c r="B444" s="9"/>
      <c r="C444" s="9"/>
      <c r="D444" s="9"/>
      <c r="E444" s="9"/>
      <c r="F444" s="9"/>
      <c r="G444" s="9"/>
      <c r="H444" s="8"/>
      <c r="I444" s="8"/>
      <c r="J444" s="8"/>
      <c r="K444" s="8"/>
    </row>
    <row r="445" spans="1:11" x14ac:dyDescent="0.25">
      <c r="A445" s="40"/>
      <c r="B445" s="9"/>
      <c r="C445" s="9"/>
      <c r="D445" s="9"/>
      <c r="E445" s="9"/>
      <c r="F445" s="9"/>
      <c r="G445" s="9"/>
      <c r="H445" s="8"/>
      <c r="I445" s="8"/>
      <c r="J445" s="8"/>
      <c r="K445" s="8"/>
    </row>
    <row r="446" spans="1:11" x14ac:dyDescent="0.25">
      <c r="A446" s="40"/>
      <c r="B446" s="9"/>
      <c r="C446" s="9"/>
      <c r="D446" s="9"/>
      <c r="E446" s="9"/>
      <c r="F446" s="9"/>
      <c r="G446" s="9"/>
      <c r="H446" s="8"/>
      <c r="I446" s="8"/>
      <c r="J446" s="8"/>
      <c r="K446" s="8"/>
    </row>
    <row r="447" spans="1:11" x14ac:dyDescent="0.25">
      <c r="A447" s="40"/>
      <c r="B447" s="9"/>
      <c r="C447" s="9"/>
      <c r="D447" s="9"/>
      <c r="E447" s="9"/>
      <c r="F447" s="9"/>
      <c r="G447" s="9"/>
      <c r="H447" s="8"/>
      <c r="I447" s="8"/>
      <c r="J447" s="8"/>
      <c r="K447" s="8"/>
    </row>
    <row r="448" spans="1:11" x14ac:dyDescent="0.25">
      <c r="A448" s="40"/>
      <c r="B448" s="9"/>
      <c r="C448" s="9"/>
      <c r="D448" s="9"/>
      <c r="E448" s="9"/>
      <c r="F448" s="9"/>
      <c r="G448" s="9"/>
      <c r="H448" s="8"/>
      <c r="I448" s="8"/>
      <c r="J448" s="8"/>
      <c r="K448" s="8"/>
    </row>
    <row r="449" spans="1:11" x14ac:dyDescent="0.25">
      <c r="A449" s="40"/>
      <c r="B449" s="9"/>
      <c r="C449" s="9"/>
      <c r="D449" s="9"/>
      <c r="E449" s="9"/>
      <c r="F449" s="9"/>
      <c r="G449" s="9"/>
      <c r="H449" s="8"/>
      <c r="I449" s="8"/>
      <c r="J449" s="8"/>
      <c r="K449" s="8"/>
    </row>
    <row r="450" spans="1:11" x14ac:dyDescent="0.25">
      <c r="A450" s="40"/>
      <c r="B450" s="9"/>
      <c r="C450" s="9"/>
      <c r="D450" s="9"/>
      <c r="E450" s="9"/>
      <c r="F450" s="9"/>
      <c r="G450" s="9"/>
      <c r="H450" s="8"/>
      <c r="I450" s="8"/>
      <c r="J450" s="8"/>
      <c r="K450" s="8"/>
    </row>
    <row r="451" spans="1:11" x14ac:dyDescent="0.25">
      <c r="A451" s="40"/>
      <c r="B451" s="9"/>
      <c r="C451" s="9"/>
      <c r="D451" s="9"/>
      <c r="E451" s="9"/>
      <c r="F451" s="9"/>
      <c r="G451" s="9"/>
      <c r="H451" s="8"/>
      <c r="I451" s="8"/>
      <c r="J451" s="8"/>
      <c r="K451" s="8"/>
    </row>
    <row r="452" spans="1:11" x14ac:dyDescent="0.25">
      <c r="A452" s="40"/>
      <c r="B452" s="9"/>
      <c r="C452" s="9"/>
      <c r="D452" s="9"/>
      <c r="E452" s="9"/>
      <c r="F452" s="9"/>
      <c r="G452" s="9"/>
      <c r="H452" s="8"/>
      <c r="I452" s="8"/>
      <c r="J452" s="8"/>
      <c r="K452" s="8"/>
    </row>
    <row r="453" spans="1:11" x14ac:dyDescent="0.25">
      <c r="A453" s="40"/>
      <c r="B453" s="9"/>
      <c r="C453" s="9"/>
      <c r="D453" s="9"/>
      <c r="E453" s="9"/>
      <c r="F453" s="9"/>
      <c r="G453" s="9"/>
      <c r="H453" s="8"/>
      <c r="I453" s="8"/>
      <c r="J453" s="8"/>
      <c r="K453" s="8"/>
    </row>
    <row r="454" spans="1:11" ht="15.75" customHeight="1" x14ac:dyDescent="0.25">
      <c r="A454" s="40"/>
      <c r="B454" s="9"/>
      <c r="C454" s="9"/>
      <c r="D454" s="9"/>
      <c r="E454" s="9"/>
      <c r="F454" s="9"/>
      <c r="G454" s="9"/>
      <c r="H454" s="8"/>
      <c r="I454" s="8"/>
      <c r="J454" s="8"/>
      <c r="K454" s="8"/>
    </row>
    <row r="455" spans="1:11" ht="15.75" customHeight="1" x14ac:dyDescent="0.25">
      <c r="A455" s="40"/>
      <c r="B455" s="9"/>
      <c r="C455" s="9"/>
      <c r="D455" s="9"/>
      <c r="E455" s="9"/>
      <c r="F455" s="9"/>
      <c r="G455" s="9"/>
      <c r="H455" s="8"/>
      <c r="I455" s="8"/>
      <c r="J455" s="8"/>
      <c r="K455" s="8"/>
    </row>
    <row r="456" spans="1:11" ht="15.75" customHeight="1" x14ac:dyDescent="0.25">
      <c r="A456" s="40"/>
      <c r="B456" s="9"/>
      <c r="C456" s="9"/>
      <c r="D456" s="9"/>
      <c r="E456" s="9"/>
      <c r="F456" s="9"/>
      <c r="G456" s="9"/>
      <c r="H456" s="8"/>
      <c r="I456" s="8"/>
      <c r="J456" s="8"/>
      <c r="K456" s="8"/>
    </row>
    <row r="457" spans="1:11" ht="15.75" customHeight="1" x14ac:dyDescent="0.25">
      <c r="A457" s="40"/>
      <c r="B457" s="9"/>
      <c r="C457" s="9"/>
      <c r="D457" s="9"/>
      <c r="E457" s="9"/>
      <c r="F457" s="9"/>
      <c r="G457" s="9"/>
      <c r="H457" s="8"/>
      <c r="I457" s="8"/>
      <c r="J457" s="8"/>
      <c r="K457" s="8"/>
    </row>
    <row r="458" spans="1:11" ht="15.75" customHeight="1" x14ac:dyDescent="0.25">
      <c r="A458" s="40"/>
      <c r="B458" s="9"/>
      <c r="C458" s="9"/>
      <c r="D458" s="9"/>
      <c r="E458" s="9"/>
      <c r="F458" s="9"/>
      <c r="G458" s="9"/>
      <c r="H458" s="8"/>
      <c r="I458" s="8"/>
      <c r="J458" s="8"/>
      <c r="K458" s="8"/>
    </row>
    <row r="459" spans="1:11" ht="15.75" customHeight="1" x14ac:dyDescent="0.25">
      <c r="A459" s="40"/>
      <c r="B459" s="9"/>
      <c r="C459" s="9"/>
      <c r="D459" s="9"/>
      <c r="E459" s="9"/>
      <c r="F459" s="9"/>
      <c r="G459" s="9"/>
      <c r="H459" s="8"/>
      <c r="I459" s="8"/>
      <c r="J459" s="8"/>
      <c r="K459" s="8"/>
    </row>
    <row r="460" spans="1:11" ht="15.75" customHeight="1" x14ac:dyDescent="0.25">
      <c r="A460" s="40"/>
      <c r="B460" s="9"/>
      <c r="C460" s="9"/>
      <c r="D460" s="9"/>
      <c r="E460" s="9"/>
      <c r="F460" s="9"/>
      <c r="G460" s="9"/>
      <c r="H460" s="8"/>
      <c r="I460" s="8"/>
      <c r="J460" s="8"/>
      <c r="K460" s="8"/>
    </row>
    <row r="461" spans="1:11" ht="15.75" customHeight="1" x14ac:dyDescent="0.25">
      <c r="A461" s="40"/>
      <c r="B461" s="9"/>
      <c r="C461" s="9"/>
      <c r="D461" s="9"/>
      <c r="E461" s="9"/>
      <c r="F461" s="9"/>
      <c r="G461" s="9"/>
      <c r="H461" s="8"/>
      <c r="I461" s="8"/>
      <c r="J461" s="8"/>
      <c r="K461" s="8"/>
    </row>
    <row r="462" spans="1:11" ht="15.75" customHeight="1" x14ac:dyDescent="0.25">
      <c r="A462" s="40"/>
      <c r="B462" s="9"/>
      <c r="C462" s="9"/>
      <c r="D462" s="9"/>
      <c r="E462" s="9"/>
      <c r="F462" s="9"/>
      <c r="G462" s="9"/>
      <c r="H462" s="8"/>
      <c r="I462" s="8"/>
      <c r="J462" s="8"/>
      <c r="K462" s="8"/>
    </row>
    <row r="463" spans="1:11" ht="15.75" customHeight="1" x14ac:dyDescent="0.25">
      <c r="A463" s="40"/>
      <c r="B463" s="9"/>
      <c r="C463" s="9"/>
      <c r="D463" s="9"/>
      <c r="E463" s="9"/>
      <c r="F463" s="9"/>
      <c r="G463" s="9"/>
      <c r="H463" s="8"/>
      <c r="I463" s="8"/>
      <c r="J463" s="8"/>
      <c r="K463" s="8"/>
    </row>
    <row r="464" spans="1:11" ht="15.75" customHeight="1" x14ac:dyDescent="0.25">
      <c r="A464" s="40"/>
      <c r="B464" s="9"/>
      <c r="C464" s="9"/>
      <c r="D464" s="9"/>
      <c r="E464" s="9"/>
      <c r="F464" s="9"/>
      <c r="G464" s="9"/>
      <c r="H464" s="8"/>
      <c r="I464" s="8"/>
      <c r="J464" s="8"/>
      <c r="K464" s="8"/>
    </row>
    <row r="465" spans="1:11" ht="15.75" customHeight="1" x14ac:dyDescent="0.25">
      <c r="A465" s="40"/>
      <c r="B465" s="9"/>
      <c r="C465" s="9"/>
      <c r="D465" s="9"/>
      <c r="E465" s="9"/>
      <c r="F465" s="9"/>
      <c r="G465" s="9"/>
      <c r="H465" s="8"/>
      <c r="I465" s="8"/>
      <c r="J465" s="8"/>
      <c r="K465" s="8"/>
    </row>
    <row r="466" spans="1:11" ht="15.75" customHeight="1" x14ac:dyDescent="0.25">
      <c r="A466" s="40"/>
      <c r="B466" s="9"/>
      <c r="C466" s="9"/>
      <c r="D466" s="9"/>
      <c r="E466" s="9"/>
      <c r="F466" s="9"/>
      <c r="G466" s="9"/>
      <c r="H466" s="8"/>
      <c r="I466" s="8"/>
      <c r="J466" s="8"/>
      <c r="K466" s="8"/>
    </row>
    <row r="467" spans="1:11" ht="15.75" customHeight="1" x14ac:dyDescent="0.25">
      <c r="A467" s="40"/>
      <c r="B467" s="9"/>
      <c r="C467" s="9"/>
      <c r="D467" s="9"/>
      <c r="E467" s="9"/>
      <c r="F467" s="9"/>
      <c r="G467" s="9"/>
      <c r="H467" s="8"/>
      <c r="I467" s="8"/>
      <c r="J467" s="8"/>
      <c r="K467" s="8"/>
    </row>
    <row r="468" spans="1:11" ht="15.75" customHeight="1" x14ac:dyDescent="0.25">
      <c r="A468" s="40"/>
      <c r="B468" s="9"/>
      <c r="C468" s="9"/>
      <c r="D468" s="9"/>
      <c r="E468" s="9"/>
      <c r="F468" s="9"/>
      <c r="G468" s="9"/>
      <c r="H468" s="8"/>
      <c r="I468" s="8"/>
      <c r="J468" s="8"/>
      <c r="K468" s="8"/>
    </row>
    <row r="469" spans="1:11" ht="15.75" customHeight="1" x14ac:dyDescent="0.25">
      <c r="A469" s="40"/>
      <c r="B469" s="9"/>
      <c r="C469" s="9"/>
      <c r="D469" s="9"/>
      <c r="E469" s="9"/>
      <c r="F469" s="9"/>
      <c r="G469" s="9"/>
      <c r="H469" s="8"/>
      <c r="I469" s="8"/>
      <c r="J469" s="8"/>
      <c r="K469" s="8"/>
    </row>
    <row r="470" spans="1:11" ht="15.75" customHeight="1" x14ac:dyDescent="0.25">
      <c r="A470" s="40"/>
      <c r="B470" s="9"/>
      <c r="C470" s="9"/>
      <c r="D470" s="9"/>
      <c r="E470" s="9"/>
      <c r="F470" s="9"/>
      <c r="G470" s="9"/>
      <c r="H470" s="8"/>
      <c r="I470" s="8"/>
      <c r="J470" s="8"/>
      <c r="K470" s="8"/>
    </row>
    <row r="471" spans="1:11" ht="15.75" customHeight="1" x14ac:dyDescent="0.25">
      <c r="A471" s="40"/>
      <c r="B471" s="9"/>
      <c r="C471" s="9"/>
      <c r="D471" s="9"/>
      <c r="E471" s="9"/>
      <c r="F471" s="9"/>
      <c r="G471" s="9"/>
      <c r="H471" s="8"/>
      <c r="I471" s="8"/>
      <c r="J471" s="8"/>
      <c r="K471" s="8"/>
    </row>
    <row r="472" spans="1:11" ht="15.75" customHeight="1" x14ac:dyDescent="0.25">
      <c r="A472" s="40"/>
      <c r="B472" s="9"/>
      <c r="C472" s="9"/>
      <c r="D472" s="9"/>
      <c r="E472" s="9"/>
      <c r="F472" s="9"/>
      <c r="G472" s="9"/>
      <c r="H472" s="8"/>
      <c r="I472" s="8"/>
      <c r="J472" s="8"/>
      <c r="K472" s="8"/>
    </row>
    <row r="473" spans="1:11" ht="15.75" customHeight="1" x14ac:dyDescent="0.25">
      <c r="A473" s="40"/>
      <c r="B473" s="9"/>
      <c r="C473" s="9"/>
      <c r="D473" s="9"/>
      <c r="E473" s="9"/>
      <c r="F473" s="9"/>
      <c r="G473" s="9"/>
      <c r="H473" s="8"/>
      <c r="I473" s="8"/>
      <c r="J473" s="8"/>
      <c r="K473" s="8"/>
    </row>
    <row r="474" spans="1:11" ht="15.75" customHeight="1" x14ac:dyDescent="0.25">
      <c r="A474" s="40"/>
      <c r="B474" s="9"/>
      <c r="C474" s="9"/>
      <c r="D474" s="9"/>
      <c r="E474" s="9"/>
      <c r="F474" s="9"/>
      <c r="G474" s="9"/>
      <c r="H474" s="8"/>
      <c r="I474" s="8"/>
      <c r="J474" s="8"/>
      <c r="K474" s="8"/>
    </row>
    <row r="475" spans="1:11" ht="15.75" customHeight="1" x14ac:dyDescent="0.25">
      <c r="A475" s="40"/>
      <c r="B475" s="9"/>
      <c r="C475" s="9"/>
      <c r="D475" s="9"/>
      <c r="E475" s="9"/>
      <c r="F475" s="9"/>
      <c r="G475" s="9"/>
      <c r="H475" s="8"/>
      <c r="I475" s="8"/>
      <c r="J475" s="8"/>
      <c r="K475" s="8"/>
    </row>
    <row r="476" spans="1:11" ht="15.75" customHeight="1" x14ac:dyDescent="0.25">
      <c r="A476" s="40"/>
      <c r="B476" s="9"/>
      <c r="C476" s="9"/>
      <c r="D476" s="9"/>
      <c r="E476" s="9"/>
      <c r="F476" s="9"/>
      <c r="G476" s="9"/>
      <c r="H476" s="8"/>
      <c r="I476" s="8"/>
      <c r="J476" s="8"/>
      <c r="K476" s="8"/>
    </row>
    <row r="477" spans="1:11" ht="15.75" customHeight="1" x14ac:dyDescent="0.25">
      <c r="A477" s="40"/>
      <c r="B477" s="9"/>
      <c r="C477" s="9"/>
      <c r="D477" s="9"/>
      <c r="E477" s="9"/>
      <c r="F477" s="9"/>
      <c r="G477" s="9"/>
      <c r="H477" s="8"/>
      <c r="I477" s="8"/>
      <c r="J477" s="8"/>
      <c r="K477" s="8"/>
    </row>
    <row r="478" spans="1:11" ht="15.75" customHeight="1" x14ac:dyDescent="0.25">
      <c r="A478" s="40"/>
      <c r="B478" s="9"/>
      <c r="C478" s="9"/>
      <c r="D478" s="9"/>
      <c r="E478" s="9"/>
      <c r="F478" s="9"/>
      <c r="G478" s="9"/>
      <c r="H478" s="8"/>
      <c r="I478" s="8"/>
      <c r="J478" s="8"/>
      <c r="K478" s="8"/>
    </row>
    <row r="479" spans="1:11" ht="15.75" customHeight="1" x14ac:dyDescent="0.25">
      <c r="A479" s="40"/>
      <c r="B479" s="9"/>
      <c r="C479" s="9"/>
      <c r="D479" s="9"/>
      <c r="E479" s="9"/>
      <c r="F479" s="9"/>
      <c r="G479" s="9"/>
      <c r="H479" s="8"/>
      <c r="I479" s="8"/>
      <c r="J479" s="8"/>
      <c r="K479" s="8"/>
    </row>
    <row r="480" spans="1:11" ht="15.75" customHeight="1" x14ac:dyDescent="0.25">
      <c r="A480" s="40"/>
      <c r="B480" s="9"/>
      <c r="C480" s="9"/>
      <c r="D480" s="9"/>
      <c r="E480" s="9"/>
      <c r="F480" s="9"/>
      <c r="G480" s="9"/>
      <c r="H480" s="8"/>
      <c r="I480" s="8"/>
      <c r="J480" s="8"/>
      <c r="K480" s="8"/>
    </row>
    <row r="481" spans="1:11" ht="15.75" customHeight="1" x14ac:dyDescent="0.25">
      <c r="A481" s="40"/>
      <c r="B481" s="9"/>
      <c r="C481" s="9"/>
      <c r="D481" s="9"/>
      <c r="E481" s="9"/>
      <c r="F481" s="9"/>
      <c r="G481" s="9"/>
      <c r="H481" s="8"/>
      <c r="I481" s="8"/>
      <c r="J481" s="8"/>
      <c r="K481" s="8"/>
    </row>
    <row r="482" spans="1:11" ht="15.75" customHeight="1" x14ac:dyDescent="0.25">
      <c r="A482" s="40"/>
      <c r="B482" s="9"/>
      <c r="C482" s="9"/>
      <c r="D482" s="9"/>
      <c r="E482" s="9"/>
      <c r="F482" s="9"/>
      <c r="G482" s="9"/>
      <c r="H482" s="8"/>
      <c r="I482" s="8"/>
      <c r="J482" s="8"/>
      <c r="K482" s="8"/>
    </row>
    <row r="483" spans="1:11" ht="15.75" customHeight="1" x14ac:dyDescent="0.25">
      <c r="A483" s="40"/>
      <c r="B483" s="9"/>
      <c r="C483" s="9"/>
      <c r="D483" s="9"/>
      <c r="E483" s="9"/>
      <c r="F483" s="9"/>
      <c r="G483" s="9"/>
      <c r="H483" s="8"/>
      <c r="I483" s="8"/>
      <c r="J483" s="8"/>
      <c r="K483" s="8"/>
    </row>
    <row r="484" spans="1:11" ht="15.75" customHeight="1" x14ac:dyDescent="0.25">
      <c r="A484" s="40"/>
      <c r="B484" s="9"/>
      <c r="C484" s="9"/>
      <c r="D484" s="9"/>
      <c r="E484" s="9"/>
      <c r="F484" s="9"/>
      <c r="G484" s="9"/>
      <c r="H484" s="8"/>
      <c r="I484" s="8"/>
      <c r="J484" s="8"/>
      <c r="K484" s="8"/>
    </row>
    <row r="485" spans="1:11" ht="15.75" customHeight="1" x14ac:dyDescent="0.25">
      <c r="A485" s="40"/>
      <c r="B485" s="9"/>
      <c r="C485" s="9"/>
      <c r="D485" s="9"/>
      <c r="E485" s="9"/>
      <c r="F485" s="9"/>
      <c r="G485" s="9"/>
      <c r="H485" s="8"/>
      <c r="I485" s="8"/>
      <c r="J485" s="8"/>
      <c r="K485" s="8"/>
    </row>
    <row r="486" spans="1:11" ht="15.75" customHeight="1" x14ac:dyDescent="0.25">
      <c r="A486" s="40"/>
      <c r="B486" s="9"/>
      <c r="C486" s="9"/>
      <c r="D486" s="9"/>
      <c r="E486" s="9"/>
      <c r="F486" s="9"/>
      <c r="G486" s="9"/>
      <c r="H486" s="8"/>
      <c r="I486" s="8"/>
      <c r="J486" s="8"/>
      <c r="K486" s="8"/>
    </row>
    <row r="487" spans="1:11" ht="15.75" customHeight="1" x14ac:dyDescent="0.25">
      <c r="A487" s="40"/>
      <c r="B487" s="9"/>
      <c r="C487" s="9"/>
      <c r="D487" s="9"/>
      <c r="E487" s="9"/>
      <c r="F487" s="9"/>
      <c r="G487" s="9"/>
      <c r="H487" s="8"/>
      <c r="I487" s="8"/>
      <c r="J487" s="8"/>
      <c r="K487" s="8"/>
    </row>
    <row r="488" spans="1:11" ht="15.75" customHeight="1" x14ac:dyDescent="0.25">
      <c r="A488" s="40"/>
      <c r="B488" s="9"/>
      <c r="C488" s="9"/>
      <c r="D488" s="9"/>
      <c r="E488" s="9"/>
      <c r="F488" s="9"/>
      <c r="G488" s="9"/>
      <c r="H488" s="8"/>
      <c r="I488" s="8"/>
      <c r="J488" s="8"/>
      <c r="K488" s="8"/>
    </row>
    <row r="489" spans="1:11" ht="15.75" customHeight="1" x14ac:dyDescent="0.25">
      <c r="A489" s="40"/>
      <c r="B489" s="9"/>
      <c r="C489" s="9"/>
      <c r="D489" s="9"/>
      <c r="E489" s="9"/>
      <c r="F489" s="9"/>
      <c r="G489" s="9"/>
      <c r="H489" s="8"/>
      <c r="I489" s="8"/>
      <c r="J489" s="8"/>
      <c r="K489" s="8"/>
    </row>
    <row r="490" spans="1:11" ht="15.75" customHeight="1" x14ac:dyDescent="0.25">
      <c r="A490" s="40"/>
      <c r="B490" s="9"/>
      <c r="C490" s="9"/>
      <c r="D490" s="9"/>
      <c r="E490" s="9"/>
      <c r="F490" s="9"/>
      <c r="G490" s="9"/>
      <c r="H490" s="8"/>
      <c r="I490" s="8"/>
      <c r="J490" s="8"/>
      <c r="K490" s="8"/>
    </row>
    <row r="491" spans="1:11" ht="15.75" customHeight="1" x14ac:dyDescent="0.25">
      <c r="A491" s="40"/>
      <c r="B491" s="9"/>
      <c r="C491" s="9"/>
      <c r="D491" s="9"/>
      <c r="E491" s="9"/>
      <c r="F491" s="9"/>
      <c r="G491" s="9"/>
      <c r="H491" s="8"/>
      <c r="I491" s="8"/>
      <c r="J491" s="8"/>
      <c r="K491" s="8"/>
    </row>
    <row r="492" spans="1:11" ht="15.75" customHeight="1" x14ac:dyDescent="0.25">
      <c r="A492" s="40"/>
      <c r="B492" s="9"/>
      <c r="C492" s="9"/>
      <c r="D492" s="9"/>
      <c r="E492" s="9"/>
      <c r="F492" s="9"/>
      <c r="G492" s="9"/>
      <c r="H492" s="8"/>
      <c r="I492" s="8"/>
      <c r="J492" s="8"/>
      <c r="K492" s="8"/>
    </row>
    <row r="493" spans="1:11" ht="15.75" customHeight="1" x14ac:dyDescent="0.25">
      <c r="A493" s="40"/>
      <c r="B493" s="9"/>
      <c r="C493" s="9"/>
      <c r="D493" s="9"/>
      <c r="E493" s="9"/>
      <c r="F493" s="9"/>
      <c r="G493" s="9"/>
      <c r="H493" s="8"/>
      <c r="I493" s="8"/>
      <c r="J493" s="8"/>
      <c r="K493" s="8"/>
    </row>
    <row r="494" spans="1:11" ht="15.75" customHeight="1" x14ac:dyDescent="0.25">
      <c r="A494" s="40"/>
      <c r="B494" s="9"/>
      <c r="C494" s="9"/>
      <c r="D494" s="9"/>
      <c r="E494" s="9"/>
      <c r="F494" s="9"/>
      <c r="G494" s="9"/>
      <c r="H494" s="8"/>
      <c r="I494" s="8"/>
      <c r="J494" s="8"/>
      <c r="K494" s="8"/>
    </row>
    <row r="495" spans="1:11" ht="15.75" customHeight="1" x14ac:dyDescent="0.25">
      <c r="A495" s="40"/>
      <c r="B495" s="9"/>
      <c r="C495" s="9"/>
      <c r="D495" s="9"/>
      <c r="E495" s="9"/>
      <c r="F495" s="9"/>
      <c r="G495" s="9"/>
      <c r="H495" s="8"/>
      <c r="I495" s="8"/>
      <c r="J495" s="8"/>
      <c r="K495" s="8"/>
    </row>
    <row r="496" spans="1:11" ht="15.75" customHeight="1" x14ac:dyDescent="0.25">
      <c r="A496" s="40"/>
      <c r="B496" s="9"/>
      <c r="C496" s="9"/>
      <c r="D496" s="9"/>
      <c r="E496" s="9"/>
      <c r="F496" s="9"/>
      <c r="G496" s="9"/>
      <c r="H496" s="8"/>
      <c r="I496" s="8"/>
      <c r="J496" s="8"/>
      <c r="K496" s="8"/>
    </row>
    <row r="497" spans="1:11" ht="15.75" customHeight="1" x14ac:dyDescent="0.25">
      <c r="A497" s="40"/>
      <c r="B497" s="9"/>
      <c r="C497" s="9"/>
      <c r="D497" s="9"/>
      <c r="E497" s="9"/>
      <c r="F497" s="9"/>
      <c r="G497" s="9"/>
      <c r="H497" s="8"/>
      <c r="I497" s="8"/>
      <c r="J497" s="8"/>
      <c r="K497" s="8"/>
    </row>
    <row r="498" spans="1:11" ht="15.75" customHeight="1" x14ac:dyDescent="0.25">
      <c r="A498" s="40"/>
      <c r="B498" s="9"/>
      <c r="C498" s="9"/>
      <c r="D498" s="9"/>
      <c r="E498" s="9"/>
      <c r="F498" s="9"/>
      <c r="G498" s="9"/>
      <c r="H498" s="8"/>
      <c r="I498" s="8"/>
      <c r="J498" s="8"/>
      <c r="K498" s="8"/>
    </row>
    <row r="499" spans="1:11" ht="15.75" customHeight="1" x14ac:dyDescent="0.25">
      <c r="A499" s="40"/>
      <c r="B499" s="9"/>
      <c r="C499" s="9"/>
      <c r="D499" s="9"/>
      <c r="E499" s="9"/>
      <c r="F499" s="9"/>
      <c r="G499" s="9"/>
      <c r="H499" s="8"/>
      <c r="I499" s="8"/>
      <c r="J499" s="8"/>
      <c r="K499" s="8"/>
    </row>
    <row r="500" spans="1:11" ht="15.75" customHeight="1" x14ac:dyDescent="0.25">
      <c r="A500" s="40"/>
      <c r="B500" s="9"/>
      <c r="C500" s="9"/>
      <c r="D500" s="9"/>
      <c r="E500" s="9"/>
      <c r="F500" s="9"/>
      <c r="G500" s="9"/>
      <c r="H500" s="8"/>
      <c r="I500" s="8"/>
      <c r="J500" s="8"/>
      <c r="K500" s="8"/>
    </row>
    <row r="501" spans="1:11" ht="15.75" customHeight="1" x14ac:dyDescent="0.25">
      <c r="A501" s="40"/>
      <c r="B501" s="9"/>
      <c r="C501" s="9"/>
      <c r="D501" s="9"/>
      <c r="E501" s="9"/>
      <c r="F501" s="9"/>
      <c r="G501" s="9"/>
      <c r="H501" s="8"/>
      <c r="I501" s="8"/>
      <c r="J501" s="8"/>
      <c r="K501" s="8"/>
    </row>
    <row r="502" spans="1:11" ht="15.75" customHeight="1" x14ac:dyDescent="0.25">
      <c r="A502" s="40"/>
      <c r="B502" s="9"/>
      <c r="C502" s="9"/>
      <c r="D502" s="9"/>
      <c r="E502" s="9"/>
      <c r="F502" s="9"/>
      <c r="G502" s="9"/>
      <c r="H502" s="8"/>
      <c r="I502" s="8"/>
      <c r="J502" s="8"/>
      <c r="K502" s="8"/>
    </row>
    <row r="503" spans="1:11" ht="15.75" customHeight="1" x14ac:dyDescent="0.25">
      <c r="A503" s="40"/>
      <c r="B503" s="9"/>
      <c r="C503" s="9"/>
      <c r="D503" s="9"/>
      <c r="E503" s="9"/>
      <c r="F503" s="9"/>
      <c r="G503" s="9"/>
      <c r="H503" s="8"/>
      <c r="I503" s="8"/>
      <c r="J503" s="8"/>
      <c r="K503" s="8"/>
    </row>
    <row r="504" spans="1:11" ht="15.75" customHeight="1" x14ac:dyDescent="0.25">
      <c r="A504" s="40"/>
      <c r="B504" s="9"/>
      <c r="C504" s="9"/>
      <c r="D504" s="9"/>
      <c r="E504" s="9"/>
      <c r="F504" s="9"/>
      <c r="G504" s="9"/>
      <c r="H504" s="8"/>
      <c r="I504" s="8"/>
      <c r="J504" s="8"/>
      <c r="K504" s="8"/>
    </row>
    <row r="505" spans="1:11" ht="15.75" customHeight="1" x14ac:dyDescent="0.25">
      <c r="A505" s="40"/>
      <c r="B505" s="9"/>
      <c r="C505" s="9"/>
      <c r="D505" s="9"/>
      <c r="E505" s="9"/>
      <c r="F505" s="9"/>
      <c r="G505" s="9"/>
      <c r="H505" s="8"/>
      <c r="I505" s="8"/>
      <c r="J505" s="8"/>
      <c r="K505" s="8"/>
    </row>
    <row r="506" spans="1:11" ht="15.75" customHeight="1" x14ac:dyDescent="0.25">
      <c r="A506" s="40"/>
      <c r="B506" s="9"/>
      <c r="C506" s="9"/>
      <c r="D506" s="9"/>
      <c r="E506" s="9"/>
      <c r="F506" s="9"/>
      <c r="G506" s="9"/>
      <c r="H506" s="8"/>
      <c r="I506" s="8"/>
      <c r="J506" s="8"/>
      <c r="K506" s="8"/>
    </row>
    <row r="507" spans="1:11" ht="15.75" customHeight="1" x14ac:dyDescent="0.25">
      <c r="A507" s="40"/>
      <c r="B507" s="9"/>
      <c r="C507" s="9"/>
      <c r="D507" s="9"/>
      <c r="E507" s="9"/>
      <c r="F507" s="9"/>
      <c r="G507" s="9"/>
      <c r="H507" s="8"/>
      <c r="I507" s="8"/>
      <c r="J507" s="8"/>
      <c r="K507" s="8"/>
    </row>
    <row r="508" spans="1:11" ht="15.75" customHeight="1" x14ac:dyDescent="0.25">
      <c r="A508" s="40"/>
      <c r="B508" s="9"/>
      <c r="C508" s="9"/>
      <c r="D508" s="9"/>
      <c r="E508" s="9"/>
      <c r="F508" s="9"/>
      <c r="G508" s="9"/>
      <c r="H508" s="8"/>
      <c r="I508" s="8"/>
      <c r="J508" s="8"/>
      <c r="K508" s="8"/>
    </row>
    <row r="509" spans="1:11" ht="15.75" customHeight="1" x14ac:dyDescent="0.25">
      <c r="A509" s="40"/>
      <c r="B509" s="9"/>
      <c r="C509" s="9"/>
      <c r="D509" s="9"/>
      <c r="E509" s="9"/>
      <c r="F509" s="9"/>
      <c r="G509" s="9"/>
      <c r="H509" s="8"/>
      <c r="I509" s="8"/>
      <c r="J509" s="8"/>
      <c r="K509" s="8"/>
    </row>
    <row r="510" spans="1:11" ht="15.75" customHeight="1" x14ac:dyDescent="0.25">
      <c r="A510" s="40"/>
      <c r="B510" s="9"/>
      <c r="C510" s="9"/>
      <c r="D510" s="9"/>
      <c r="E510" s="9"/>
      <c r="F510" s="9"/>
      <c r="G510" s="9"/>
      <c r="H510" s="8"/>
      <c r="I510" s="8"/>
      <c r="J510" s="8"/>
      <c r="K510" s="8"/>
    </row>
    <row r="511" spans="1:11" ht="15.75" customHeight="1" x14ac:dyDescent="0.25">
      <c r="A511" s="40"/>
      <c r="B511" s="9"/>
      <c r="C511" s="9"/>
      <c r="D511" s="9"/>
      <c r="E511" s="9"/>
      <c r="F511" s="9"/>
      <c r="G511" s="9"/>
      <c r="H511" s="8"/>
      <c r="I511" s="8"/>
      <c r="J511" s="8"/>
      <c r="K511" s="8"/>
    </row>
    <row r="512" spans="1:11" ht="15.75" customHeight="1" x14ac:dyDescent="0.25">
      <c r="A512" s="40"/>
      <c r="B512" s="9"/>
      <c r="C512" s="9"/>
      <c r="D512" s="9"/>
      <c r="E512" s="9"/>
      <c r="F512" s="9"/>
      <c r="G512" s="9"/>
      <c r="H512" s="8"/>
      <c r="I512" s="8"/>
      <c r="J512" s="8"/>
      <c r="K512" s="8"/>
    </row>
    <row r="513" spans="1:11" ht="15.75" customHeight="1" x14ac:dyDescent="0.25">
      <c r="A513" s="40"/>
      <c r="B513" s="9"/>
      <c r="C513" s="9"/>
      <c r="D513" s="9"/>
      <c r="E513" s="9"/>
      <c r="F513" s="9"/>
      <c r="G513" s="9"/>
      <c r="H513" s="8"/>
      <c r="I513" s="8"/>
      <c r="J513" s="8"/>
      <c r="K513" s="8"/>
    </row>
    <row r="514" spans="1:11" ht="15.75" customHeight="1" x14ac:dyDescent="0.25">
      <c r="A514" s="40"/>
      <c r="B514" s="9"/>
      <c r="C514" s="9"/>
      <c r="D514" s="9"/>
      <c r="E514" s="9"/>
      <c r="F514" s="9"/>
      <c r="G514" s="9"/>
      <c r="H514" s="8"/>
      <c r="I514" s="8"/>
      <c r="J514" s="8"/>
      <c r="K514" s="8"/>
    </row>
    <row r="515" spans="1:11" ht="15.75" customHeight="1" x14ac:dyDescent="0.25">
      <c r="A515" s="40"/>
      <c r="B515" s="9"/>
      <c r="C515" s="9"/>
      <c r="D515" s="9"/>
      <c r="E515" s="9"/>
      <c r="F515" s="9"/>
      <c r="G515" s="9"/>
      <c r="H515" s="8"/>
      <c r="I515" s="8"/>
      <c r="J515" s="8"/>
      <c r="K515" s="8"/>
    </row>
    <row r="516" spans="1:11" ht="15.75" customHeight="1" x14ac:dyDescent="0.25">
      <c r="A516" s="40"/>
      <c r="B516" s="9"/>
      <c r="C516" s="9"/>
      <c r="D516" s="9"/>
      <c r="E516" s="9"/>
      <c r="F516" s="9"/>
      <c r="G516" s="9"/>
      <c r="H516" s="8"/>
      <c r="I516" s="8"/>
      <c r="J516" s="8"/>
      <c r="K516" s="8"/>
    </row>
    <row r="517" spans="1:11" ht="15.75" customHeight="1" x14ac:dyDescent="0.25">
      <c r="A517" s="40"/>
      <c r="B517" s="9"/>
      <c r="C517" s="9"/>
      <c r="D517" s="9"/>
      <c r="E517" s="9"/>
      <c r="F517" s="9"/>
      <c r="G517" s="9"/>
      <c r="H517" s="8"/>
      <c r="I517" s="8"/>
      <c r="J517" s="8"/>
      <c r="K517" s="8"/>
    </row>
    <row r="518" spans="1:11" ht="15.75" customHeight="1" x14ac:dyDescent="0.25">
      <c r="A518" s="40"/>
      <c r="B518" s="9"/>
      <c r="C518" s="9"/>
      <c r="D518" s="9"/>
      <c r="E518" s="9"/>
      <c r="F518" s="9"/>
      <c r="G518" s="9"/>
      <c r="H518" s="8"/>
      <c r="I518" s="8"/>
      <c r="J518" s="8"/>
      <c r="K518" s="8"/>
    </row>
    <row r="519" spans="1:11" ht="15.75" customHeight="1" x14ac:dyDescent="0.25">
      <c r="A519" s="40"/>
      <c r="B519" s="9"/>
      <c r="C519" s="9"/>
      <c r="D519" s="9"/>
      <c r="E519" s="9"/>
      <c r="F519" s="9"/>
      <c r="G519" s="9"/>
      <c r="H519" s="8"/>
      <c r="I519" s="8"/>
      <c r="J519" s="8"/>
      <c r="K519" s="8"/>
    </row>
    <row r="520" spans="1:11" ht="15.75" customHeight="1" x14ac:dyDescent="0.25">
      <c r="A520" s="40"/>
      <c r="B520" s="9"/>
      <c r="C520" s="9"/>
      <c r="D520" s="9"/>
      <c r="E520" s="9"/>
      <c r="F520" s="9"/>
      <c r="G520" s="9"/>
      <c r="H520" s="8"/>
      <c r="I520" s="8"/>
      <c r="J520" s="8"/>
      <c r="K520" s="8"/>
    </row>
    <row r="521" spans="1:11" ht="15.75" customHeight="1" x14ac:dyDescent="0.25">
      <c r="A521" s="40"/>
      <c r="B521" s="9"/>
      <c r="C521" s="9"/>
      <c r="D521" s="9"/>
      <c r="E521" s="9"/>
      <c r="F521" s="9"/>
      <c r="G521" s="9"/>
      <c r="H521" s="8"/>
      <c r="I521" s="8"/>
      <c r="J521" s="8"/>
      <c r="K521" s="8"/>
    </row>
    <row r="522" spans="1:11" ht="15.75" customHeight="1" x14ac:dyDescent="0.25">
      <c r="A522" s="40"/>
      <c r="B522" s="9"/>
      <c r="C522" s="9"/>
      <c r="D522" s="9"/>
      <c r="E522" s="9"/>
      <c r="F522" s="9"/>
      <c r="G522" s="9"/>
      <c r="H522" s="8"/>
      <c r="I522" s="8"/>
      <c r="J522" s="8"/>
      <c r="K522" s="8"/>
    </row>
    <row r="523" spans="1:11" ht="15.75" customHeight="1" x14ac:dyDescent="0.25">
      <c r="A523" s="40"/>
      <c r="B523" s="9"/>
      <c r="C523" s="9"/>
      <c r="D523" s="9"/>
      <c r="E523" s="9"/>
      <c r="F523" s="9"/>
      <c r="G523" s="9"/>
      <c r="H523" s="8"/>
      <c r="I523" s="8"/>
      <c r="J523" s="8"/>
      <c r="K523" s="8"/>
    </row>
    <row r="524" spans="1:11" ht="15.75" customHeight="1" x14ac:dyDescent="0.25">
      <c r="A524" s="40"/>
      <c r="B524" s="9"/>
      <c r="C524" s="9"/>
      <c r="D524" s="9"/>
      <c r="E524" s="9"/>
      <c r="F524" s="9"/>
      <c r="G524" s="9"/>
      <c r="H524" s="8"/>
      <c r="I524" s="8"/>
      <c r="J524" s="8"/>
      <c r="K524" s="8"/>
    </row>
    <row r="525" spans="1:11" ht="15.75" customHeight="1" x14ac:dyDescent="0.25">
      <c r="A525" s="40"/>
      <c r="B525" s="9"/>
      <c r="C525" s="9"/>
      <c r="D525" s="9"/>
      <c r="E525" s="9"/>
      <c r="F525" s="9"/>
      <c r="G525" s="9"/>
      <c r="H525" s="8"/>
      <c r="I525" s="8"/>
      <c r="J525" s="8"/>
      <c r="K525" s="8"/>
    </row>
    <row r="526" spans="1:11" ht="15.75" customHeight="1" x14ac:dyDescent="0.25">
      <c r="A526" s="40"/>
      <c r="B526" s="9"/>
      <c r="C526" s="9"/>
      <c r="D526" s="9"/>
      <c r="E526" s="9"/>
      <c r="F526" s="9"/>
      <c r="G526" s="9"/>
      <c r="H526" s="8"/>
      <c r="I526" s="8"/>
      <c r="J526" s="8"/>
      <c r="K526" s="8"/>
    </row>
    <row r="527" spans="1:11" ht="15.75" customHeight="1" x14ac:dyDescent="0.25">
      <c r="A527" s="40"/>
      <c r="B527" s="9"/>
      <c r="C527" s="9"/>
      <c r="D527" s="9"/>
      <c r="E527" s="9"/>
      <c r="F527" s="9"/>
      <c r="G527" s="9"/>
      <c r="H527" s="8"/>
      <c r="I527" s="8"/>
      <c r="J527" s="8"/>
      <c r="K527" s="8"/>
    </row>
    <row r="528" spans="1:11" ht="15.75" customHeight="1" x14ac:dyDescent="0.25">
      <c r="A528" s="40"/>
      <c r="B528" s="9"/>
      <c r="C528" s="9"/>
      <c r="D528" s="9"/>
      <c r="E528" s="9"/>
      <c r="F528" s="9"/>
      <c r="G528" s="9"/>
      <c r="H528" s="8"/>
      <c r="I528" s="8"/>
      <c r="J528" s="8"/>
      <c r="K528" s="8"/>
    </row>
    <row r="529" spans="1:11" ht="15.75" customHeight="1" x14ac:dyDescent="0.25">
      <c r="A529" s="40"/>
      <c r="B529" s="9"/>
      <c r="C529" s="9"/>
      <c r="D529" s="9"/>
      <c r="E529" s="9"/>
      <c r="F529" s="9"/>
      <c r="G529" s="9"/>
      <c r="H529" s="8"/>
      <c r="I529" s="8"/>
      <c r="J529" s="8"/>
      <c r="K529" s="8"/>
    </row>
    <row r="530" spans="1:11" ht="15.75" customHeight="1" x14ac:dyDescent="0.25">
      <c r="A530" s="40"/>
      <c r="B530" s="9"/>
      <c r="C530" s="9"/>
      <c r="D530" s="9"/>
      <c r="E530" s="9"/>
      <c r="F530" s="9"/>
      <c r="G530" s="9"/>
      <c r="H530" s="8"/>
      <c r="I530" s="8"/>
      <c r="J530" s="8"/>
      <c r="K530" s="8"/>
    </row>
    <row r="531" spans="1:11" ht="15.75" customHeight="1" x14ac:dyDescent="0.25">
      <c r="A531" s="40"/>
      <c r="B531" s="9"/>
      <c r="C531" s="9"/>
      <c r="D531" s="9"/>
      <c r="E531" s="9"/>
      <c r="F531" s="9"/>
      <c r="G531" s="9"/>
      <c r="H531" s="8"/>
      <c r="I531" s="8"/>
      <c r="J531" s="8"/>
      <c r="K531" s="8"/>
    </row>
    <row r="532" spans="1:11" ht="15.75" customHeight="1" x14ac:dyDescent="0.25">
      <c r="A532" s="40"/>
      <c r="B532" s="9"/>
      <c r="C532" s="9"/>
      <c r="D532" s="9"/>
      <c r="E532" s="9"/>
      <c r="F532" s="9"/>
      <c r="G532" s="9"/>
      <c r="H532" s="8"/>
      <c r="I532" s="8"/>
      <c r="J532" s="8"/>
      <c r="K532" s="8"/>
    </row>
    <row r="533" spans="1:11" ht="15.75" customHeight="1" x14ac:dyDescent="0.25">
      <c r="A533" s="40"/>
      <c r="B533" s="9"/>
      <c r="C533" s="9"/>
      <c r="D533" s="9"/>
      <c r="E533" s="9"/>
      <c r="F533" s="9"/>
      <c r="G533" s="9"/>
      <c r="H533" s="8"/>
      <c r="I533" s="8"/>
      <c r="J533" s="8"/>
      <c r="K533" s="8"/>
    </row>
    <row r="534" spans="1:11" ht="15.75" customHeight="1" x14ac:dyDescent="0.25">
      <c r="A534" s="40"/>
      <c r="B534" s="9"/>
      <c r="C534" s="9"/>
      <c r="D534" s="9"/>
      <c r="E534" s="9"/>
      <c r="F534" s="9"/>
      <c r="G534" s="9"/>
      <c r="H534" s="8"/>
      <c r="I534" s="8"/>
      <c r="J534" s="8"/>
      <c r="K534" s="8"/>
    </row>
    <row r="535" spans="1:11" ht="15.75" customHeight="1" x14ac:dyDescent="0.25">
      <c r="A535" s="40"/>
      <c r="B535" s="9"/>
      <c r="C535" s="9"/>
      <c r="D535" s="9"/>
      <c r="E535" s="9"/>
      <c r="F535" s="9"/>
      <c r="G535" s="9"/>
      <c r="H535" s="8"/>
      <c r="I535" s="8"/>
      <c r="J535" s="8"/>
      <c r="K535" s="8"/>
    </row>
    <row r="536" spans="1:11" ht="15.75" customHeight="1" x14ac:dyDescent="0.25">
      <c r="A536" s="40"/>
      <c r="B536" s="9"/>
      <c r="C536" s="9"/>
      <c r="D536" s="9"/>
      <c r="E536" s="9"/>
      <c r="F536" s="9"/>
      <c r="G536" s="9"/>
      <c r="H536" s="8"/>
      <c r="I536" s="8"/>
      <c r="J536" s="8"/>
      <c r="K536" s="8"/>
    </row>
    <row r="537" spans="1:11" ht="15.75" customHeight="1" x14ac:dyDescent="0.25">
      <c r="A537" s="40"/>
      <c r="B537" s="9"/>
      <c r="C537" s="9"/>
      <c r="D537" s="9"/>
      <c r="E537" s="9"/>
      <c r="F537" s="9"/>
      <c r="G537" s="9"/>
      <c r="H537" s="8"/>
      <c r="I537" s="8"/>
      <c r="J537" s="8"/>
      <c r="K537" s="8"/>
    </row>
    <row r="538" spans="1:11" ht="15.75" customHeight="1" x14ac:dyDescent="0.25">
      <c r="A538" s="40"/>
      <c r="B538" s="9"/>
      <c r="C538" s="9"/>
      <c r="D538" s="9"/>
      <c r="E538" s="9"/>
      <c r="F538" s="9"/>
      <c r="G538" s="9"/>
      <c r="H538" s="8"/>
      <c r="I538" s="8"/>
      <c r="J538" s="8"/>
      <c r="K538" s="8"/>
    </row>
    <row r="539" spans="1:11" ht="15.75" customHeight="1" x14ac:dyDescent="0.25">
      <c r="A539" s="40"/>
      <c r="B539" s="9"/>
      <c r="C539" s="9"/>
      <c r="D539" s="9"/>
      <c r="E539" s="9"/>
      <c r="F539" s="9"/>
      <c r="G539" s="9"/>
      <c r="H539" s="8"/>
      <c r="I539" s="8"/>
      <c r="J539" s="8"/>
      <c r="K539" s="8"/>
    </row>
    <row r="540" spans="1:11" ht="15.75" customHeight="1" x14ac:dyDescent="0.25">
      <c r="A540" s="40"/>
      <c r="B540" s="9"/>
      <c r="C540" s="9"/>
      <c r="D540" s="9"/>
      <c r="E540" s="9"/>
      <c r="F540" s="9"/>
      <c r="G540" s="9"/>
      <c r="H540" s="8"/>
      <c r="I540" s="8"/>
      <c r="J540" s="8"/>
      <c r="K540" s="8"/>
    </row>
    <row r="541" spans="1:11" ht="15.75" customHeight="1" x14ac:dyDescent="0.25">
      <c r="A541" s="40"/>
      <c r="B541" s="9"/>
      <c r="C541" s="9"/>
      <c r="D541" s="9"/>
      <c r="E541" s="9"/>
      <c r="F541" s="9"/>
      <c r="G541" s="9"/>
      <c r="H541" s="8"/>
      <c r="I541" s="8"/>
      <c r="J541" s="8"/>
      <c r="K541" s="8"/>
    </row>
    <row r="542" spans="1:11" ht="15.75" customHeight="1" x14ac:dyDescent="0.25">
      <c r="A542" s="40"/>
      <c r="B542" s="9"/>
      <c r="C542" s="9"/>
      <c r="D542" s="9"/>
      <c r="E542" s="9"/>
      <c r="F542" s="9"/>
      <c r="G542" s="9"/>
      <c r="H542" s="8"/>
      <c r="I542" s="8"/>
      <c r="J542" s="8"/>
      <c r="K542" s="8"/>
    </row>
    <row r="543" spans="1:11" ht="15.75" customHeight="1" x14ac:dyDescent="0.25">
      <c r="A543" s="40"/>
      <c r="B543" s="9"/>
      <c r="C543" s="9"/>
      <c r="D543" s="9"/>
      <c r="E543" s="9"/>
      <c r="F543" s="9"/>
      <c r="G543" s="9"/>
      <c r="H543" s="8"/>
      <c r="I543" s="8"/>
      <c r="J543" s="8"/>
      <c r="K543" s="8"/>
    </row>
    <row r="544" spans="1:11" ht="15.75" customHeight="1" x14ac:dyDescent="0.25">
      <c r="A544" s="40"/>
      <c r="B544" s="9"/>
      <c r="C544" s="9"/>
      <c r="D544" s="9"/>
      <c r="E544" s="9"/>
      <c r="F544" s="9"/>
      <c r="G544" s="9"/>
      <c r="H544" s="8"/>
      <c r="I544" s="8"/>
      <c r="J544" s="8"/>
      <c r="K544" s="8"/>
    </row>
    <row r="545" spans="1:11" ht="15.75" customHeight="1" x14ac:dyDescent="0.25">
      <c r="A545" s="40"/>
      <c r="B545" s="9"/>
      <c r="C545" s="9"/>
      <c r="D545" s="9"/>
      <c r="E545" s="9"/>
      <c r="F545" s="9"/>
      <c r="G545" s="9"/>
      <c r="H545" s="8"/>
      <c r="I545" s="8"/>
      <c r="J545" s="8"/>
      <c r="K545" s="8"/>
    </row>
    <row r="546" spans="1:11" ht="15.75" customHeight="1" x14ac:dyDescent="0.25">
      <c r="A546" s="40"/>
      <c r="B546" s="9"/>
      <c r="C546" s="9"/>
      <c r="D546" s="9"/>
      <c r="E546" s="9"/>
      <c r="F546" s="9"/>
      <c r="G546" s="9"/>
      <c r="H546" s="8"/>
      <c r="I546" s="8"/>
      <c r="J546" s="8"/>
      <c r="K546" s="8"/>
    </row>
    <row r="547" spans="1:11" ht="15.75" customHeight="1" x14ac:dyDescent="0.25">
      <c r="A547" s="40"/>
      <c r="B547" s="9"/>
      <c r="C547" s="9"/>
      <c r="D547" s="9"/>
      <c r="E547" s="9"/>
      <c r="F547" s="9"/>
      <c r="G547" s="9"/>
      <c r="H547" s="8"/>
      <c r="I547" s="8"/>
      <c r="J547" s="8"/>
      <c r="K547" s="8"/>
    </row>
    <row r="548" spans="1:11" ht="15.75" customHeight="1" x14ac:dyDescent="0.25">
      <c r="A548" s="40"/>
      <c r="B548" s="9"/>
      <c r="C548" s="9"/>
      <c r="D548" s="9"/>
      <c r="E548" s="9"/>
      <c r="F548" s="9"/>
      <c r="G548" s="9"/>
      <c r="H548" s="8"/>
      <c r="I548" s="8"/>
      <c r="J548" s="8"/>
      <c r="K548" s="8"/>
    </row>
    <row r="549" spans="1:11" ht="15.75" customHeight="1" x14ac:dyDescent="0.25">
      <c r="A549" s="40"/>
      <c r="B549" s="9"/>
      <c r="C549" s="9"/>
      <c r="D549" s="9"/>
      <c r="E549" s="9"/>
      <c r="F549" s="9"/>
      <c r="G549" s="9"/>
      <c r="H549" s="8"/>
      <c r="I549" s="8"/>
      <c r="J549" s="8"/>
      <c r="K549" s="8"/>
    </row>
    <row r="550" spans="1:11" ht="15.75" customHeight="1" x14ac:dyDescent="0.25">
      <c r="A550" s="40"/>
      <c r="B550" s="9"/>
      <c r="C550" s="9"/>
      <c r="D550" s="9"/>
      <c r="E550" s="9"/>
      <c r="F550" s="9"/>
      <c r="G550" s="9"/>
      <c r="H550" s="8"/>
      <c r="I550" s="8"/>
      <c r="J550" s="8"/>
      <c r="K550" s="8"/>
    </row>
    <row r="551" spans="1:11" ht="15.75" customHeight="1" x14ac:dyDescent="0.25">
      <c r="A551" s="40"/>
      <c r="B551" s="9"/>
      <c r="C551" s="9"/>
      <c r="D551" s="9"/>
      <c r="E551" s="9"/>
      <c r="F551" s="9"/>
      <c r="G551" s="9"/>
      <c r="H551" s="8"/>
      <c r="I551" s="8"/>
      <c r="J551" s="8"/>
      <c r="K551" s="8"/>
    </row>
    <row r="552" spans="1:11" ht="15.75" customHeight="1" x14ac:dyDescent="0.25">
      <c r="A552" s="40"/>
      <c r="B552" s="9"/>
      <c r="C552" s="9"/>
      <c r="D552" s="9"/>
      <c r="E552" s="9"/>
      <c r="F552" s="9"/>
      <c r="G552" s="9"/>
      <c r="H552" s="8"/>
      <c r="I552" s="8"/>
      <c r="J552" s="8"/>
      <c r="K552" s="8"/>
    </row>
    <row r="553" spans="1:11" ht="15.75" customHeight="1" x14ac:dyDescent="0.25">
      <c r="A553" s="40"/>
      <c r="B553" s="9"/>
      <c r="C553" s="9"/>
      <c r="D553" s="9"/>
      <c r="E553" s="9"/>
      <c r="F553" s="9"/>
      <c r="G553" s="9"/>
      <c r="H553" s="8"/>
      <c r="I553" s="8"/>
      <c r="J553" s="8"/>
      <c r="K553" s="8"/>
    </row>
    <row r="554" spans="1:11" ht="15.75" customHeight="1" x14ac:dyDescent="0.25">
      <c r="A554" s="40"/>
      <c r="B554" s="9"/>
      <c r="C554" s="9"/>
      <c r="D554" s="9"/>
      <c r="E554" s="9"/>
      <c r="F554" s="9"/>
      <c r="G554" s="9"/>
      <c r="H554" s="8"/>
      <c r="I554" s="8"/>
      <c r="J554" s="8"/>
      <c r="K554" s="8"/>
    </row>
    <row r="555" spans="1:11" ht="15.75" customHeight="1" x14ac:dyDescent="0.25">
      <c r="A555" s="40"/>
      <c r="B555" s="9"/>
      <c r="C555" s="9"/>
      <c r="D555" s="9"/>
      <c r="E555" s="9"/>
      <c r="F555" s="9"/>
      <c r="G555" s="9"/>
      <c r="H555" s="8"/>
      <c r="I555" s="8"/>
      <c r="J555" s="8"/>
      <c r="K555" s="8"/>
    </row>
    <row r="556" spans="1:11" ht="15.75" customHeight="1" x14ac:dyDescent="0.25">
      <c r="A556" s="40"/>
      <c r="B556" s="9"/>
      <c r="C556" s="9"/>
      <c r="D556" s="9"/>
      <c r="E556" s="9"/>
      <c r="F556" s="9"/>
      <c r="G556" s="9"/>
      <c r="H556" s="8"/>
      <c r="I556" s="8"/>
      <c r="J556" s="8"/>
      <c r="K556" s="8"/>
    </row>
    <row r="557" spans="1:11" ht="15.75" customHeight="1" x14ac:dyDescent="0.25">
      <c r="A557" s="40"/>
      <c r="B557" s="9"/>
      <c r="C557" s="9"/>
      <c r="D557" s="9"/>
      <c r="E557" s="9"/>
      <c r="F557" s="9"/>
      <c r="G557" s="9"/>
      <c r="H557" s="8"/>
      <c r="I557" s="8"/>
      <c r="J557" s="8"/>
      <c r="K557" s="8"/>
    </row>
    <row r="558" spans="1:11" ht="15.75" customHeight="1" x14ac:dyDescent="0.25">
      <c r="A558" s="40"/>
      <c r="B558" s="9"/>
      <c r="C558" s="9"/>
      <c r="D558" s="9"/>
      <c r="E558" s="9"/>
      <c r="F558" s="9"/>
      <c r="G558" s="9"/>
      <c r="H558" s="8"/>
      <c r="I558" s="8"/>
      <c r="J558" s="8"/>
      <c r="K558" s="8"/>
    </row>
    <row r="559" spans="1:11" ht="15.75" customHeight="1" x14ac:dyDescent="0.25">
      <c r="A559" s="40"/>
      <c r="B559" s="9"/>
      <c r="C559" s="9"/>
      <c r="D559" s="9"/>
      <c r="E559" s="9"/>
      <c r="F559" s="9"/>
      <c r="G559" s="9"/>
      <c r="H559" s="8"/>
      <c r="I559" s="8"/>
      <c r="J559" s="8"/>
      <c r="K559" s="8"/>
    </row>
    <row r="560" spans="1:11" ht="15.75" customHeight="1" x14ac:dyDescent="0.25">
      <c r="A560" s="40"/>
      <c r="B560" s="9"/>
      <c r="C560" s="9"/>
      <c r="D560" s="9"/>
      <c r="E560" s="9"/>
      <c r="F560" s="9"/>
      <c r="G560" s="9"/>
      <c r="H560" s="8"/>
      <c r="I560" s="8"/>
      <c r="J560" s="8"/>
      <c r="K560" s="8"/>
    </row>
    <row r="561" spans="1:11" ht="15.75" customHeight="1" x14ac:dyDescent="0.25">
      <c r="A561" s="40"/>
      <c r="B561" s="9"/>
      <c r="C561" s="9"/>
      <c r="D561" s="9"/>
      <c r="E561" s="9"/>
      <c r="F561" s="9"/>
      <c r="G561" s="9"/>
      <c r="H561" s="8"/>
      <c r="I561" s="8"/>
      <c r="J561" s="8"/>
      <c r="K561" s="8"/>
    </row>
    <row r="562" spans="1:11" ht="15.75" customHeight="1" x14ac:dyDescent="0.25">
      <c r="A562" s="40"/>
      <c r="B562" s="9"/>
      <c r="C562" s="9"/>
      <c r="D562" s="9"/>
      <c r="E562" s="9"/>
      <c r="F562" s="9"/>
      <c r="G562" s="9"/>
      <c r="H562" s="8"/>
      <c r="I562" s="8"/>
      <c r="J562" s="8"/>
      <c r="K562" s="8"/>
    </row>
    <row r="563" spans="1:11" ht="15.75" customHeight="1" x14ac:dyDescent="0.25">
      <c r="A563" s="40"/>
      <c r="B563" s="9"/>
      <c r="C563" s="9"/>
      <c r="D563" s="9"/>
      <c r="E563" s="9"/>
      <c r="F563" s="9"/>
      <c r="G563" s="9"/>
      <c r="H563" s="8"/>
      <c r="I563" s="8"/>
      <c r="J563" s="8"/>
      <c r="K563" s="8"/>
    </row>
    <row r="564" spans="1:11" ht="15.75" customHeight="1" x14ac:dyDescent="0.25">
      <c r="A564" s="40"/>
      <c r="B564" s="9"/>
      <c r="C564" s="9"/>
      <c r="D564" s="9"/>
      <c r="E564" s="9"/>
      <c r="F564" s="9"/>
      <c r="G564" s="9"/>
      <c r="H564" s="8"/>
      <c r="I564" s="8"/>
      <c r="J564" s="8"/>
      <c r="K564" s="8"/>
    </row>
    <row r="565" spans="1:11" ht="15.75" customHeight="1" x14ac:dyDescent="0.25">
      <c r="A565" s="40"/>
      <c r="B565" s="9"/>
      <c r="C565" s="9"/>
      <c r="D565" s="9"/>
      <c r="E565" s="9"/>
      <c r="F565" s="9"/>
      <c r="G565" s="9"/>
      <c r="H565" s="8"/>
      <c r="I565" s="8"/>
      <c r="J565" s="8"/>
      <c r="K565" s="8"/>
    </row>
    <row r="566" spans="1:11" ht="15.75" customHeight="1" x14ac:dyDescent="0.25">
      <c r="A566" s="40"/>
      <c r="B566" s="9"/>
      <c r="C566" s="9"/>
      <c r="D566" s="9"/>
      <c r="E566" s="9"/>
      <c r="F566" s="9"/>
      <c r="G566" s="9"/>
      <c r="H566" s="8"/>
      <c r="I566" s="8"/>
      <c r="J566" s="8"/>
      <c r="K566" s="8"/>
    </row>
    <row r="567" spans="1:11" ht="15.75" customHeight="1" x14ac:dyDescent="0.25">
      <c r="A567" s="40"/>
      <c r="B567" s="9"/>
      <c r="C567" s="9"/>
      <c r="D567" s="9"/>
      <c r="E567" s="9"/>
      <c r="F567" s="9"/>
      <c r="G567" s="9"/>
      <c r="H567" s="8"/>
      <c r="I567" s="8"/>
      <c r="J567" s="8"/>
      <c r="K567" s="8"/>
    </row>
    <row r="568" spans="1:11" ht="15.75" customHeight="1" x14ac:dyDescent="0.25">
      <c r="A568" s="40"/>
      <c r="B568" s="9"/>
      <c r="C568" s="9"/>
      <c r="D568" s="9"/>
      <c r="E568" s="9"/>
      <c r="F568" s="9"/>
      <c r="G568" s="9"/>
      <c r="H568" s="8"/>
      <c r="I568" s="8"/>
      <c r="J568" s="8"/>
      <c r="K568" s="8"/>
    </row>
    <row r="569" spans="1:11" ht="15.75" customHeight="1" x14ac:dyDescent="0.25">
      <c r="A569" s="40"/>
      <c r="B569" s="9"/>
      <c r="C569" s="9"/>
      <c r="D569" s="9"/>
      <c r="E569" s="9"/>
      <c r="F569" s="9"/>
      <c r="G569" s="9"/>
      <c r="H569" s="8"/>
      <c r="I569" s="8"/>
      <c r="J569" s="8"/>
      <c r="K569" s="8"/>
    </row>
    <row r="570" spans="1:11" ht="15.75" customHeight="1" x14ac:dyDescent="0.25">
      <c r="A570" s="40"/>
      <c r="B570" s="9"/>
      <c r="C570" s="9"/>
      <c r="D570" s="9"/>
      <c r="E570" s="9"/>
      <c r="F570" s="9"/>
      <c r="G570" s="9"/>
      <c r="H570" s="8"/>
      <c r="I570" s="8"/>
      <c r="J570" s="8"/>
      <c r="K570" s="8"/>
    </row>
    <row r="571" spans="1:11" ht="15.75" customHeight="1" x14ac:dyDescent="0.25">
      <c r="A571" s="40"/>
      <c r="B571" s="9"/>
      <c r="C571" s="9"/>
      <c r="D571" s="9"/>
      <c r="E571" s="9"/>
      <c r="F571" s="9"/>
      <c r="G571" s="9"/>
      <c r="H571" s="8"/>
      <c r="I571" s="8"/>
      <c r="J571" s="8"/>
      <c r="K571" s="8"/>
    </row>
    <row r="572" spans="1:11" ht="15.75" customHeight="1" x14ac:dyDescent="0.25">
      <c r="A572" s="40"/>
      <c r="B572" s="9"/>
      <c r="C572" s="9"/>
      <c r="D572" s="9"/>
      <c r="E572" s="9"/>
      <c r="F572" s="9"/>
      <c r="G572" s="9"/>
      <c r="H572" s="8"/>
      <c r="I572" s="8"/>
      <c r="J572" s="8"/>
      <c r="K572" s="8"/>
    </row>
    <row r="573" spans="1:11" ht="15.75" customHeight="1" x14ac:dyDescent="0.25">
      <c r="A573" s="40"/>
      <c r="B573" s="9"/>
      <c r="C573" s="9"/>
      <c r="D573" s="9"/>
      <c r="E573" s="9"/>
      <c r="F573" s="9"/>
      <c r="G573" s="9"/>
      <c r="H573" s="8"/>
      <c r="I573" s="8"/>
      <c r="J573" s="8"/>
      <c r="K573" s="8"/>
    </row>
    <row r="574" spans="1:11" ht="15.75" customHeight="1" x14ac:dyDescent="0.25">
      <c r="A574" s="40"/>
      <c r="B574" s="9"/>
      <c r="C574" s="9"/>
      <c r="D574" s="9"/>
      <c r="E574" s="9"/>
      <c r="F574" s="9"/>
      <c r="G574" s="9"/>
      <c r="H574" s="8"/>
      <c r="I574" s="8"/>
      <c r="J574" s="8"/>
      <c r="K574" s="8"/>
    </row>
    <row r="575" spans="1:11" ht="15.75" customHeight="1" x14ac:dyDescent="0.25">
      <c r="A575" s="40"/>
      <c r="B575" s="9"/>
      <c r="C575" s="9"/>
      <c r="D575" s="9"/>
      <c r="E575" s="9"/>
      <c r="F575" s="9"/>
      <c r="G575" s="9"/>
      <c r="H575" s="8"/>
      <c r="I575" s="8"/>
      <c r="J575" s="8"/>
      <c r="K575" s="8"/>
    </row>
    <row r="576" spans="1:11" ht="15.75" customHeight="1" x14ac:dyDescent="0.25">
      <c r="A576" s="40"/>
      <c r="B576" s="9"/>
      <c r="C576" s="9"/>
      <c r="D576" s="9"/>
      <c r="E576" s="9"/>
      <c r="F576" s="9"/>
      <c r="G576" s="9"/>
      <c r="H576" s="8"/>
      <c r="I576" s="8"/>
      <c r="J576" s="8"/>
      <c r="K576" s="8"/>
    </row>
    <row r="577" spans="1:11" ht="15.75" customHeight="1" x14ac:dyDescent="0.25">
      <c r="A577" s="40"/>
      <c r="B577" s="9"/>
      <c r="C577" s="9"/>
      <c r="D577" s="9"/>
      <c r="E577" s="9"/>
      <c r="F577" s="9"/>
      <c r="G577" s="9"/>
      <c r="H577" s="8"/>
      <c r="I577" s="8"/>
      <c r="J577" s="8"/>
      <c r="K577" s="8"/>
    </row>
    <row r="578" spans="1:11" ht="15.75" customHeight="1" x14ac:dyDescent="0.25">
      <c r="A578" s="40"/>
      <c r="B578" s="9"/>
      <c r="C578" s="9"/>
      <c r="D578" s="9"/>
      <c r="E578" s="9"/>
      <c r="F578" s="9"/>
      <c r="G578" s="9"/>
      <c r="H578" s="8"/>
      <c r="I578" s="8"/>
      <c r="J578" s="8"/>
      <c r="K578" s="8"/>
    </row>
    <row r="579" spans="1:11" ht="15.75" customHeight="1" x14ac:dyDescent="0.25">
      <c r="A579" s="40"/>
      <c r="B579" s="9"/>
      <c r="C579" s="9"/>
      <c r="D579" s="9"/>
      <c r="E579" s="9"/>
      <c r="F579" s="9"/>
      <c r="G579" s="9"/>
      <c r="H579" s="8"/>
      <c r="I579" s="8"/>
      <c r="J579" s="8"/>
      <c r="K579" s="8"/>
    </row>
    <row r="580" spans="1:11" ht="15.75" customHeight="1" x14ac:dyDescent="0.25">
      <c r="A580" s="40"/>
      <c r="B580" s="9"/>
      <c r="C580" s="9"/>
      <c r="D580" s="9"/>
      <c r="E580" s="9"/>
      <c r="F580" s="9"/>
      <c r="G580" s="9"/>
      <c r="H580" s="8"/>
      <c r="I580" s="8"/>
      <c r="J580" s="8"/>
      <c r="K580" s="8"/>
    </row>
    <row r="581" spans="1:11" ht="15.75" customHeight="1" x14ac:dyDescent="0.25">
      <c r="A581" s="40"/>
      <c r="B581" s="9"/>
      <c r="C581" s="9"/>
      <c r="D581" s="9"/>
      <c r="E581" s="9"/>
      <c r="F581" s="9"/>
      <c r="G581" s="9"/>
      <c r="H581" s="8"/>
      <c r="I581" s="8"/>
      <c r="J581" s="8"/>
      <c r="K581" s="8"/>
    </row>
    <row r="582" spans="1:11" ht="15.75" customHeight="1" x14ac:dyDescent="0.25">
      <c r="A582" s="40"/>
      <c r="B582" s="9"/>
      <c r="C582" s="9"/>
      <c r="D582" s="9"/>
      <c r="E582" s="9"/>
      <c r="F582" s="9"/>
      <c r="G582" s="9"/>
      <c r="H582" s="8"/>
      <c r="I582" s="8"/>
      <c r="J582" s="8"/>
      <c r="K582" s="8"/>
    </row>
    <row r="583" spans="1:11" ht="15.75" customHeight="1" x14ac:dyDescent="0.25">
      <c r="A583" s="40"/>
      <c r="B583" s="9"/>
      <c r="C583" s="9"/>
      <c r="D583" s="9"/>
      <c r="E583" s="9"/>
      <c r="F583" s="9"/>
      <c r="G583" s="9"/>
      <c r="H583" s="8"/>
      <c r="I583" s="8"/>
      <c r="J583" s="8"/>
      <c r="K583" s="8"/>
    </row>
    <row r="584" spans="1:11" ht="15.75" customHeight="1" x14ac:dyDescent="0.25">
      <c r="A584" s="40"/>
      <c r="B584" s="9"/>
      <c r="C584" s="9"/>
      <c r="D584" s="9"/>
      <c r="E584" s="9"/>
      <c r="F584" s="9"/>
      <c r="G584" s="9"/>
      <c r="H584" s="8"/>
      <c r="I584" s="8"/>
      <c r="J584" s="8"/>
      <c r="K584" s="8"/>
    </row>
    <row r="585" spans="1:11" ht="15.75" customHeight="1" x14ac:dyDescent="0.25">
      <c r="A585" s="40"/>
      <c r="B585" s="9"/>
      <c r="C585" s="9"/>
      <c r="D585" s="9"/>
      <c r="E585" s="9"/>
      <c r="F585" s="9"/>
      <c r="G585" s="9"/>
      <c r="H585" s="8"/>
      <c r="I585" s="8"/>
      <c r="J585" s="8"/>
      <c r="K585" s="8"/>
    </row>
    <row r="586" spans="1:11" ht="15.75" customHeight="1" x14ac:dyDescent="0.25">
      <c r="A586" s="40"/>
      <c r="B586" s="9"/>
      <c r="C586" s="9"/>
      <c r="D586" s="9"/>
      <c r="E586" s="9"/>
      <c r="F586" s="9"/>
      <c r="G586" s="9"/>
      <c r="H586" s="8"/>
      <c r="I586" s="8"/>
      <c r="J586" s="8"/>
      <c r="K586" s="8"/>
    </row>
    <row r="587" spans="1:11" ht="15.75" customHeight="1" x14ac:dyDescent="0.25">
      <c r="A587" s="40"/>
      <c r="B587" s="9"/>
      <c r="C587" s="9"/>
      <c r="D587" s="9"/>
      <c r="E587" s="9"/>
      <c r="F587" s="9"/>
      <c r="G587" s="9"/>
      <c r="H587" s="8"/>
      <c r="I587" s="8"/>
      <c r="J587" s="8"/>
      <c r="K587" s="8"/>
    </row>
    <row r="588" spans="1:11" ht="15.75" customHeight="1" x14ac:dyDescent="0.25">
      <c r="A588" s="40"/>
      <c r="B588" s="9"/>
      <c r="C588" s="9"/>
      <c r="D588" s="9"/>
      <c r="E588" s="9"/>
      <c r="F588" s="9"/>
      <c r="G588" s="9"/>
      <c r="H588" s="8"/>
      <c r="I588" s="8"/>
      <c r="J588" s="8"/>
      <c r="K588" s="8"/>
    </row>
    <row r="589" spans="1:11" ht="15.75" customHeight="1" x14ac:dyDescent="0.25">
      <c r="A589" s="40"/>
      <c r="B589" s="9"/>
      <c r="C589" s="9"/>
      <c r="D589" s="9"/>
      <c r="E589" s="9"/>
      <c r="F589" s="9"/>
      <c r="G589" s="9"/>
      <c r="H589" s="8"/>
      <c r="I589" s="8"/>
      <c r="J589" s="8"/>
      <c r="K589" s="8"/>
    </row>
    <row r="590" spans="1:11" ht="15.75" customHeight="1" x14ac:dyDescent="0.25">
      <c r="A590" s="40"/>
      <c r="B590" s="9"/>
      <c r="C590" s="9"/>
      <c r="D590" s="9"/>
      <c r="E590" s="9"/>
      <c r="F590" s="9"/>
      <c r="G590" s="9"/>
      <c r="H590" s="8"/>
      <c r="I590" s="8"/>
      <c r="J590" s="8"/>
      <c r="K590" s="8"/>
    </row>
    <row r="591" spans="1:11" ht="15.75" customHeight="1" x14ac:dyDescent="0.25">
      <c r="A591" s="40"/>
      <c r="B591" s="9"/>
      <c r="C591" s="9"/>
      <c r="D591" s="9"/>
      <c r="E591" s="9"/>
      <c r="F591" s="9"/>
      <c r="G591" s="9"/>
      <c r="H591" s="8"/>
      <c r="I591" s="8"/>
      <c r="J591" s="8"/>
      <c r="K591" s="8"/>
    </row>
    <row r="592" spans="1:11" ht="15.75" customHeight="1" x14ac:dyDescent="0.25">
      <c r="A592" s="40"/>
      <c r="B592" s="9"/>
      <c r="C592" s="9"/>
      <c r="D592" s="9"/>
      <c r="E592" s="9"/>
      <c r="F592" s="9"/>
      <c r="G592" s="9"/>
      <c r="H592" s="8"/>
      <c r="I592" s="8"/>
      <c r="J592" s="8"/>
      <c r="K592" s="8"/>
    </row>
    <row r="593" spans="1:11" ht="15.75" customHeight="1" x14ac:dyDescent="0.25">
      <c r="A593" s="40"/>
      <c r="B593" s="9"/>
      <c r="C593" s="9"/>
      <c r="D593" s="9"/>
      <c r="E593" s="9"/>
      <c r="F593" s="9"/>
      <c r="G593" s="9"/>
      <c r="H593" s="8"/>
      <c r="I593" s="8"/>
      <c r="J593" s="8"/>
      <c r="K593" s="8"/>
    </row>
    <row r="594" spans="1:11" ht="15.75" customHeight="1" x14ac:dyDescent="0.25">
      <c r="A594" s="40"/>
      <c r="B594" s="9"/>
      <c r="C594" s="9"/>
      <c r="D594" s="9"/>
      <c r="E594" s="9"/>
      <c r="F594" s="9"/>
      <c r="G594" s="9"/>
      <c r="H594" s="8"/>
      <c r="I594" s="8"/>
      <c r="J594" s="8"/>
      <c r="K594" s="8"/>
    </row>
    <row r="595" spans="1:11" ht="15.75" customHeight="1" x14ac:dyDescent="0.25">
      <c r="A595" s="40"/>
      <c r="B595" s="9"/>
      <c r="C595" s="9"/>
      <c r="D595" s="9"/>
      <c r="E595" s="9"/>
      <c r="F595" s="9"/>
      <c r="G595" s="9"/>
      <c r="H595" s="8"/>
      <c r="I595" s="8"/>
      <c r="J595" s="8"/>
      <c r="K595" s="8"/>
    </row>
    <row r="596" spans="1:11" ht="15.75" customHeight="1" x14ac:dyDescent="0.25">
      <c r="A596" s="40"/>
      <c r="B596" s="9"/>
      <c r="C596" s="9"/>
      <c r="D596" s="9"/>
      <c r="E596" s="9"/>
      <c r="F596" s="9"/>
      <c r="G596" s="9"/>
      <c r="H596" s="8"/>
      <c r="I596" s="8"/>
      <c r="J596" s="8"/>
      <c r="K596" s="8"/>
    </row>
    <row r="597" spans="1:11" ht="15.75" customHeight="1" x14ac:dyDescent="0.25">
      <c r="A597" s="40"/>
      <c r="B597" s="9"/>
      <c r="C597" s="9"/>
      <c r="D597" s="9"/>
      <c r="E597" s="9"/>
      <c r="F597" s="9"/>
      <c r="G597" s="9"/>
      <c r="H597" s="8"/>
      <c r="I597" s="8"/>
      <c r="J597" s="8"/>
      <c r="K597" s="8"/>
    </row>
    <row r="598" spans="1:11" ht="15.75" customHeight="1" x14ac:dyDescent="0.25">
      <c r="A598" s="40"/>
      <c r="B598" s="9"/>
      <c r="C598" s="9"/>
      <c r="D598" s="9"/>
      <c r="E598" s="9"/>
      <c r="F598" s="9"/>
      <c r="G598" s="9"/>
      <c r="H598" s="8"/>
      <c r="I598" s="8"/>
      <c r="J598" s="8"/>
      <c r="K598" s="8"/>
    </row>
    <row r="599" spans="1:11" ht="15.75" customHeight="1" x14ac:dyDescent="0.25">
      <c r="A599" s="40"/>
      <c r="B599" s="9"/>
      <c r="C599" s="9"/>
      <c r="D599" s="9"/>
      <c r="E599" s="9"/>
      <c r="F599" s="9"/>
      <c r="G599" s="9"/>
      <c r="H599" s="8"/>
      <c r="I599" s="8"/>
      <c r="J599" s="8"/>
      <c r="K599" s="8"/>
    </row>
    <row r="600" spans="1:11" ht="15.75" customHeight="1" x14ac:dyDescent="0.25">
      <c r="A600" s="40"/>
      <c r="B600" s="9"/>
      <c r="C600" s="9"/>
      <c r="D600" s="9"/>
      <c r="E600" s="9"/>
      <c r="F600" s="9"/>
      <c r="G600" s="9"/>
      <c r="H600" s="8"/>
      <c r="I600" s="8"/>
      <c r="J600" s="8"/>
      <c r="K600" s="8"/>
    </row>
    <row r="601" spans="1:11" ht="15.75" customHeight="1" x14ac:dyDescent="0.25">
      <c r="A601" s="40"/>
      <c r="B601" s="9"/>
      <c r="C601" s="9"/>
      <c r="D601" s="9"/>
      <c r="E601" s="9"/>
      <c r="F601" s="9"/>
      <c r="G601" s="9"/>
      <c r="H601" s="8"/>
      <c r="I601" s="8"/>
      <c r="J601" s="8"/>
      <c r="K601" s="8"/>
    </row>
    <row r="602" spans="1:11" ht="15.75" customHeight="1" x14ac:dyDescent="0.25">
      <c r="A602" s="40"/>
      <c r="B602" s="9"/>
      <c r="C602" s="9"/>
      <c r="D602" s="9"/>
      <c r="E602" s="9"/>
      <c r="F602" s="9"/>
      <c r="G602" s="9"/>
      <c r="H602" s="8"/>
      <c r="I602" s="8"/>
      <c r="J602" s="8"/>
      <c r="K602" s="8"/>
    </row>
    <row r="603" spans="1:11" ht="15.75" customHeight="1" x14ac:dyDescent="0.25">
      <c r="A603" s="40"/>
      <c r="B603" s="9"/>
      <c r="C603" s="9"/>
      <c r="D603" s="9"/>
      <c r="E603" s="9"/>
      <c r="F603" s="9"/>
      <c r="G603" s="9"/>
      <c r="H603" s="8"/>
      <c r="I603" s="8"/>
      <c r="J603" s="8"/>
      <c r="K603" s="8"/>
    </row>
    <row r="604" spans="1:11" ht="15.75" customHeight="1" x14ac:dyDescent="0.25">
      <c r="A604" s="40"/>
      <c r="B604" s="9"/>
      <c r="C604" s="9"/>
      <c r="D604" s="9"/>
      <c r="E604" s="9"/>
      <c r="F604" s="9"/>
      <c r="G604" s="9"/>
      <c r="H604" s="8"/>
      <c r="I604" s="8"/>
      <c r="J604" s="8"/>
      <c r="K604" s="8"/>
    </row>
    <row r="605" spans="1:11" ht="15.75" customHeight="1" x14ac:dyDescent="0.25">
      <c r="A605" s="40"/>
      <c r="B605" s="9"/>
      <c r="C605" s="9"/>
      <c r="D605" s="9"/>
      <c r="E605" s="9"/>
      <c r="F605" s="9"/>
      <c r="G605" s="9"/>
      <c r="H605" s="8"/>
      <c r="I605" s="8"/>
      <c r="J605" s="8"/>
      <c r="K605" s="8"/>
    </row>
    <row r="606" spans="1:11" ht="15.75" customHeight="1" x14ac:dyDescent="0.25">
      <c r="A606" s="40"/>
      <c r="B606" s="9"/>
      <c r="C606" s="9"/>
      <c r="D606" s="9"/>
      <c r="E606" s="9"/>
      <c r="F606" s="9"/>
      <c r="G606" s="9"/>
      <c r="H606" s="8"/>
      <c r="I606" s="8"/>
      <c r="J606" s="8"/>
      <c r="K606" s="8"/>
    </row>
    <row r="607" spans="1:11" ht="15.75" customHeight="1" x14ac:dyDescent="0.25">
      <c r="A607" s="40"/>
      <c r="B607" s="9"/>
      <c r="C607" s="9"/>
      <c r="D607" s="9"/>
      <c r="E607" s="9"/>
      <c r="F607" s="9"/>
      <c r="G607" s="9"/>
      <c r="H607" s="8"/>
      <c r="I607" s="8"/>
      <c r="J607" s="8"/>
      <c r="K607" s="8"/>
    </row>
    <row r="608" spans="1:11" ht="15.75" customHeight="1" x14ac:dyDescent="0.25">
      <c r="A608" s="40"/>
      <c r="B608" s="9"/>
      <c r="C608" s="9"/>
      <c r="D608" s="9"/>
      <c r="E608" s="9"/>
      <c r="F608" s="9"/>
      <c r="G608" s="9"/>
      <c r="H608" s="8"/>
      <c r="I608" s="8"/>
      <c r="J608" s="8"/>
      <c r="K608" s="8"/>
    </row>
    <row r="609" spans="1:11" ht="15.75" customHeight="1" x14ac:dyDescent="0.25">
      <c r="A609" s="40"/>
      <c r="B609" s="9"/>
      <c r="C609" s="9"/>
      <c r="D609" s="9"/>
      <c r="E609" s="9"/>
      <c r="F609" s="9"/>
      <c r="G609" s="9"/>
      <c r="H609" s="8"/>
      <c r="I609" s="8"/>
      <c r="J609" s="8"/>
      <c r="K609" s="8"/>
    </row>
    <row r="610" spans="1:11" ht="15.75" customHeight="1" x14ac:dyDescent="0.25">
      <c r="A610" s="40"/>
      <c r="B610" s="9"/>
      <c r="C610" s="9"/>
      <c r="D610" s="9"/>
      <c r="E610" s="9"/>
      <c r="F610" s="9"/>
      <c r="G610" s="9"/>
      <c r="H610" s="8"/>
      <c r="I610" s="8"/>
      <c r="J610" s="8"/>
      <c r="K610" s="8"/>
    </row>
    <row r="611" spans="1:11" ht="15.75" customHeight="1" x14ac:dyDescent="0.25">
      <c r="A611" s="40"/>
      <c r="B611" s="9"/>
      <c r="C611" s="9"/>
      <c r="D611" s="9"/>
      <c r="E611" s="9"/>
      <c r="F611" s="9"/>
      <c r="G611" s="9"/>
      <c r="H611" s="8"/>
      <c r="I611" s="8"/>
      <c r="J611" s="8"/>
      <c r="K611" s="8"/>
    </row>
    <row r="612" spans="1:11" ht="15.75" customHeight="1" x14ac:dyDescent="0.25">
      <c r="A612" s="40"/>
      <c r="B612" s="9"/>
      <c r="C612" s="9"/>
      <c r="D612" s="9"/>
      <c r="E612" s="9"/>
      <c r="F612" s="9"/>
      <c r="G612" s="9"/>
      <c r="H612" s="8"/>
      <c r="I612" s="8"/>
      <c r="J612" s="8"/>
      <c r="K612" s="8"/>
    </row>
    <row r="613" spans="1:11" ht="15.75" customHeight="1" x14ac:dyDescent="0.25">
      <c r="A613" s="40"/>
      <c r="B613" s="9"/>
      <c r="C613" s="9"/>
      <c r="D613" s="9"/>
      <c r="E613" s="9"/>
      <c r="F613" s="9"/>
      <c r="G613" s="9"/>
      <c r="H613" s="8"/>
      <c r="I613" s="8"/>
      <c r="J613" s="8"/>
      <c r="K613" s="8"/>
    </row>
    <row r="614" spans="1:11" ht="15.75" customHeight="1" x14ac:dyDescent="0.25">
      <c r="A614" s="40"/>
      <c r="B614" s="9"/>
      <c r="C614" s="9"/>
      <c r="D614" s="9"/>
      <c r="E614" s="9"/>
      <c r="F614" s="9"/>
      <c r="G614" s="9"/>
      <c r="H614" s="8"/>
      <c r="I614" s="8"/>
      <c r="J614" s="8"/>
      <c r="K614" s="8"/>
    </row>
    <row r="615" spans="1:11" ht="15.75" customHeight="1" x14ac:dyDescent="0.25">
      <c r="A615" s="40"/>
      <c r="B615" s="9"/>
      <c r="C615" s="9"/>
      <c r="D615" s="9"/>
      <c r="E615" s="9"/>
      <c r="F615" s="9"/>
      <c r="G615" s="9"/>
      <c r="H615" s="8"/>
      <c r="I615" s="8"/>
      <c r="J615" s="8"/>
      <c r="K615" s="8"/>
    </row>
    <row r="616" spans="1:11" ht="15.75" customHeight="1" x14ac:dyDescent="0.25">
      <c r="A616" s="40"/>
      <c r="B616" s="9"/>
      <c r="C616" s="9"/>
      <c r="D616" s="9"/>
      <c r="E616" s="9"/>
      <c r="F616" s="9"/>
      <c r="G616" s="9"/>
      <c r="H616" s="8"/>
      <c r="I616" s="8"/>
      <c r="J616" s="8"/>
      <c r="K616" s="8"/>
    </row>
    <row r="617" spans="1:11" ht="15.75" customHeight="1" x14ac:dyDescent="0.25">
      <c r="A617" s="40"/>
      <c r="B617" s="9"/>
      <c r="C617" s="9"/>
      <c r="D617" s="9"/>
      <c r="E617" s="9"/>
      <c r="F617" s="9"/>
      <c r="G617" s="9"/>
      <c r="H617" s="8"/>
      <c r="I617" s="8"/>
      <c r="J617" s="8"/>
      <c r="K617" s="8"/>
    </row>
    <row r="618" spans="1:11" ht="15.75" customHeight="1" x14ac:dyDescent="0.25">
      <c r="A618" s="40"/>
      <c r="B618" s="9"/>
      <c r="C618" s="9"/>
      <c r="D618" s="9"/>
      <c r="E618" s="9"/>
      <c r="F618" s="9"/>
      <c r="G618" s="9"/>
      <c r="H618" s="8"/>
      <c r="I618" s="8"/>
      <c r="J618" s="8"/>
      <c r="K618" s="8"/>
    </row>
    <row r="619" spans="1:11" ht="15.75" customHeight="1" x14ac:dyDescent="0.25">
      <c r="A619" s="40"/>
      <c r="B619" s="9"/>
      <c r="C619" s="9"/>
      <c r="D619" s="9"/>
      <c r="E619" s="9"/>
      <c r="F619" s="9"/>
      <c r="G619" s="9"/>
      <c r="H619" s="8"/>
      <c r="I619" s="8"/>
      <c r="J619" s="8"/>
      <c r="K619" s="8"/>
    </row>
    <row r="620" spans="1:11" ht="15.75" customHeight="1" x14ac:dyDescent="0.25">
      <c r="A620" s="40"/>
      <c r="B620" s="9"/>
      <c r="C620" s="9"/>
      <c r="D620" s="9"/>
      <c r="E620" s="9"/>
      <c r="F620" s="9"/>
      <c r="G620" s="9"/>
      <c r="H620" s="8"/>
      <c r="I620" s="8"/>
      <c r="J620" s="8"/>
      <c r="K620" s="8"/>
    </row>
    <row r="621" spans="1:11" ht="15.75" customHeight="1" x14ac:dyDescent="0.25">
      <c r="A621" s="40"/>
      <c r="B621" s="9"/>
      <c r="C621" s="9"/>
      <c r="D621" s="9"/>
      <c r="E621" s="9"/>
      <c r="F621" s="9"/>
      <c r="G621" s="9"/>
      <c r="H621" s="8"/>
      <c r="I621" s="8"/>
      <c r="J621" s="8"/>
      <c r="K621" s="8"/>
    </row>
    <row r="622" spans="1:11" ht="15.75" customHeight="1" x14ac:dyDescent="0.25">
      <c r="A622" s="40"/>
      <c r="B622" s="9"/>
      <c r="C622" s="9"/>
      <c r="D622" s="9"/>
      <c r="E622" s="9"/>
      <c r="F622" s="9"/>
      <c r="G622" s="9"/>
      <c r="H622" s="8"/>
      <c r="I622" s="8"/>
      <c r="J622" s="8"/>
      <c r="K622" s="8"/>
    </row>
    <row r="623" spans="1:11" ht="15.75" customHeight="1" x14ac:dyDescent="0.25">
      <c r="A623" s="40"/>
      <c r="B623" s="9"/>
      <c r="C623" s="9"/>
      <c r="D623" s="9"/>
      <c r="E623" s="9"/>
      <c r="F623" s="9"/>
      <c r="G623" s="9"/>
      <c r="H623" s="8"/>
      <c r="I623" s="8"/>
      <c r="J623" s="8"/>
      <c r="K623" s="8"/>
    </row>
    <row r="624" spans="1:11" ht="15.75" customHeight="1" x14ac:dyDescent="0.25">
      <c r="A624" s="40"/>
      <c r="B624" s="9"/>
      <c r="C624" s="9"/>
      <c r="D624" s="9"/>
      <c r="E624" s="9"/>
      <c r="F624" s="9"/>
      <c r="G624" s="9"/>
      <c r="H624" s="8"/>
      <c r="I624" s="8"/>
      <c r="J624" s="8"/>
      <c r="K624" s="8"/>
    </row>
    <row r="625" spans="1:11" ht="15.75" customHeight="1" x14ac:dyDescent="0.25">
      <c r="A625" s="40"/>
      <c r="B625" s="9"/>
      <c r="C625" s="9"/>
      <c r="D625" s="9"/>
      <c r="E625" s="9"/>
      <c r="F625" s="9"/>
      <c r="G625" s="9"/>
      <c r="H625" s="8"/>
      <c r="I625" s="8"/>
      <c r="J625" s="8"/>
      <c r="K625" s="8"/>
    </row>
    <row r="626" spans="1:11" ht="15.75" customHeight="1" x14ac:dyDescent="0.25">
      <c r="A626" s="40"/>
      <c r="B626" s="9"/>
      <c r="C626" s="9"/>
      <c r="D626" s="9"/>
      <c r="E626" s="9"/>
      <c r="F626" s="9"/>
      <c r="G626" s="9"/>
      <c r="H626" s="8"/>
      <c r="I626" s="8"/>
      <c r="J626" s="8"/>
      <c r="K626" s="8"/>
    </row>
    <row r="627" spans="1:11" ht="15.75" customHeight="1" x14ac:dyDescent="0.25">
      <c r="A627" s="40"/>
      <c r="B627" s="9"/>
      <c r="C627" s="9"/>
      <c r="D627" s="9"/>
      <c r="E627" s="9"/>
      <c r="F627" s="9"/>
      <c r="G627" s="9"/>
      <c r="H627" s="8"/>
      <c r="I627" s="8"/>
      <c r="J627" s="8"/>
      <c r="K627" s="8"/>
    </row>
    <row r="628" spans="1:11" ht="15.75" customHeight="1" x14ac:dyDescent="0.25">
      <c r="A628" s="40"/>
      <c r="B628" s="9"/>
      <c r="C628" s="9"/>
      <c r="D628" s="9"/>
      <c r="E628" s="9"/>
      <c r="F628" s="9"/>
      <c r="G628" s="9"/>
      <c r="H628" s="8"/>
      <c r="I628" s="8"/>
      <c r="J628" s="8"/>
      <c r="K628" s="8"/>
    </row>
    <row r="629" spans="1:11" ht="15.75" customHeight="1" x14ac:dyDescent="0.25">
      <c r="A629" s="40"/>
      <c r="B629" s="9"/>
      <c r="C629" s="9"/>
      <c r="D629" s="9"/>
      <c r="E629" s="9"/>
      <c r="F629" s="9"/>
      <c r="G629" s="9"/>
      <c r="H629" s="8"/>
      <c r="I629" s="8"/>
      <c r="J629" s="8"/>
      <c r="K629" s="8"/>
    </row>
    <row r="630" spans="1:11" ht="15.75" customHeight="1" x14ac:dyDescent="0.25">
      <c r="A630" s="40"/>
      <c r="B630" s="9"/>
      <c r="C630" s="9"/>
      <c r="D630" s="9"/>
      <c r="E630" s="9"/>
      <c r="F630" s="9"/>
      <c r="G630" s="9"/>
      <c r="H630" s="8"/>
      <c r="I630" s="8"/>
      <c r="J630" s="8"/>
      <c r="K630" s="8"/>
    </row>
    <row r="631" spans="1:11" ht="15.75" customHeight="1" x14ac:dyDescent="0.25">
      <c r="A631" s="40"/>
      <c r="B631" s="9"/>
      <c r="C631" s="9"/>
      <c r="D631" s="9"/>
      <c r="E631" s="9"/>
      <c r="F631" s="9"/>
      <c r="G631" s="9"/>
      <c r="H631" s="8"/>
      <c r="I631" s="8"/>
      <c r="J631" s="8"/>
      <c r="K631" s="8"/>
    </row>
    <row r="632" spans="1:11" ht="15.75" customHeight="1" x14ac:dyDescent="0.25">
      <c r="A632" s="40"/>
      <c r="B632" s="9"/>
      <c r="C632" s="9"/>
      <c r="D632" s="9"/>
      <c r="E632" s="9"/>
      <c r="F632" s="9"/>
      <c r="G632" s="9"/>
      <c r="H632" s="8"/>
      <c r="I632" s="8"/>
      <c r="J632" s="8"/>
      <c r="K632" s="8"/>
    </row>
    <row r="633" spans="1:11" ht="15.75" customHeight="1" x14ac:dyDescent="0.25">
      <c r="A633" s="40"/>
      <c r="B633" s="9"/>
      <c r="C633" s="9"/>
      <c r="D633" s="9"/>
      <c r="E633" s="9"/>
      <c r="F633" s="9"/>
      <c r="G633" s="9"/>
      <c r="H633" s="8"/>
      <c r="I633" s="8"/>
      <c r="J633" s="8"/>
      <c r="K633" s="8"/>
    </row>
    <row r="634" spans="1:11" ht="15.75" customHeight="1" x14ac:dyDescent="0.25">
      <c r="A634" s="40"/>
      <c r="B634" s="9"/>
      <c r="C634" s="9"/>
      <c r="D634" s="9"/>
      <c r="E634" s="9"/>
      <c r="F634" s="9"/>
      <c r="G634" s="9"/>
      <c r="H634" s="8"/>
      <c r="I634" s="8"/>
      <c r="J634" s="8"/>
      <c r="K634" s="8"/>
    </row>
    <row r="635" spans="1:11" ht="15.75" customHeight="1" x14ac:dyDescent="0.25">
      <c r="A635" s="40"/>
      <c r="B635" s="9"/>
      <c r="C635" s="9"/>
      <c r="D635" s="9"/>
      <c r="E635" s="9"/>
      <c r="F635" s="9"/>
      <c r="G635" s="9"/>
      <c r="H635" s="8"/>
      <c r="I635" s="8"/>
      <c r="J635" s="8"/>
      <c r="K635" s="8"/>
    </row>
    <row r="636" spans="1:11" ht="15.75" customHeight="1" x14ac:dyDescent="0.25">
      <c r="A636" s="40"/>
      <c r="B636" s="9"/>
      <c r="C636" s="9"/>
      <c r="D636" s="9"/>
      <c r="E636" s="9"/>
      <c r="F636" s="9"/>
      <c r="G636" s="9"/>
      <c r="H636" s="8"/>
      <c r="I636" s="8"/>
      <c r="J636" s="8"/>
      <c r="K636" s="8"/>
    </row>
    <row r="637" spans="1:11" ht="15.75" customHeight="1" x14ac:dyDescent="0.25">
      <c r="A637" s="40"/>
      <c r="B637" s="9"/>
      <c r="C637" s="9"/>
      <c r="D637" s="9"/>
      <c r="E637" s="9"/>
      <c r="F637" s="9"/>
      <c r="G637" s="9"/>
      <c r="H637" s="8"/>
      <c r="I637" s="8"/>
      <c r="J637" s="8"/>
      <c r="K637" s="8"/>
    </row>
    <row r="638" spans="1:11" ht="15.75" customHeight="1" x14ac:dyDescent="0.25">
      <c r="A638" s="40"/>
      <c r="B638" s="9"/>
      <c r="C638" s="9"/>
      <c r="D638" s="9"/>
      <c r="E638" s="9"/>
      <c r="F638" s="9"/>
      <c r="G638" s="9"/>
      <c r="H638" s="8"/>
      <c r="I638" s="8"/>
      <c r="J638" s="8"/>
      <c r="K638" s="8"/>
    </row>
    <row r="639" spans="1:11" ht="15.75" customHeight="1" x14ac:dyDescent="0.25">
      <c r="A639" s="40"/>
      <c r="B639" s="9"/>
      <c r="C639" s="9"/>
      <c r="D639" s="9"/>
      <c r="E639" s="9"/>
      <c r="F639" s="9"/>
      <c r="G639" s="9"/>
      <c r="H639" s="8"/>
      <c r="I639" s="8"/>
      <c r="J639" s="8"/>
      <c r="K639" s="8"/>
    </row>
    <row r="640" spans="1:11" ht="15.75" customHeight="1" x14ac:dyDescent="0.25">
      <c r="A640" s="40"/>
      <c r="B640" s="9"/>
      <c r="C640" s="9"/>
      <c r="D640" s="9"/>
      <c r="E640" s="9"/>
      <c r="F640" s="9"/>
      <c r="G640" s="9"/>
      <c r="H640" s="8"/>
      <c r="I640" s="8"/>
      <c r="J640" s="8"/>
      <c r="K640" s="8"/>
    </row>
    <row r="641" spans="1:11" ht="15.75" customHeight="1" x14ac:dyDescent="0.25">
      <c r="A641" s="40"/>
      <c r="B641" s="9"/>
      <c r="C641" s="9"/>
      <c r="D641" s="9"/>
      <c r="E641" s="9"/>
      <c r="F641" s="9"/>
      <c r="G641" s="9"/>
      <c r="H641" s="8"/>
      <c r="I641" s="8"/>
      <c r="J641" s="8"/>
      <c r="K641" s="8"/>
    </row>
    <row r="642" spans="1:11" ht="15.75" customHeight="1" x14ac:dyDescent="0.25">
      <c r="A642" s="40"/>
      <c r="B642" s="9"/>
      <c r="C642" s="9"/>
      <c r="D642" s="9"/>
      <c r="E642" s="9"/>
      <c r="F642" s="9"/>
      <c r="G642" s="9"/>
      <c r="H642" s="8"/>
      <c r="I642" s="8"/>
      <c r="J642" s="8"/>
      <c r="K642" s="8"/>
    </row>
    <row r="643" spans="1:11" ht="15.75" customHeight="1" x14ac:dyDescent="0.25">
      <c r="A643" s="40"/>
      <c r="B643" s="9"/>
      <c r="C643" s="9"/>
      <c r="D643" s="9"/>
      <c r="E643" s="9"/>
      <c r="F643" s="9"/>
      <c r="G643" s="9"/>
      <c r="H643" s="8"/>
      <c r="I643" s="8"/>
      <c r="J643" s="8"/>
      <c r="K643" s="8"/>
    </row>
    <row r="644" spans="1:11" ht="15.75" customHeight="1" x14ac:dyDescent="0.25">
      <c r="A644" s="40"/>
      <c r="B644" s="9"/>
      <c r="C644" s="9"/>
      <c r="D644" s="9"/>
      <c r="E644" s="9"/>
      <c r="F644" s="9"/>
      <c r="G644" s="9"/>
      <c r="H644" s="8"/>
      <c r="I644" s="8"/>
      <c r="J644" s="8"/>
      <c r="K644" s="8"/>
    </row>
    <row r="645" spans="1:11" ht="15.75" customHeight="1" x14ac:dyDescent="0.25">
      <c r="A645" s="40"/>
      <c r="B645" s="9"/>
      <c r="C645" s="9"/>
      <c r="D645" s="9"/>
      <c r="E645" s="9"/>
      <c r="F645" s="9"/>
      <c r="G645" s="9"/>
      <c r="H645" s="8"/>
      <c r="I645" s="8"/>
      <c r="J645" s="8"/>
      <c r="K645" s="8"/>
    </row>
    <row r="646" spans="1:11" ht="15.75" customHeight="1" x14ac:dyDescent="0.25">
      <c r="A646" s="40"/>
      <c r="B646" s="9"/>
      <c r="C646" s="9"/>
      <c r="D646" s="9"/>
      <c r="E646" s="9"/>
      <c r="F646" s="9"/>
      <c r="G646" s="9"/>
      <c r="H646" s="8"/>
      <c r="I646" s="8"/>
      <c r="J646" s="8"/>
      <c r="K646" s="8"/>
    </row>
    <row r="647" spans="1:11" ht="15.75" customHeight="1" x14ac:dyDescent="0.25">
      <c r="A647" s="40"/>
      <c r="B647" s="9"/>
      <c r="C647" s="9"/>
      <c r="D647" s="9"/>
      <c r="E647" s="9"/>
      <c r="F647" s="9"/>
      <c r="G647" s="9"/>
      <c r="H647" s="8"/>
      <c r="I647" s="8"/>
      <c r="J647" s="8"/>
      <c r="K647" s="8"/>
    </row>
    <row r="648" spans="1:11" ht="15.75" customHeight="1" x14ac:dyDescent="0.25">
      <c r="A648" s="40"/>
      <c r="B648" s="9"/>
      <c r="C648" s="9"/>
      <c r="D648" s="9"/>
      <c r="E648" s="9"/>
      <c r="F648" s="9"/>
      <c r="G648" s="9"/>
      <c r="H648" s="8"/>
      <c r="I648" s="8"/>
      <c r="J648" s="8"/>
      <c r="K648" s="8"/>
    </row>
    <row r="649" spans="1:11" ht="15.75" customHeight="1" x14ac:dyDescent="0.25">
      <c r="A649" s="40"/>
      <c r="B649" s="9"/>
      <c r="C649" s="9"/>
      <c r="D649" s="9"/>
      <c r="E649" s="9"/>
      <c r="F649" s="9"/>
      <c r="G649" s="9"/>
      <c r="H649" s="8"/>
      <c r="I649" s="8"/>
      <c r="J649" s="8"/>
      <c r="K649" s="8"/>
    </row>
    <row r="650" spans="1:11" ht="15.75" customHeight="1" x14ac:dyDescent="0.25">
      <c r="A650" s="40"/>
      <c r="B650" s="9"/>
      <c r="C650" s="9"/>
      <c r="D650" s="9"/>
      <c r="E650" s="9"/>
      <c r="F650" s="9"/>
      <c r="G650" s="9"/>
      <c r="H650" s="8"/>
      <c r="I650" s="8"/>
      <c r="J650" s="8"/>
      <c r="K650" s="8"/>
    </row>
    <row r="651" spans="1:11" ht="15.75" customHeight="1" x14ac:dyDescent="0.25">
      <c r="A651" s="40"/>
      <c r="B651" s="9"/>
      <c r="C651" s="9"/>
      <c r="D651" s="9"/>
      <c r="E651" s="9"/>
      <c r="F651" s="9"/>
      <c r="G651" s="9"/>
      <c r="H651" s="8"/>
      <c r="I651" s="8"/>
      <c r="J651" s="8"/>
      <c r="K651" s="8"/>
    </row>
    <row r="652" spans="1:11" ht="15.75" customHeight="1" x14ac:dyDescent="0.25">
      <c r="A652" s="40"/>
      <c r="B652" s="9"/>
      <c r="C652" s="9"/>
      <c r="D652" s="9"/>
      <c r="E652" s="9"/>
      <c r="F652" s="9"/>
      <c r="G652" s="9"/>
      <c r="H652" s="8"/>
      <c r="I652" s="8"/>
      <c r="J652" s="8"/>
      <c r="K652" s="8"/>
    </row>
    <row r="653" spans="1:11" ht="15.75" customHeight="1" x14ac:dyDescent="0.25">
      <c r="A653" s="40"/>
      <c r="B653" s="9"/>
      <c r="C653" s="9"/>
      <c r="D653" s="9"/>
      <c r="E653" s="9"/>
      <c r="F653" s="9"/>
      <c r="G653" s="9"/>
      <c r="H653" s="8"/>
      <c r="I653" s="8"/>
      <c r="J653" s="8"/>
      <c r="K653" s="8"/>
    </row>
    <row r="654" spans="1:11" ht="15.75" customHeight="1" x14ac:dyDescent="0.25">
      <c r="A654" s="40"/>
      <c r="B654" s="9"/>
      <c r="C654" s="9"/>
      <c r="D654" s="9"/>
      <c r="E654" s="9"/>
      <c r="F654" s="9"/>
      <c r="G654" s="9"/>
      <c r="H654" s="8"/>
      <c r="I654" s="8"/>
      <c r="J654" s="8"/>
      <c r="K654" s="8"/>
    </row>
    <row r="655" spans="1:11" ht="15.75" customHeight="1" x14ac:dyDescent="0.25">
      <c r="A655" s="40"/>
      <c r="B655" s="9"/>
      <c r="C655" s="9"/>
      <c r="D655" s="9"/>
      <c r="E655" s="9"/>
      <c r="F655" s="9"/>
      <c r="G655" s="9"/>
      <c r="H655" s="8"/>
      <c r="I655" s="8"/>
      <c r="J655" s="8"/>
      <c r="K655" s="8"/>
    </row>
    <row r="656" spans="1:11" ht="15.75" customHeight="1" x14ac:dyDescent="0.25">
      <c r="A656" s="40"/>
      <c r="B656" s="9"/>
      <c r="C656" s="9"/>
      <c r="D656" s="9"/>
      <c r="E656" s="9"/>
      <c r="F656" s="9"/>
      <c r="G656" s="9"/>
      <c r="H656" s="8"/>
      <c r="I656" s="8"/>
      <c r="J656" s="8"/>
      <c r="K656" s="8"/>
    </row>
    <row r="657" spans="1:11" ht="15.75" customHeight="1" x14ac:dyDescent="0.25">
      <c r="A657" s="40"/>
      <c r="B657" s="9"/>
      <c r="C657" s="9"/>
      <c r="D657" s="9"/>
      <c r="E657" s="9"/>
      <c r="F657" s="9"/>
      <c r="G657" s="9"/>
      <c r="H657" s="8"/>
      <c r="I657" s="8"/>
      <c r="J657" s="8"/>
      <c r="K657" s="8"/>
    </row>
    <row r="658" spans="1:11" ht="15.75" customHeight="1" x14ac:dyDescent="0.25">
      <c r="A658" s="40"/>
      <c r="B658" s="9"/>
      <c r="C658" s="9"/>
      <c r="D658" s="9"/>
      <c r="E658" s="9"/>
      <c r="F658" s="9"/>
      <c r="G658" s="9"/>
      <c r="H658" s="8"/>
      <c r="I658" s="8"/>
      <c r="J658" s="8"/>
      <c r="K658" s="8"/>
    </row>
    <row r="659" spans="1:11" ht="15.75" customHeight="1" x14ac:dyDescent="0.25">
      <c r="A659" s="40"/>
      <c r="B659" s="9"/>
      <c r="C659" s="9"/>
      <c r="D659" s="9"/>
      <c r="E659" s="9"/>
      <c r="F659" s="9"/>
      <c r="G659" s="9"/>
      <c r="H659" s="8"/>
      <c r="I659" s="8"/>
      <c r="J659" s="8"/>
      <c r="K659" s="8"/>
    </row>
    <row r="660" spans="1:11" ht="15.75" customHeight="1" x14ac:dyDescent="0.25">
      <c r="A660" s="40"/>
      <c r="B660" s="9"/>
      <c r="C660" s="9"/>
      <c r="D660" s="9"/>
      <c r="E660" s="9"/>
      <c r="F660" s="9"/>
      <c r="G660" s="9"/>
      <c r="H660" s="8"/>
      <c r="I660" s="8"/>
      <c r="J660" s="8"/>
      <c r="K660" s="8"/>
    </row>
    <row r="661" spans="1:11" ht="15.75" customHeight="1" x14ac:dyDescent="0.25">
      <c r="A661" s="40"/>
      <c r="B661" s="9"/>
      <c r="C661" s="9"/>
      <c r="D661" s="9"/>
      <c r="E661" s="9"/>
      <c r="F661" s="9"/>
      <c r="G661" s="9"/>
      <c r="H661" s="8"/>
      <c r="I661" s="8"/>
      <c r="J661" s="8"/>
      <c r="K661" s="8"/>
    </row>
    <row r="662" spans="1:11" ht="15.75" customHeight="1" x14ac:dyDescent="0.25">
      <c r="A662" s="40"/>
      <c r="B662" s="9"/>
      <c r="C662" s="9"/>
      <c r="D662" s="9"/>
      <c r="E662" s="9"/>
      <c r="F662" s="9"/>
      <c r="G662" s="9"/>
      <c r="H662" s="8"/>
      <c r="I662" s="8"/>
      <c r="J662" s="8"/>
      <c r="K662" s="8"/>
    </row>
    <row r="663" spans="1:11" ht="15.75" customHeight="1" x14ac:dyDescent="0.25">
      <c r="A663" s="40"/>
      <c r="B663" s="9"/>
      <c r="C663" s="9"/>
      <c r="D663" s="9"/>
      <c r="E663" s="9"/>
      <c r="F663" s="9"/>
      <c r="G663" s="9"/>
      <c r="H663" s="8"/>
      <c r="I663" s="8"/>
      <c r="J663" s="8"/>
      <c r="K663" s="8"/>
    </row>
    <row r="664" spans="1:11" ht="15.75" customHeight="1" x14ac:dyDescent="0.25">
      <c r="A664" s="40"/>
      <c r="B664" s="9"/>
      <c r="C664" s="9"/>
      <c r="D664" s="9"/>
      <c r="E664" s="9"/>
      <c r="F664" s="9"/>
      <c r="G664" s="9"/>
      <c r="H664" s="8"/>
      <c r="I664" s="8"/>
      <c r="J664" s="8"/>
      <c r="K664" s="8"/>
    </row>
    <row r="665" spans="1:11" ht="15.75" customHeight="1" x14ac:dyDescent="0.25">
      <c r="A665" s="40"/>
      <c r="B665" s="9"/>
      <c r="C665" s="9"/>
      <c r="D665" s="9"/>
      <c r="E665" s="9"/>
      <c r="F665" s="9"/>
      <c r="G665" s="9"/>
      <c r="H665" s="8"/>
      <c r="I665" s="8"/>
      <c r="J665" s="8"/>
      <c r="K665" s="8"/>
    </row>
    <row r="666" spans="1:11" ht="15.75" customHeight="1" x14ac:dyDescent="0.25">
      <c r="A666" s="40"/>
      <c r="B666" s="9"/>
      <c r="C666" s="9"/>
      <c r="D666" s="9"/>
      <c r="E666" s="9"/>
      <c r="F666" s="9"/>
      <c r="G666" s="9"/>
      <c r="H666" s="8"/>
      <c r="I666" s="8"/>
      <c r="J666" s="8"/>
      <c r="K666" s="8"/>
    </row>
    <row r="667" spans="1:11" ht="15.75" customHeight="1" x14ac:dyDescent="0.25">
      <c r="A667" s="40"/>
      <c r="B667" s="9"/>
      <c r="C667" s="9"/>
      <c r="D667" s="9"/>
      <c r="E667" s="9"/>
      <c r="F667" s="9"/>
      <c r="G667" s="9"/>
      <c r="H667" s="8"/>
      <c r="I667" s="8"/>
      <c r="J667" s="8"/>
      <c r="K667" s="8"/>
    </row>
    <row r="668" spans="1:11" ht="15.75" customHeight="1" x14ac:dyDescent="0.25">
      <c r="A668" s="40"/>
      <c r="B668" s="9"/>
      <c r="C668" s="9"/>
      <c r="D668" s="9"/>
      <c r="E668" s="9"/>
      <c r="F668" s="9"/>
      <c r="G668" s="9"/>
      <c r="H668" s="8"/>
      <c r="I668" s="8"/>
      <c r="J668" s="8"/>
      <c r="K668" s="8"/>
    </row>
    <row r="669" spans="1:11" ht="15.75" customHeight="1" x14ac:dyDescent="0.25">
      <c r="A669" s="40"/>
      <c r="B669" s="9"/>
      <c r="C669" s="9"/>
      <c r="D669" s="9"/>
      <c r="E669" s="9"/>
      <c r="F669" s="9"/>
      <c r="G669" s="9"/>
      <c r="H669" s="8"/>
      <c r="I669" s="8"/>
      <c r="J669" s="8"/>
      <c r="K669" s="8"/>
    </row>
    <row r="670" spans="1:11" ht="15.75" customHeight="1" x14ac:dyDescent="0.25">
      <c r="A670" s="40"/>
      <c r="B670" s="9"/>
      <c r="C670" s="9"/>
      <c r="D670" s="9"/>
      <c r="E670" s="9"/>
      <c r="F670" s="9"/>
      <c r="G670" s="9"/>
      <c r="H670" s="8"/>
      <c r="I670" s="8"/>
      <c r="J670" s="8"/>
      <c r="K670" s="8"/>
    </row>
    <row r="671" spans="1:11" ht="15.75" customHeight="1" x14ac:dyDescent="0.25">
      <c r="A671" s="40"/>
      <c r="B671" s="9"/>
      <c r="C671" s="9"/>
      <c r="D671" s="9"/>
      <c r="E671" s="9"/>
      <c r="F671" s="9"/>
      <c r="G671" s="9"/>
      <c r="H671" s="8"/>
      <c r="I671" s="8"/>
      <c r="J671" s="8"/>
      <c r="K671" s="8"/>
    </row>
    <row r="672" spans="1:11" ht="15.75" customHeight="1" x14ac:dyDescent="0.25">
      <c r="A672" s="40"/>
      <c r="B672" s="9"/>
      <c r="C672" s="9"/>
      <c r="D672" s="9"/>
      <c r="E672" s="9"/>
      <c r="F672" s="9"/>
      <c r="G672" s="9"/>
      <c r="H672" s="8"/>
      <c r="I672" s="8"/>
      <c r="J672" s="8"/>
      <c r="K672" s="8"/>
    </row>
    <row r="673" spans="1:11" ht="15.75" customHeight="1" x14ac:dyDescent="0.25">
      <c r="A673" s="40"/>
      <c r="B673" s="9"/>
      <c r="C673" s="9"/>
      <c r="D673" s="9"/>
      <c r="E673" s="9"/>
      <c r="F673" s="9"/>
      <c r="G673" s="9"/>
      <c r="H673" s="8"/>
      <c r="I673" s="8"/>
      <c r="J673" s="8"/>
      <c r="K673" s="8"/>
    </row>
    <row r="674" spans="1:11" ht="15.75" customHeight="1" x14ac:dyDescent="0.25">
      <c r="A674" s="40"/>
      <c r="B674" s="9"/>
      <c r="C674" s="9"/>
      <c r="D674" s="9"/>
      <c r="E674" s="9"/>
      <c r="F674" s="9"/>
      <c r="G674" s="9"/>
      <c r="H674" s="8"/>
      <c r="I674" s="8"/>
      <c r="J674" s="8"/>
      <c r="K674" s="8"/>
    </row>
    <row r="675" spans="1:11" ht="15.75" customHeight="1" x14ac:dyDescent="0.25">
      <c r="A675" s="40"/>
      <c r="B675" s="9"/>
      <c r="C675" s="9"/>
      <c r="D675" s="9"/>
      <c r="E675" s="9"/>
      <c r="F675" s="9"/>
      <c r="G675" s="9"/>
      <c r="H675" s="8"/>
      <c r="I675" s="8"/>
      <c r="J675" s="8"/>
      <c r="K675" s="8"/>
    </row>
    <row r="676" spans="1:11" ht="15.75" customHeight="1" x14ac:dyDescent="0.25">
      <c r="A676" s="40"/>
      <c r="B676" s="9"/>
      <c r="C676" s="9"/>
      <c r="D676" s="9"/>
      <c r="E676" s="9"/>
      <c r="F676" s="9"/>
      <c r="G676" s="9"/>
      <c r="H676" s="8"/>
      <c r="I676" s="8"/>
      <c r="J676" s="8"/>
      <c r="K676" s="8"/>
    </row>
    <row r="677" spans="1:11" ht="15.75" customHeight="1" x14ac:dyDescent="0.25">
      <c r="A677" s="40"/>
      <c r="B677" s="9"/>
      <c r="C677" s="9"/>
      <c r="D677" s="9"/>
      <c r="E677" s="9"/>
      <c r="F677" s="9"/>
      <c r="G677" s="9"/>
      <c r="H677" s="8"/>
      <c r="I677" s="8"/>
      <c r="J677" s="8"/>
      <c r="K677" s="8"/>
    </row>
    <row r="678" spans="1:11" ht="15.75" customHeight="1" x14ac:dyDescent="0.25">
      <c r="A678" s="40"/>
      <c r="B678" s="9"/>
      <c r="C678" s="9"/>
      <c r="D678" s="9"/>
      <c r="E678" s="9"/>
      <c r="F678" s="9"/>
      <c r="G678" s="9"/>
      <c r="H678" s="8"/>
      <c r="I678" s="8"/>
      <c r="J678" s="8"/>
      <c r="K678" s="8"/>
    </row>
    <row r="679" spans="1:11" ht="15.75" customHeight="1" x14ac:dyDescent="0.25">
      <c r="A679" s="40"/>
      <c r="B679" s="9"/>
      <c r="C679" s="9"/>
      <c r="D679" s="9"/>
      <c r="E679" s="9"/>
      <c r="F679" s="9"/>
      <c r="G679" s="9"/>
      <c r="H679" s="8"/>
      <c r="I679" s="8"/>
      <c r="J679" s="8"/>
      <c r="K679" s="8"/>
    </row>
    <row r="680" spans="1:11" ht="15.75" customHeight="1" x14ac:dyDescent="0.25">
      <c r="A680" s="40"/>
      <c r="B680" s="9"/>
      <c r="C680" s="9"/>
      <c r="D680" s="9"/>
      <c r="E680" s="9"/>
      <c r="F680" s="9"/>
      <c r="G680" s="9"/>
      <c r="H680" s="8"/>
      <c r="I680" s="8"/>
      <c r="J680" s="8"/>
      <c r="K680" s="8"/>
    </row>
    <row r="681" spans="1:11" ht="15.75" customHeight="1" x14ac:dyDescent="0.25">
      <c r="A681" s="40"/>
      <c r="B681" s="9"/>
      <c r="C681" s="9"/>
      <c r="D681" s="9"/>
      <c r="E681" s="9"/>
      <c r="F681" s="9"/>
      <c r="G681" s="9"/>
      <c r="H681" s="8"/>
      <c r="I681" s="8"/>
      <c r="J681" s="8"/>
      <c r="K681" s="8"/>
    </row>
    <row r="682" spans="1:11" ht="15.75" customHeight="1" x14ac:dyDescent="0.25">
      <c r="A682" s="40"/>
      <c r="B682" s="9"/>
      <c r="C682" s="9"/>
      <c r="D682" s="9"/>
      <c r="E682" s="9"/>
      <c r="F682" s="9"/>
      <c r="G682" s="9"/>
      <c r="H682" s="8"/>
      <c r="I682" s="8"/>
      <c r="J682" s="8"/>
      <c r="K682" s="8"/>
    </row>
    <row r="683" spans="1:11" ht="15.75" customHeight="1" x14ac:dyDescent="0.25">
      <c r="A683" s="40"/>
      <c r="B683" s="9"/>
      <c r="C683" s="9"/>
      <c r="D683" s="9"/>
      <c r="E683" s="9"/>
      <c r="F683" s="9"/>
      <c r="G683" s="9"/>
      <c r="H683" s="8"/>
      <c r="I683" s="8"/>
      <c r="J683" s="8"/>
      <c r="K683" s="8"/>
    </row>
    <row r="684" spans="1:11" ht="15.75" customHeight="1" x14ac:dyDescent="0.25">
      <c r="A684" s="40"/>
      <c r="B684" s="9"/>
      <c r="C684" s="9"/>
      <c r="D684" s="9"/>
      <c r="E684" s="9"/>
      <c r="F684" s="9"/>
      <c r="G684" s="9"/>
      <c r="H684" s="8"/>
      <c r="I684" s="8"/>
      <c r="J684" s="8"/>
      <c r="K684" s="8"/>
    </row>
    <row r="685" spans="1:11" ht="15.75" customHeight="1" x14ac:dyDescent="0.25">
      <c r="A685" s="40"/>
      <c r="B685" s="9"/>
      <c r="C685" s="9"/>
      <c r="D685" s="9"/>
      <c r="E685" s="9"/>
      <c r="F685" s="9"/>
      <c r="G685" s="9"/>
      <c r="H685" s="8"/>
      <c r="I685" s="8"/>
      <c r="J685" s="8"/>
      <c r="K685" s="8"/>
    </row>
    <row r="686" spans="1:11" ht="15.75" customHeight="1" x14ac:dyDescent="0.25">
      <c r="A686" s="40"/>
      <c r="B686" s="9"/>
      <c r="C686" s="9"/>
      <c r="D686" s="9"/>
      <c r="E686" s="9"/>
      <c r="F686" s="9"/>
      <c r="G686" s="9"/>
      <c r="H686" s="8"/>
      <c r="I686" s="8"/>
      <c r="J686" s="8"/>
      <c r="K686" s="8"/>
    </row>
    <row r="687" spans="1:11" ht="15.75" customHeight="1" x14ac:dyDescent="0.25">
      <c r="A687" s="40"/>
      <c r="B687" s="9"/>
      <c r="C687" s="9"/>
      <c r="D687" s="9"/>
      <c r="E687" s="9"/>
      <c r="F687" s="9"/>
      <c r="G687" s="9"/>
      <c r="H687" s="8"/>
      <c r="I687" s="8"/>
      <c r="J687" s="8"/>
      <c r="K687" s="8"/>
    </row>
    <row r="688" spans="1:11" ht="15.75" customHeight="1" x14ac:dyDescent="0.25">
      <c r="A688" s="40"/>
      <c r="B688" s="9"/>
      <c r="C688" s="9"/>
      <c r="D688" s="9"/>
      <c r="E688" s="9"/>
      <c r="F688" s="9"/>
      <c r="G688" s="9"/>
      <c r="H688" s="8"/>
      <c r="I688" s="8"/>
      <c r="J688" s="8"/>
      <c r="K688" s="8"/>
    </row>
    <row r="689" spans="1:11" ht="15.75" customHeight="1" x14ac:dyDescent="0.25">
      <c r="A689" s="40"/>
      <c r="B689" s="9"/>
      <c r="C689" s="9"/>
      <c r="D689" s="9"/>
      <c r="E689" s="9"/>
      <c r="F689" s="9"/>
      <c r="G689" s="9"/>
      <c r="H689" s="8"/>
      <c r="I689" s="8"/>
      <c r="J689" s="8"/>
      <c r="K689" s="8"/>
    </row>
    <row r="690" spans="1:11" ht="15.75" customHeight="1" x14ac:dyDescent="0.25">
      <c r="A690" s="40"/>
      <c r="B690" s="9"/>
      <c r="C690" s="9"/>
      <c r="D690" s="9"/>
      <c r="E690" s="9"/>
      <c r="F690" s="9"/>
      <c r="G690" s="9"/>
      <c r="H690" s="8"/>
      <c r="I690" s="8"/>
      <c r="J690" s="8"/>
      <c r="K690" s="8"/>
    </row>
    <row r="691" spans="1:11" ht="15.75" customHeight="1" x14ac:dyDescent="0.25">
      <c r="A691" s="40"/>
      <c r="B691" s="9"/>
      <c r="C691" s="9"/>
      <c r="D691" s="9"/>
      <c r="E691" s="9"/>
      <c r="F691" s="9"/>
      <c r="G691" s="9"/>
      <c r="H691" s="8"/>
      <c r="I691" s="8"/>
      <c r="J691" s="8"/>
      <c r="K691" s="8"/>
    </row>
    <row r="692" spans="1:11" ht="15.75" customHeight="1" x14ac:dyDescent="0.25">
      <c r="A692" s="40"/>
      <c r="B692" s="9"/>
      <c r="C692" s="9"/>
      <c r="D692" s="9"/>
      <c r="E692" s="9"/>
      <c r="F692" s="9"/>
      <c r="G692" s="9"/>
      <c r="H692" s="8"/>
      <c r="I692" s="8"/>
      <c r="J692" s="8"/>
      <c r="K692" s="8"/>
    </row>
    <row r="693" spans="1:11" ht="15.75" customHeight="1" x14ac:dyDescent="0.25">
      <c r="A693" s="40"/>
      <c r="B693" s="9"/>
      <c r="C693" s="9"/>
      <c r="D693" s="9"/>
      <c r="E693" s="9"/>
      <c r="F693" s="9"/>
      <c r="G693" s="9"/>
      <c r="H693" s="8"/>
      <c r="I693" s="8"/>
      <c r="J693" s="8"/>
      <c r="K693" s="8"/>
    </row>
    <row r="694" spans="1:11" ht="15.75" customHeight="1" x14ac:dyDescent="0.25">
      <c r="A694" s="40"/>
      <c r="B694" s="9"/>
      <c r="C694" s="9"/>
      <c r="D694" s="9"/>
      <c r="E694" s="9"/>
      <c r="F694" s="9"/>
      <c r="G694" s="9"/>
      <c r="H694" s="8"/>
      <c r="I694" s="8"/>
      <c r="J694" s="8"/>
      <c r="K694" s="8"/>
    </row>
    <row r="695" spans="1:11" ht="15.75" customHeight="1" x14ac:dyDescent="0.25">
      <c r="A695" s="40"/>
      <c r="B695" s="9"/>
      <c r="C695" s="9"/>
      <c r="D695" s="9"/>
      <c r="E695" s="9"/>
      <c r="F695" s="9"/>
      <c r="G695" s="9"/>
      <c r="H695" s="8"/>
      <c r="I695" s="8"/>
      <c r="J695" s="8"/>
      <c r="K695" s="8"/>
    </row>
    <row r="696" spans="1:11" ht="15.75" customHeight="1" x14ac:dyDescent="0.25">
      <c r="A696" s="40"/>
      <c r="B696" s="9"/>
      <c r="C696" s="9"/>
      <c r="D696" s="9"/>
      <c r="E696" s="9"/>
      <c r="F696" s="9"/>
      <c r="G696" s="9"/>
      <c r="H696" s="8"/>
      <c r="I696" s="8"/>
      <c r="J696" s="8"/>
      <c r="K696" s="8"/>
    </row>
    <row r="697" spans="1:11" ht="15.75" customHeight="1" x14ac:dyDescent="0.25">
      <c r="A697" s="40"/>
      <c r="B697" s="9"/>
      <c r="C697" s="9"/>
      <c r="D697" s="9"/>
      <c r="E697" s="9"/>
      <c r="F697" s="9"/>
      <c r="G697" s="9"/>
      <c r="H697" s="8"/>
      <c r="I697" s="8"/>
      <c r="J697" s="8"/>
      <c r="K697" s="8"/>
    </row>
    <row r="698" spans="1:11" ht="15.75" customHeight="1" x14ac:dyDescent="0.25">
      <c r="A698" s="40"/>
      <c r="B698" s="9"/>
      <c r="C698" s="9"/>
      <c r="D698" s="9"/>
      <c r="E698" s="9"/>
      <c r="F698" s="9"/>
      <c r="G698" s="9"/>
      <c r="H698" s="8"/>
      <c r="I698" s="8"/>
      <c r="J698" s="8"/>
      <c r="K698" s="8"/>
    </row>
    <row r="699" spans="1:11" ht="15.75" customHeight="1" x14ac:dyDescent="0.25">
      <c r="A699" s="40"/>
      <c r="B699" s="9"/>
      <c r="C699" s="9"/>
      <c r="D699" s="9"/>
      <c r="E699" s="9"/>
      <c r="F699" s="9"/>
      <c r="G699" s="9"/>
      <c r="H699" s="8"/>
      <c r="I699" s="8"/>
      <c r="J699" s="8"/>
      <c r="K699" s="8"/>
    </row>
    <row r="700" spans="1:11" ht="15.75" customHeight="1" x14ac:dyDescent="0.25">
      <c r="A700" s="40"/>
      <c r="B700" s="9"/>
      <c r="C700" s="9"/>
      <c r="D700" s="9"/>
      <c r="E700" s="9"/>
      <c r="F700" s="9"/>
      <c r="G700" s="9"/>
      <c r="H700" s="8"/>
      <c r="I700" s="8"/>
      <c r="J700" s="8"/>
      <c r="K700" s="8"/>
    </row>
    <row r="701" spans="1:11" ht="15.75" customHeight="1" x14ac:dyDescent="0.25">
      <c r="A701" s="40"/>
      <c r="B701" s="9"/>
      <c r="C701" s="9"/>
      <c r="D701" s="9"/>
      <c r="E701" s="9"/>
      <c r="F701" s="9"/>
      <c r="G701" s="9"/>
      <c r="H701" s="8"/>
      <c r="I701" s="8"/>
      <c r="J701" s="8"/>
      <c r="K701" s="8"/>
    </row>
    <row r="702" spans="1:11" ht="15.75" customHeight="1" x14ac:dyDescent="0.25">
      <c r="A702" s="40"/>
      <c r="B702" s="9"/>
      <c r="C702" s="9"/>
      <c r="D702" s="9"/>
      <c r="E702" s="9"/>
      <c r="F702" s="9"/>
      <c r="G702" s="9"/>
      <c r="H702" s="8"/>
      <c r="I702" s="8"/>
      <c r="J702" s="8"/>
      <c r="K702" s="8"/>
    </row>
    <row r="703" spans="1:11" ht="15.75" customHeight="1" x14ac:dyDescent="0.25">
      <c r="A703" s="40"/>
      <c r="B703" s="9"/>
      <c r="C703" s="9"/>
      <c r="D703" s="9"/>
      <c r="E703" s="9"/>
      <c r="F703" s="9"/>
      <c r="G703" s="9"/>
      <c r="H703" s="8"/>
      <c r="I703" s="8"/>
      <c r="J703" s="8"/>
      <c r="K703" s="8"/>
    </row>
    <row r="704" spans="1:11" ht="15.75" customHeight="1" x14ac:dyDescent="0.25">
      <c r="A704" s="40"/>
      <c r="B704" s="9"/>
      <c r="C704" s="9"/>
      <c r="D704" s="9"/>
      <c r="E704" s="9"/>
      <c r="F704" s="9"/>
      <c r="G704" s="9"/>
      <c r="H704" s="8"/>
      <c r="I704" s="8"/>
      <c r="J704" s="8"/>
      <c r="K704" s="8"/>
    </row>
    <row r="705" spans="1:11" ht="15.75" customHeight="1" x14ac:dyDescent="0.25">
      <c r="A705" s="40"/>
      <c r="B705" s="9"/>
      <c r="C705" s="9"/>
      <c r="D705" s="9"/>
      <c r="E705" s="9"/>
      <c r="F705" s="9"/>
      <c r="G705" s="9"/>
      <c r="H705" s="8"/>
      <c r="I705" s="8"/>
      <c r="J705" s="8"/>
      <c r="K705" s="8"/>
    </row>
    <row r="706" spans="1:11" ht="15.75" customHeight="1" x14ac:dyDescent="0.25">
      <c r="A706" s="40"/>
      <c r="B706" s="9"/>
      <c r="C706" s="9"/>
      <c r="D706" s="9"/>
      <c r="E706" s="9"/>
      <c r="F706" s="9"/>
      <c r="G706" s="9"/>
      <c r="H706" s="8"/>
      <c r="I706" s="8"/>
      <c r="J706" s="8"/>
      <c r="K706" s="8"/>
    </row>
    <row r="707" spans="1:11" ht="15.75" customHeight="1" x14ac:dyDescent="0.25">
      <c r="A707" s="40"/>
      <c r="B707" s="9"/>
      <c r="C707" s="9"/>
      <c r="D707" s="9"/>
      <c r="E707" s="9"/>
      <c r="F707" s="9"/>
      <c r="G707" s="9"/>
      <c r="H707" s="8"/>
      <c r="I707" s="8"/>
      <c r="J707" s="8"/>
      <c r="K707" s="8"/>
    </row>
    <row r="708" spans="1:11" ht="15.75" customHeight="1" x14ac:dyDescent="0.25">
      <c r="A708" s="40"/>
      <c r="B708" s="9"/>
      <c r="C708" s="9"/>
      <c r="D708" s="9"/>
      <c r="E708" s="9"/>
      <c r="F708" s="9"/>
      <c r="G708" s="9"/>
      <c r="H708" s="8"/>
      <c r="I708" s="8"/>
      <c r="J708" s="8"/>
      <c r="K708" s="8"/>
    </row>
    <row r="709" spans="1:11" ht="15.75" customHeight="1" x14ac:dyDescent="0.25">
      <c r="A709" s="40"/>
      <c r="B709" s="9"/>
      <c r="C709" s="9"/>
      <c r="D709" s="9"/>
      <c r="E709" s="9"/>
      <c r="F709" s="9"/>
      <c r="G709" s="9"/>
      <c r="H709" s="8"/>
      <c r="I709" s="8"/>
      <c r="J709" s="8"/>
      <c r="K709" s="8"/>
    </row>
    <row r="710" spans="1:11" ht="15.75" customHeight="1" x14ac:dyDescent="0.25">
      <c r="A710" s="40"/>
      <c r="B710" s="9"/>
      <c r="C710" s="9"/>
      <c r="D710" s="9"/>
      <c r="E710" s="9"/>
      <c r="F710" s="9"/>
      <c r="G710" s="9"/>
      <c r="H710" s="8"/>
      <c r="I710" s="8"/>
      <c r="J710" s="8"/>
      <c r="K710" s="8"/>
    </row>
    <row r="711" spans="1:11" ht="15.75" customHeight="1" x14ac:dyDescent="0.25">
      <c r="A711" s="40"/>
      <c r="B711" s="9"/>
      <c r="C711" s="9"/>
      <c r="D711" s="9"/>
      <c r="E711" s="9"/>
      <c r="F711" s="9"/>
      <c r="G711" s="9"/>
      <c r="H711" s="8"/>
      <c r="I711" s="8"/>
      <c r="J711" s="8"/>
      <c r="K711" s="8"/>
    </row>
    <row r="712" spans="1:11" ht="15.75" customHeight="1" x14ac:dyDescent="0.25">
      <c r="A712" s="40"/>
      <c r="B712" s="9"/>
      <c r="C712" s="9"/>
      <c r="D712" s="9"/>
      <c r="E712" s="9"/>
      <c r="F712" s="9"/>
      <c r="G712" s="9"/>
      <c r="H712" s="8"/>
      <c r="I712" s="8"/>
      <c r="J712" s="8"/>
      <c r="K712" s="8"/>
    </row>
    <row r="713" spans="1:11" ht="15.75" customHeight="1" x14ac:dyDescent="0.25">
      <c r="A713" s="40"/>
      <c r="B713" s="9"/>
      <c r="C713" s="9"/>
      <c r="D713" s="9"/>
      <c r="E713" s="9"/>
      <c r="F713" s="9"/>
      <c r="G713" s="9"/>
      <c r="H713" s="8"/>
      <c r="I713" s="8"/>
      <c r="J713" s="8"/>
      <c r="K713" s="8"/>
    </row>
    <row r="714" spans="1:11" ht="15.75" customHeight="1" x14ac:dyDescent="0.25">
      <c r="A714" s="40"/>
      <c r="B714" s="9"/>
      <c r="C714" s="9"/>
      <c r="D714" s="9"/>
      <c r="E714" s="9"/>
      <c r="F714" s="9"/>
      <c r="G714" s="9"/>
      <c r="H714" s="8"/>
      <c r="I714" s="8"/>
      <c r="J714" s="8"/>
      <c r="K714" s="8"/>
    </row>
    <row r="715" spans="1:11" ht="15.75" customHeight="1" x14ac:dyDescent="0.25">
      <c r="A715" s="40"/>
      <c r="B715" s="9"/>
      <c r="C715" s="9"/>
      <c r="D715" s="9"/>
      <c r="E715" s="9"/>
      <c r="F715" s="9"/>
      <c r="G715" s="9"/>
      <c r="H715" s="8"/>
      <c r="I715" s="8"/>
      <c r="J715" s="8"/>
      <c r="K715" s="8"/>
    </row>
    <row r="716" spans="1:11" ht="15.75" customHeight="1" x14ac:dyDescent="0.25">
      <c r="A716" s="40"/>
      <c r="B716" s="9"/>
      <c r="C716" s="9"/>
      <c r="D716" s="9"/>
      <c r="E716" s="9"/>
      <c r="F716" s="9"/>
      <c r="G716" s="9"/>
      <c r="H716" s="8"/>
      <c r="I716" s="8"/>
      <c r="J716" s="8"/>
      <c r="K716" s="8"/>
    </row>
    <row r="717" spans="1:11" ht="15.75" customHeight="1" x14ac:dyDescent="0.25">
      <c r="A717" s="40"/>
      <c r="B717" s="9"/>
      <c r="C717" s="9"/>
      <c r="D717" s="9"/>
      <c r="E717" s="9"/>
      <c r="F717" s="9"/>
      <c r="G717" s="9"/>
      <c r="H717" s="8"/>
      <c r="I717" s="8"/>
      <c r="J717" s="8"/>
      <c r="K717" s="8"/>
    </row>
    <row r="718" spans="1:11" ht="15.75" customHeight="1" x14ac:dyDescent="0.25">
      <c r="A718" s="40"/>
      <c r="B718" s="9"/>
      <c r="C718" s="9"/>
      <c r="D718" s="9"/>
      <c r="E718" s="9"/>
      <c r="F718" s="9"/>
      <c r="G718" s="9"/>
      <c r="H718" s="8"/>
      <c r="I718" s="8"/>
      <c r="J718" s="8"/>
      <c r="K718" s="8"/>
    </row>
    <row r="719" spans="1:11" ht="15.75" customHeight="1" x14ac:dyDescent="0.25">
      <c r="A719" s="40"/>
      <c r="B719" s="9"/>
      <c r="C719" s="9"/>
      <c r="D719" s="9"/>
      <c r="E719" s="9"/>
      <c r="F719" s="9"/>
      <c r="G719" s="9"/>
      <c r="H719" s="8"/>
      <c r="I719" s="8"/>
      <c r="J719" s="8"/>
      <c r="K719" s="8"/>
    </row>
    <row r="720" spans="1:11" ht="15.75" customHeight="1" x14ac:dyDescent="0.25">
      <c r="A720" s="40"/>
      <c r="B720" s="9"/>
      <c r="C720" s="9"/>
      <c r="D720" s="9"/>
      <c r="E720" s="9"/>
      <c r="F720" s="9"/>
      <c r="G720" s="9"/>
      <c r="H720" s="8"/>
      <c r="I720" s="8"/>
      <c r="J720" s="8"/>
      <c r="K720" s="8"/>
    </row>
    <row r="721" spans="1:11" ht="15.75" customHeight="1" x14ac:dyDescent="0.25">
      <c r="A721" s="40"/>
      <c r="B721" s="9"/>
      <c r="C721" s="9"/>
      <c r="D721" s="9"/>
      <c r="E721" s="9"/>
      <c r="F721" s="9"/>
      <c r="G721" s="9"/>
      <c r="H721" s="8"/>
      <c r="I721" s="8"/>
      <c r="J721" s="8"/>
      <c r="K721" s="8"/>
    </row>
    <row r="722" spans="1:11" ht="15.75" customHeight="1" x14ac:dyDescent="0.25">
      <c r="A722" s="40"/>
      <c r="B722" s="9"/>
      <c r="C722" s="9"/>
      <c r="D722" s="9"/>
      <c r="E722" s="9"/>
      <c r="F722" s="9"/>
      <c r="G722" s="9"/>
      <c r="H722" s="8"/>
      <c r="I722" s="8"/>
      <c r="J722" s="8"/>
      <c r="K722" s="8"/>
    </row>
    <row r="723" spans="1:11" ht="15.75" customHeight="1" x14ac:dyDescent="0.25">
      <c r="A723" s="40"/>
      <c r="B723" s="9"/>
      <c r="C723" s="9"/>
      <c r="D723" s="9"/>
      <c r="E723" s="9"/>
      <c r="F723" s="9"/>
      <c r="G723" s="9"/>
      <c r="H723" s="8"/>
      <c r="I723" s="8"/>
      <c r="J723" s="8"/>
      <c r="K723" s="8"/>
    </row>
    <row r="724" spans="1:11" ht="15.75" customHeight="1" x14ac:dyDescent="0.25">
      <c r="A724" s="40"/>
      <c r="B724" s="9"/>
      <c r="C724" s="9"/>
      <c r="D724" s="9"/>
      <c r="E724" s="9"/>
      <c r="F724" s="9"/>
      <c r="G724" s="9"/>
      <c r="H724" s="8"/>
      <c r="I724" s="8"/>
      <c r="J724" s="8"/>
      <c r="K724" s="8"/>
    </row>
    <row r="725" spans="1:11" ht="15.75" customHeight="1" x14ac:dyDescent="0.25">
      <c r="A725" s="40"/>
      <c r="B725" s="9"/>
      <c r="C725" s="9"/>
      <c r="D725" s="9"/>
      <c r="E725" s="9"/>
      <c r="F725" s="9"/>
      <c r="G725" s="9"/>
      <c r="H725" s="8"/>
      <c r="I725" s="8"/>
      <c r="J725" s="8"/>
      <c r="K725" s="8"/>
    </row>
    <row r="726" spans="1:11" ht="15.75" customHeight="1" x14ac:dyDescent="0.25">
      <c r="A726" s="40"/>
      <c r="B726" s="9"/>
      <c r="C726" s="9"/>
      <c r="D726" s="9"/>
      <c r="E726" s="9"/>
      <c r="F726" s="9"/>
      <c r="G726" s="9"/>
      <c r="H726" s="8"/>
      <c r="I726" s="8"/>
      <c r="J726" s="8"/>
      <c r="K726" s="8"/>
    </row>
    <row r="727" spans="1:11" ht="15.75" customHeight="1" x14ac:dyDescent="0.25">
      <c r="A727" s="40"/>
      <c r="B727" s="9"/>
      <c r="C727" s="9"/>
      <c r="D727" s="9"/>
      <c r="E727" s="9"/>
      <c r="F727" s="9"/>
      <c r="G727" s="9"/>
      <c r="H727" s="8"/>
      <c r="I727" s="8"/>
      <c r="J727" s="8"/>
      <c r="K727" s="8"/>
    </row>
    <row r="728" spans="1:11" ht="15.75" customHeight="1" x14ac:dyDescent="0.25">
      <c r="A728" s="40"/>
      <c r="B728" s="9"/>
      <c r="C728" s="9"/>
      <c r="D728" s="9"/>
      <c r="E728" s="9"/>
      <c r="F728" s="9"/>
      <c r="G728" s="9"/>
      <c r="H728" s="8"/>
      <c r="I728" s="8"/>
      <c r="J728" s="8"/>
      <c r="K728" s="8"/>
    </row>
    <row r="729" spans="1:11" ht="15.75" customHeight="1" x14ac:dyDescent="0.25">
      <c r="A729" s="40"/>
      <c r="B729" s="9"/>
      <c r="C729" s="9"/>
      <c r="D729" s="9"/>
      <c r="E729" s="9"/>
      <c r="F729" s="9"/>
      <c r="G729" s="9"/>
      <c r="H729" s="8"/>
      <c r="I729" s="8"/>
      <c r="J729" s="8"/>
      <c r="K729" s="8"/>
    </row>
    <row r="730" spans="1:11" ht="15.75" customHeight="1" x14ac:dyDescent="0.25">
      <c r="A730" s="40"/>
      <c r="B730" s="9"/>
      <c r="C730" s="9"/>
      <c r="D730" s="9"/>
      <c r="E730" s="9"/>
      <c r="F730" s="9"/>
      <c r="G730" s="9"/>
      <c r="H730" s="8"/>
      <c r="I730" s="8"/>
      <c r="J730" s="8"/>
      <c r="K730" s="8"/>
    </row>
    <row r="731" spans="1:11" ht="15.75" customHeight="1" x14ac:dyDescent="0.25">
      <c r="A731" s="40"/>
      <c r="B731" s="9"/>
      <c r="C731" s="9"/>
      <c r="D731" s="9"/>
      <c r="E731" s="9"/>
      <c r="F731" s="9"/>
      <c r="G731" s="9"/>
      <c r="H731" s="8"/>
      <c r="I731" s="8"/>
      <c r="J731" s="8"/>
      <c r="K731" s="8"/>
    </row>
    <row r="732" spans="1:11" ht="15.75" customHeight="1" x14ac:dyDescent="0.25">
      <c r="A732" s="40"/>
      <c r="B732" s="9"/>
      <c r="C732" s="9"/>
      <c r="D732" s="9"/>
      <c r="E732" s="9"/>
      <c r="F732" s="9"/>
      <c r="G732" s="9"/>
      <c r="H732" s="8"/>
      <c r="I732" s="8"/>
      <c r="J732" s="8"/>
      <c r="K732" s="8"/>
    </row>
    <row r="733" spans="1:11" ht="15.75" customHeight="1" x14ac:dyDescent="0.25">
      <c r="A733" s="40"/>
      <c r="B733" s="9"/>
      <c r="C733" s="9"/>
      <c r="D733" s="9"/>
      <c r="E733" s="9"/>
      <c r="F733" s="9"/>
      <c r="G733" s="9"/>
      <c r="H733" s="8"/>
      <c r="I733" s="8"/>
      <c r="J733" s="8"/>
      <c r="K733" s="8"/>
    </row>
    <row r="734" spans="1:11" ht="15.75" customHeight="1" x14ac:dyDescent="0.25">
      <c r="A734" s="40"/>
      <c r="B734" s="9"/>
      <c r="C734" s="9"/>
      <c r="D734" s="9"/>
      <c r="E734" s="9"/>
      <c r="F734" s="9"/>
      <c r="G734" s="9"/>
      <c r="H734" s="8"/>
      <c r="I734" s="8"/>
      <c r="J734" s="8"/>
      <c r="K734" s="8"/>
    </row>
    <row r="735" spans="1:11" ht="15.75" customHeight="1" x14ac:dyDescent="0.25">
      <c r="A735" s="40"/>
      <c r="B735" s="9"/>
      <c r="C735" s="9"/>
      <c r="D735" s="9"/>
      <c r="E735" s="9"/>
      <c r="F735" s="9"/>
      <c r="G735" s="9"/>
      <c r="H735" s="8"/>
      <c r="I735" s="8"/>
      <c r="J735" s="8"/>
      <c r="K735" s="8"/>
    </row>
    <row r="736" spans="1:11" ht="15.75" customHeight="1" x14ac:dyDescent="0.25">
      <c r="A736" s="40"/>
      <c r="B736" s="9"/>
      <c r="C736" s="9"/>
      <c r="D736" s="9"/>
      <c r="E736" s="9"/>
      <c r="F736" s="9"/>
      <c r="G736" s="9"/>
      <c r="H736" s="8"/>
      <c r="I736" s="8"/>
      <c r="J736" s="8"/>
      <c r="K736" s="8"/>
    </row>
    <row r="737" spans="1:11" ht="15.75" customHeight="1" x14ac:dyDescent="0.25">
      <c r="A737" s="40"/>
      <c r="B737" s="9"/>
      <c r="C737" s="9"/>
      <c r="D737" s="9"/>
      <c r="E737" s="9"/>
      <c r="F737" s="9"/>
      <c r="G737" s="9"/>
      <c r="H737" s="8"/>
      <c r="I737" s="8"/>
      <c r="J737" s="8"/>
      <c r="K737" s="8"/>
    </row>
    <row r="738" spans="1:11" ht="15.75" customHeight="1" x14ac:dyDescent="0.25">
      <c r="A738" s="40"/>
      <c r="B738" s="9"/>
      <c r="C738" s="9"/>
      <c r="D738" s="9"/>
      <c r="E738" s="9"/>
      <c r="F738" s="9"/>
      <c r="G738" s="9"/>
      <c r="H738" s="8"/>
      <c r="I738" s="8"/>
      <c r="J738" s="8"/>
      <c r="K738" s="8"/>
    </row>
    <row r="739" spans="1:11" ht="15.75" customHeight="1" x14ac:dyDescent="0.25">
      <c r="A739" s="40"/>
      <c r="B739" s="9"/>
      <c r="C739" s="9"/>
      <c r="D739" s="9"/>
      <c r="E739" s="9"/>
      <c r="F739" s="9"/>
      <c r="G739" s="9"/>
      <c r="H739" s="8"/>
      <c r="I739" s="8"/>
      <c r="J739" s="8"/>
      <c r="K739" s="8"/>
    </row>
    <row r="740" spans="1:11" ht="15.75" customHeight="1" x14ac:dyDescent="0.25">
      <c r="A740" s="40"/>
      <c r="B740" s="9"/>
      <c r="C740" s="9"/>
      <c r="D740" s="9"/>
      <c r="E740" s="9"/>
      <c r="F740" s="9"/>
      <c r="G740" s="9"/>
      <c r="H740" s="8"/>
      <c r="I740" s="8"/>
      <c r="J740" s="8"/>
      <c r="K740" s="8"/>
    </row>
    <row r="741" spans="1:11" ht="15.75" customHeight="1" x14ac:dyDescent="0.25">
      <c r="A741" s="40"/>
      <c r="B741" s="9"/>
      <c r="C741" s="9"/>
      <c r="D741" s="9"/>
      <c r="E741" s="9"/>
      <c r="F741" s="9"/>
      <c r="G741" s="9"/>
      <c r="H741" s="8"/>
      <c r="I741" s="8"/>
      <c r="J741" s="8"/>
      <c r="K741" s="8"/>
    </row>
    <row r="742" spans="1:11" ht="15.75" customHeight="1" x14ac:dyDescent="0.25">
      <c r="A742" s="40"/>
      <c r="B742" s="9"/>
      <c r="C742" s="9"/>
      <c r="D742" s="9"/>
      <c r="E742" s="9"/>
      <c r="F742" s="9"/>
      <c r="G742" s="9"/>
      <c r="H742" s="8"/>
      <c r="I742" s="8"/>
      <c r="J742" s="8"/>
      <c r="K742" s="8"/>
    </row>
    <row r="743" spans="1:11" ht="15.75" customHeight="1" x14ac:dyDescent="0.25">
      <c r="A743" s="40"/>
      <c r="B743" s="9"/>
      <c r="C743" s="9"/>
      <c r="D743" s="9"/>
      <c r="E743" s="9"/>
      <c r="F743" s="9"/>
      <c r="G743" s="9"/>
      <c r="H743" s="8"/>
      <c r="I743" s="8"/>
      <c r="J743" s="8"/>
      <c r="K743" s="8"/>
    </row>
    <row r="744" spans="1:11" ht="15.75" customHeight="1" x14ac:dyDescent="0.25">
      <c r="A744" s="40"/>
      <c r="B744" s="9"/>
      <c r="C744" s="9"/>
      <c r="D744" s="9"/>
      <c r="E744" s="9"/>
      <c r="F744" s="9"/>
      <c r="G744" s="9"/>
      <c r="H744" s="8"/>
      <c r="I744" s="8"/>
      <c r="J744" s="8"/>
      <c r="K744" s="8"/>
    </row>
    <row r="745" spans="1:11" ht="15.75" customHeight="1" x14ac:dyDescent="0.25">
      <c r="A745" s="40"/>
      <c r="B745" s="9"/>
      <c r="C745" s="9"/>
      <c r="D745" s="9"/>
      <c r="E745" s="9"/>
      <c r="F745" s="9"/>
      <c r="G745" s="9"/>
      <c r="H745" s="8"/>
      <c r="I745" s="8"/>
      <c r="J745" s="8"/>
      <c r="K745" s="8"/>
    </row>
    <row r="746" spans="1:11" ht="15.75" customHeight="1" x14ac:dyDescent="0.25">
      <c r="A746" s="40"/>
      <c r="B746" s="9"/>
      <c r="C746" s="9"/>
      <c r="D746" s="9"/>
      <c r="E746" s="9"/>
      <c r="F746" s="9"/>
      <c r="G746" s="9"/>
      <c r="H746" s="8"/>
      <c r="I746" s="8"/>
      <c r="J746" s="8"/>
      <c r="K746" s="8"/>
    </row>
    <row r="747" spans="1:11" ht="15.75" customHeight="1" x14ac:dyDescent="0.25">
      <c r="A747" s="40"/>
      <c r="B747" s="9"/>
      <c r="C747" s="9"/>
      <c r="D747" s="9"/>
      <c r="E747" s="9"/>
      <c r="F747" s="9"/>
      <c r="G747" s="9"/>
      <c r="H747" s="8"/>
      <c r="I747" s="8"/>
      <c r="J747" s="8"/>
      <c r="K747" s="8"/>
    </row>
    <row r="748" spans="1:11" ht="15.75" customHeight="1" x14ac:dyDescent="0.25">
      <c r="A748" s="40"/>
      <c r="B748" s="9"/>
      <c r="C748" s="9"/>
      <c r="D748" s="9"/>
      <c r="E748" s="9"/>
      <c r="F748" s="9"/>
      <c r="G748" s="9"/>
      <c r="H748" s="8"/>
      <c r="I748" s="8"/>
      <c r="J748" s="8"/>
      <c r="K748" s="8"/>
    </row>
    <row r="749" spans="1:11" ht="15.75" customHeight="1" x14ac:dyDescent="0.25">
      <c r="A749" s="40"/>
      <c r="B749" s="9"/>
      <c r="C749" s="9"/>
      <c r="D749" s="9"/>
      <c r="E749" s="9"/>
      <c r="F749" s="9"/>
      <c r="G749" s="9"/>
      <c r="H749" s="8"/>
      <c r="I749" s="8"/>
      <c r="J749" s="8"/>
      <c r="K749" s="8"/>
    </row>
    <row r="750" spans="1:11" ht="15.75" customHeight="1" x14ac:dyDescent="0.25">
      <c r="A750" s="40"/>
      <c r="B750" s="9"/>
      <c r="C750" s="9"/>
      <c r="D750" s="9"/>
      <c r="E750" s="9"/>
      <c r="F750" s="9"/>
      <c r="G750" s="9"/>
      <c r="H750" s="8"/>
      <c r="I750" s="8"/>
      <c r="J750" s="8"/>
      <c r="K750" s="8"/>
    </row>
    <row r="751" spans="1:11" ht="15.75" customHeight="1" x14ac:dyDescent="0.25">
      <c r="A751" s="40"/>
      <c r="B751" s="9"/>
      <c r="C751" s="9"/>
      <c r="D751" s="9"/>
      <c r="E751" s="9"/>
      <c r="F751" s="9"/>
      <c r="G751" s="9"/>
      <c r="H751" s="8"/>
      <c r="I751" s="8"/>
      <c r="J751" s="8"/>
      <c r="K751" s="8"/>
    </row>
    <row r="752" spans="1:11" ht="15.75" customHeight="1" x14ac:dyDescent="0.25">
      <c r="A752" s="40"/>
      <c r="B752" s="9"/>
      <c r="C752" s="9"/>
      <c r="D752" s="9"/>
      <c r="E752" s="9"/>
      <c r="F752" s="9"/>
      <c r="G752" s="9"/>
      <c r="H752" s="8"/>
      <c r="I752" s="8"/>
      <c r="J752" s="8"/>
      <c r="K752" s="8"/>
    </row>
    <row r="753" spans="1:11" ht="15.75" customHeight="1" x14ac:dyDescent="0.25">
      <c r="A753" s="40"/>
      <c r="B753" s="9"/>
      <c r="C753" s="9"/>
      <c r="D753" s="9"/>
      <c r="E753" s="9"/>
      <c r="F753" s="9"/>
      <c r="G753" s="9"/>
      <c r="H753" s="8"/>
      <c r="I753" s="8"/>
      <c r="J753" s="8"/>
      <c r="K753" s="8"/>
    </row>
    <row r="754" spans="1:11" ht="15.75" customHeight="1" x14ac:dyDescent="0.25">
      <c r="A754" s="40"/>
      <c r="B754" s="9"/>
      <c r="C754" s="9"/>
      <c r="D754" s="9"/>
      <c r="E754" s="9"/>
      <c r="F754" s="9"/>
      <c r="G754" s="9"/>
      <c r="H754" s="8"/>
      <c r="I754" s="8"/>
      <c r="J754" s="8"/>
      <c r="K754" s="8"/>
    </row>
    <row r="755" spans="1:11" ht="15.75" customHeight="1" x14ac:dyDescent="0.25">
      <c r="A755" s="40"/>
      <c r="B755" s="9"/>
      <c r="C755" s="9"/>
      <c r="D755" s="9"/>
      <c r="E755" s="9"/>
      <c r="F755" s="9"/>
      <c r="G755" s="9"/>
      <c r="H755" s="8"/>
      <c r="I755" s="8"/>
      <c r="J755" s="8"/>
      <c r="K755" s="8"/>
    </row>
    <row r="756" spans="1:11" ht="15.75" customHeight="1" x14ac:dyDescent="0.25">
      <c r="A756" s="40"/>
      <c r="B756" s="9"/>
      <c r="C756" s="9"/>
      <c r="D756" s="9"/>
      <c r="E756" s="9"/>
      <c r="F756" s="9"/>
      <c r="G756" s="9"/>
      <c r="H756" s="8"/>
      <c r="I756" s="8"/>
      <c r="J756" s="8"/>
      <c r="K756" s="8"/>
    </row>
    <row r="757" spans="1:11" ht="15.75" customHeight="1" x14ac:dyDescent="0.25">
      <c r="A757" s="40"/>
      <c r="B757" s="9"/>
      <c r="C757" s="9"/>
      <c r="D757" s="9"/>
      <c r="E757" s="9"/>
      <c r="F757" s="9"/>
      <c r="G757" s="9"/>
      <c r="H757" s="8"/>
      <c r="I757" s="8"/>
      <c r="J757" s="8"/>
      <c r="K757" s="8"/>
    </row>
    <row r="758" spans="1:11" ht="15.75" customHeight="1" x14ac:dyDescent="0.25">
      <c r="A758" s="40"/>
      <c r="B758" s="9"/>
      <c r="C758" s="9"/>
      <c r="D758" s="9"/>
      <c r="E758" s="9"/>
      <c r="F758" s="9"/>
      <c r="G758" s="9"/>
      <c r="H758" s="8"/>
      <c r="I758" s="8"/>
      <c r="J758" s="8"/>
      <c r="K758" s="8"/>
    </row>
    <row r="759" spans="1:11" ht="15.75" customHeight="1" x14ac:dyDescent="0.25">
      <c r="A759" s="40"/>
      <c r="B759" s="9"/>
      <c r="C759" s="9"/>
      <c r="D759" s="9"/>
      <c r="E759" s="9"/>
      <c r="F759" s="9"/>
      <c r="G759" s="9"/>
      <c r="H759" s="8"/>
      <c r="I759" s="8"/>
      <c r="J759" s="8"/>
      <c r="K759" s="8"/>
    </row>
    <row r="760" spans="1:11" ht="15.75" customHeight="1" x14ac:dyDescent="0.25">
      <c r="A760" s="40"/>
      <c r="B760" s="9"/>
      <c r="C760" s="9"/>
      <c r="D760" s="9"/>
      <c r="E760" s="9"/>
      <c r="F760" s="9"/>
      <c r="G760" s="9"/>
      <c r="H760" s="8"/>
      <c r="I760" s="8"/>
      <c r="J760" s="8"/>
      <c r="K760" s="8"/>
    </row>
    <row r="761" spans="1:11" ht="15.75" customHeight="1" x14ac:dyDescent="0.25">
      <c r="A761" s="40"/>
      <c r="B761" s="9"/>
      <c r="C761" s="9"/>
      <c r="D761" s="9"/>
      <c r="E761" s="9"/>
      <c r="F761" s="9"/>
      <c r="G761" s="9"/>
      <c r="H761" s="8"/>
      <c r="I761" s="8"/>
      <c r="J761" s="8"/>
      <c r="K761" s="8"/>
    </row>
    <row r="762" spans="1:11" ht="15.75" customHeight="1" x14ac:dyDescent="0.25">
      <c r="A762" s="40"/>
      <c r="B762" s="9"/>
      <c r="C762" s="9"/>
      <c r="D762" s="9"/>
      <c r="E762" s="9"/>
      <c r="F762" s="9"/>
      <c r="G762" s="9"/>
      <c r="H762" s="8"/>
      <c r="I762" s="8"/>
      <c r="J762" s="8"/>
      <c r="K762" s="8"/>
    </row>
    <row r="763" spans="1:11" ht="15.75" customHeight="1" x14ac:dyDescent="0.25">
      <c r="A763" s="40"/>
      <c r="B763" s="9"/>
      <c r="C763" s="9"/>
      <c r="D763" s="9"/>
      <c r="E763" s="9"/>
      <c r="F763" s="9"/>
      <c r="G763" s="9"/>
      <c r="H763" s="8"/>
      <c r="I763" s="8"/>
      <c r="J763" s="8"/>
      <c r="K763" s="8"/>
    </row>
    <row r="764" spans="1:11" ht="15.75" customHeight="1" x14ac:dyDescent="0.25">
      <c r="A764" s="40"/>
      <c r="B764" s="9"/>
      <c r="C764" s="9"/>
      <c r="D764" s="9"/>
      <c r="E764" s="9"/>
      <c r="F764" s="9"/>
      <c r="G764" s="9"/>
      <c r="H764" s="8"/>
      <c r="I764" s="8"/>
      <c r="J764" s="8"/>
      <c r="K764" s="8"/>
    </row>
    <row r="765" spans="1:11" ht="15.75" customHeight="1" x14ac:dyDescent="0.25">
      <c r="A765" s="40"/>
      <c r="B765" s="9"/>
      <c r="C765" s="9"/>
      <c r="D765" s="9"/>
      <c r="E765" s="9"/>
      <c r="F765" s="9"/>
      <c r="G765" s="9"/>
      <c r="H765" s="8"/>
      <c r="I765" s="8"/>
      <c r="J765" s="8"/>
      <c r="K765" s="8"/>
    </row>
    <row r="766" spans="1:11" ht="15.75" customHeight="1" x14ac:dyDescent="0.25">
      <c r="A766" s="40"/>
      <c r="B766" s="9"/>
      <c r="C766" s="9"/>
      <c r="D766" s="9"/>
      <c r="E766" s="9"/>
      <c r="F766" s="9"/>
      <c r="G766" s="9"/>
      <c r="H766" s="8"/>
      <c r="I766" s="8"/>
      <c r="J766" s="8"/>
      <c r="K766" s="8"/>
    </row>
    <row r="767" spans="1:11" ht="15.75" customHeight="1" x14ac:dyDescent="0.25">
      <c r="A767" s="40"/>
      <c r="B767" s="9"/>
      <c r="C767" s="9"/>
      <c r="D767" s="9"/>
      <c r="E767" s="9"/>
      <c r="F767" s="9"/>
      <c r="G767" s="9"/>
      <c r="H767" s="8"/>
      <c r="I767" s="8"/>
      <c r="J767" s="8"/>
      <c r="K767" s="8"/>
    </row>
    <row r="768" spans="1:11" ht="15.75" customHeight="1" x14ac:dyDescent="0.25">
      <c r="A768" s="40"/>
      <c r="B768" s="9"/>
      <c r="C768" s="9"/>
      <c r="D768" s="9"/>
      <c r="E768" s="9"/>
      <c r="F768" s="9"/>
      <c r="G768" s="9"/>
      <c r="H768" s="8"/>
      <c r="I768" s="8"/>
      <c r="J768" s="8"/>
      <c r="K768" s="8"/>
    </row>
    <row r="769" spans="1:11" ht="15.75" customHeight="1" x14ac:dyDescent="0.25">
      <c r="A769" s="40"/>
      <c r="B769" s="9"/>
      <c r="C769" s="9"/>
      <c r="D769" s="9"/>
      <c r="E769" s="9"/>
      <c r="F769" s="9"/>
      <c r="G769" s="9"/>
      <c r="H769" s="8"/>
      <c r="I769" s="8"/>
      <c r="J769" s="8"/>
      <c r="K769" s="8"/>
    </row>
    <row r="770" spans="1:11" ht="15.75" customHeight="1" x14ac:dyDescent="0.25">
      <c r="A770" s="40"/>
      <c r="B770" s="9"/>
      <c r="C770" s="9"/>
      <c r="D770" s="9"/>
      <c r="E770" s="9"/>
      <c r="F770" s="9"/>
      <c r="G770" s="9"/>
      <c r="H770" s="8"/>
      <c r="I770" s="8"/>
      <c r="J770" s="8"/>
      <c r="K770" s="8"/>
    </row>
    <row r="771" spans="1:11" ht="15.75" customHeight="1" x14ac:dyDescent="0.25">
      <c r="A771" s="40"/>
      <c r="B771" s="9"/>
      <c r="C771" s="9"/>
      <c r="D771" s="9"/>
      <c r="E771" s="9"/>
      <c r="F771" s="9"/>
      <c r="G771" s="9"/>
      <c r="H771" s="8"/>
      <c r="I771" s="8"/>
      <c r="J771" s="8"/>
      <c r="K771" s="8"/>
    </row>
    <row r="772" spans="1:11" ht="15.75" customHeight="1" x14ac:dyDescent="0.25">
      <c r="A772" s="40"/>
      <c r="B772" s="9"/>
      <c r="C772" s="9"/>
      <c r="D772" s="9"/>
      <c r="E772" s="9"/>
      <c r="F772" s="9"/>
      <c r="G772" s="9"/>
      <c r="H772" s="8"/>
      <c r="I772" s="8"/>
      <c r="J772" s="8"/>
      <c r="K772" s="8"/>
    </row>
    <row r="773" spans="1:11" ht="15.75" customHeight="1" x14ac:dyDescent="0.25">
      <c r="A773" s="40"/>
      <c r="B773" s="9"/>
      <c r="C773" s="9"/>
      <c r="D773" s="9"/>
      <c r="E773" s="9"/>
      <c r="F773" s="9"/>
      <c r="G773" s="9"/>
      <c r="H773" s="8"/>
      <c r="I773" s="8"/>
      <c r="J773" s="8"/>
      <c r="K773" s="8"/>
    </row>
    <row r="774" spans="1:11" ht="15.75" customHeight="1" x14ac:dyDescent="0.25">
      <c r="A774" s="40"/>
      <c r="B774" s="9"/>
      <c r="C774" s="9"/>
      <c r="D774" s="9"/>
      <c r="E774" s="9"/>
      <c r="F774" s="9"/>
      <c r="G774" s="9"/>
      <c r="H774" s="8"/>
      <c r="I774" s="8"/>
      <c r="J774" s="8"/>
      <c r="K774" s="8"/>
    </row>
    <row r="775" spans="1:11" ht="15.75" customHeight="1" x14ac:dyDescent="0.25">
      <c r="A775" s="40"/>
      <c r="B775" s="9"/>
      <c r="C775" s="9"/>
      <c r="D775" s="9"/>
      <c r="E775" s="9"/>
      <c r="F775" s="9"/>
      <c r="G775" s="9"/>
      <c r="H775" s="8"/>
      <c r="I775" s="8"/>
      <c r="J775" s="8"/>
      <c r="K775" s="8"/>
    </row>
    <row r="776" spans="1:11" ht="15.75" customHeight="1" x14ac:dyDescent="0.25">
      <c r="A776" s="40"/>
      <c r="B776" s="9"/>
      <c r="C776" s="9"/>
      <c r="D776" s="9"/>
      <c r="E776" s="9"/>
      <c r="F776" s="9"/>
      <c r="G776" s="9"/>
      <c r="H776" s="8"/>
      <c r="I776" s="8"/>
      <c r="J776" s="8"/>
      <c r="K776" s="8"/>
    </row>
    <row r="777" spans="1:11" ht="15.75" customHeight="1" x14ac:dyDescent="0.25">
      <c r="A777" s="40"/>
      <c r="B777" s="9"/>
      <c r="C777" s="9"/>
      <c r="D777" s="9"/>
      <c r="E777" s="9"/>
      <c r="F777" s="9"/>
      <c r="G777" s="9"/>
      <c r="H777" s="8"/>
      <c r="I777" s="8"/>
      <c r="J777" s="8"/>
      <c r="K777" s="8"/>
    </row>
    <row r="778" spans="1:11" ht="15.75" customHeight="1" x14ac:dyDescent="0.25">
      <c r="A778" s="40"/>
      <c r="B778" s="9"/>
      <c r="C778" s="9"/>
      <c r="D778" s="9"/>
      <c r="E778" s="9"/>
      <c r="F778" s="9"/>
      <c r="G778" s="9"/>
      <c r="H778" s="8"/>
      <c r="I778" s="8"/>
      <c r="J778" s="8"/>
      <c r="K778" s="8"/>
    </row>
    <row r="779" spans="1:11" ht="15.75" customHeight="1" x14ac:dyDescent="0.25">
      <c r="A779" s="40"/>
      <c r="B779" s="9"/>
      <c r="C779" s="9"/>
      <c r="D779" s="9"/>
      <c r="E779" s="9"/>
      <c r="F779" s="9"/>
      <c r="G779" s="9"/>
      <c r="H779" s="8"/>
      <c r="I779" s="8"/>
      <c r="J779" s="8"/>
      <c r="K779" s="8"/>
    </row>
    <row r="780" spans="1:11" ht="15.75" customHeight="1" x14ac:dyDescent="0.25">
      <c r="A780" s="40"/>
      <c r="B780" s="9"/>
      <c r="C780" s="9"/>
      <c r="D780" s="9"/>
      <c r="E780" s="9"/>
      <c r="F780" s="9"/>
      <c r="G780" s="9"/>
      <c r="H780" s="8"/>
      <c r="I780" s="8"/>
      <c r="J780" s="8"/>
      <c r="K780" s="8"/>
    </row>
    <row r="781" spans="1:11" ht="15.75" customHeight="1" x14ac:dyDescent="0.25">
      <c r="A781" s="40"/>
      <c r="B781" s="9"/>
      <c r="C781" s="9"/>
      <c r="D781" s="9"/>
      <c r="E781" s="9"/>
      <c r="F781" s="9"/>
      <c r="G781" s="9"/>
      <c r="H781" s="8"/>
      <c r="I781" s="8"/>
      <c r="J781" s="8"/>
      <c r="K781" s="8"/>
    </row>
    <row r="782" spans="1:11" ht="15.75" customHeight="1" x14ac:dyDescent="0.25">
      <c r="A782" s="40"/>
      <c r="B782" s="9"/>
      <c r="C782" s="9"/>
      <c r="D782" s="9"/>
      <c r="E782" s="9"/>
      <c r="F782" s="9"/>
      <c r="G782" s="9"/>
      <c r="H782" s="8"/>
      <c r="I782" s="8"/>
      <c r="J782" s="8"/>
      <c r="K782" s="8"/>
    </row>
    <row r="783" spans="1:11" ht="15.75" customHeight="1" x14ac:dyDescent="0.25">
      <c r="A783" s="40"/>
      <c r="B783" s="9"/>
      <c r="C783" s="9"/>
      <c r="D783" s="9"/>
      <c r="E783" s="9"/>
      <c r="F783" s="9"/>
      <c r="G783" s="9"/>
      <c r="H783" s="8"/>
      <c r="I783" s="8"/>
      <c r="J783" s="8"/>
      <c r="K783" s="8"/>
    </row>
    <row r="784" spans="1:11" ht="15.75" customHeight="1" x14ac:dyDescent="0.25">
      <c r="A784" s="40"/>
      <c r="B784" s="9"/>
      <c r="C784" s="9"/>
      <c r="D784" s="9"/>
      <c r="E784" s="9"/>
      <c r="F784" s="9"/>
      <c r="G784" s="9"/>
      <c r="H784" s="8"/>
      <c r="I784" s="8"/>
      <c r="J784" s="8"/>
      <c r="K784" s="8"/>
    </row>
    <row r="785" spans="1:11" ht="15.75" customHeight="1" x14ac:dyDescent="0.25">
      <c r="A785" s="40"/>
      <c r="B785" s="9"/>
      <c r="C785" s="9"/>
      <c r="D785" s="9"/>
      <c r="E785" s="9"/>
      <c r="F785" s="9"/>
      <c r="G785" s="9"/>
      <c r="H785" s="8"/>
      <c r="I785" s="8"/>
      <c r="J785" s="8"/>
      <c r="K785" s="8"/>
    </row>
    <row r="786" spans="1:11" ht="15.75" customHeight="1" x14ac:dyDescent="0.25">
      <c r="A786" s="40"/>
      <c r="B786" s="9"/>
      <c r="C786" s="9"/>
      <c r="D786" s="9"/>
      <c r="E786" s="9"/>
      <c r="F786" s="9"/>
      <c r="G786" s="9"/>
      <c r="H786" s="8"/>
      <c r="I786" s="8"/>
      <c r="J786" s="8"/>
      <c r="K786" s="8"/>
    </row>
    <row r="787" spans="1:11" ht="15.75" customHeight="1" x14ac:dyDescent="0.25">
      <c r="A787" s="40"/>
      <c r="B787" s="9"/>
      <c r="C787" s="9"/>
      <c r="D787" s="9"/>
      <c r="E787" s="9"/>
      <c r="F787" s="9"/>
      <c r="G787" s="9"/>
      <c r="H787" s="8"/>
      <c r="I787" s="8"/>
      <c r="J787" s="8"/>
      <c r="K787" s="8"/>
    </row>
    <row r="788" spans="1:11" ht="15.75" customHeight="1" x14ac:dyDescent="0.25">
      <c r="A788" s="40"/>
      <c r="B788" s="9"/>
      <c r="C788" s="9"/>
      <c r="D788" s="9"/>
      <c r="E788" s="9"/>
      <c r="F788" s="9"/>
      <c r="G788" s="9"/>
      <c r="H788" s="8"/>
      <c r="I788" s="8"/>
      <c r="J788" s="8"/>
      <c r="K788" s="8"/>
    </row>
    <row r="789" spans="1:11" ht="15.75" customHeight="1" x14ac:dyDescent="0.25">
      <c r="A789" s="40"/>
      <c r="B789" s="9"/>
      <c r="C789" s="9"/>
      <c r="D789" s="9"/>
      <c r="E789" s="9"/>
      <c r="F789" s="9"/>
      <c r="G789" s="9"/>
      <c r="H789" s="8"/>
      <c r="I789" s="8"/>
      <c r="J789" s="8"/>
      <c r="K789" s="8"/>
    </row>
    <row r="790" spans="1:11" ht="15.75" customHeight="1" x14ac:dyDescent="0.25">
      <c r="A790" s="40"/>
      <c r="B790" s="9"/>
      <c r="C790" s="9"/>
      <c r="D790" s="9"/>
      <c r="E790" s="9"/>
      <c r="F790" s="9"/>
      <c r="G790" s="9"/>
      <c r="H790" s="8"/>
      <c r="I790" s="8"/>
      <c r="J790" s="8"/>
      <c r="K790" s="8"/>
    </row>
    <row r="791" spans="1:11" ht="15.75" customHeight="1" x14ac:dyDescent="0.25">
      <c r="A791" s="40"/>
      <c r="B791" s="9"/>
      <c r="C791" s="9"/>
      <c r="D791" s="9"/>
      <c r="E791" s="9"/>
      <c r="F791" s="9"/>
      <c r="G791" s="9"/>
      <c r="H791" s="8"/>
      <c r="I791" s="8"/>
      <c r="J791" s="8"/>
      <c r="K791" s="8"/>
    </row>
    <row r="792" spans="1:11" ht="15.75" customHeight="1" x14ac:dyDescent="0.25">
      <c r="A792" s="40"/>
      <c r="B792" s="9"/>
      <c r="C792" s="9"/>
      <c r="D792" s="9"/>
      <c r="E792" s="9"/>
      <c r="F792" s="9"/>
      <c r="G792" s="9"/>
      <c r="H792" s="8"/>
      <c r="I792" s="8"/>
      <c r="J792" s="8"/>
      <c r="K792" s="8"/>
    </row>
    <row r="793" spans="1:11" ht="15.75" customHeight="1" x14ac:dyDescent="0.25">
      <c r="A793" s="40"/>
      <c r="B793" s="9"/>
      <c r="C793" s="9"/>
      <c r="D793" s="9"/>
      <c r="E793" s="9"/>
      <c r="F793" s="9"/>
      <c r="G793" s="9"/>
      <c r="H793" s="8"/>
      <c r="I793" s="8"/>
      <c r="J793" s="8"/>
      <c r="K793" s="8"/>
    </row>
    <row r="794" spans="1:11" ht="15.75" customHeight="1" x14ac:dyDescent="0.25">
      <c r="A794" s="40"/>
      <c r="B794" s="9"/>
      <c r="C794" s="9"/>
      <c r="D794" s="9"/>
      <c r="E794" s="9"/>
      <c r="F794" s="9"/>
      <c r="G794" s="9"/>
      <c r="H794" s="8"/>
      <c r="I794" s="8"/>
      <c r="J794" s="8"/>
      <c r="K794" s="8"/>
    </row>
    <row r="795" spans="1:11" ht="15.75" customHeight="1" x14ac:dyDescent="0.25">
      <c r="A795" s="40"/>
      <c r="B795" s="9"/>
      <c r="C795" s="9"/>
      <c r="D795" s="9"/>
      <c r="E795" s="9"/>
      <c r="F795" s="9"/>
      <c r="G795" s="9"/>
      <c r="H795" s="8"/>
      <c r="I795" s="8"/>
      <c r="J795" s="8"/>
      <c r="K795" s="8"/>
    </row>
    <row r="796" spans="1:11" ht="15.75" customHeight="1" x14ac:dyDescent="0.25">
      <c r="A796" s="40"/>
      <c r="B796" s="9"/>
      <c r="C796" s="9"/>
      <c r="D796" s="9"/>
      <c r="E796" s="9"/>
      <c r="F796" s="9"/>
      <c r="G796" s="9"/>
      <c r="H796" s="8"/>
      <c r="I796" s="8"/>
      <c r="J796" s="8"/>
      <c r="K796" s="8"/>
    </row>
    <row r="797" spans="1:11" ht="15.75" customHeight="1" x14ac:dyDescent="0.25">
      <c r="A797" s="40"/>
      <c r="B797" s="9"/>
      <c r="C797" s="9"/>
      <c r="D797" s="9"/>
      <c r="E797" s="9"/>
      <c r="F797" s="9"/>
      <c r="G797" s="9"/>
      <c r="H797" s="8"/>
      <c r="I797" s="8"/>
      <c r="J797" s="8"/>
      <c r="K797" s="8"/>
    </row>
    <row r="798" spans="1:11" ht="15.75" customHeight="1" x14ac:dyDescent="0.25">
      <c r="A798" s="40"/>
      <c r="B798" s="9"/>
      <c r="C798" s="9"/>
      <c r="D798" s="9"/>
      <c r="E798" s="9"/>
      <c r="F798" s="9"/>
      <c r="G798" s="9"/>
      <c r="H798" s="8"/>
      <c r="I798" s="8"/>
      <c r="J798" s="8"/>
      <c r="K798" s="8"/>
    </row>
    <row r="799" spans="1:11" ht="15.75" customHeight="1" x14ac:dyDescent="0.25">
      <c r="A799" s="40"/>
      <c r="B799" s="9"/>
      <c r="C799" s="9"/>
      <c r="D799" s="9"/>
      <c r="E799" s="9"/>
      <c r="F799" s="9"/>
      <c r="G799" s="9"/>
      <c r="H799" s="8"/>
      <c r="I799" s="8"/>
      <c r="J799" s="8"/>
      <c r="K799" s="8"/>
    </row>
    <row r="800" spans="1:11" ht="15.75" customHeight="1" x14ac:dyDescent="0.25">
      <c r="A800" s="40"/>
      <c r="B800" s="9"/>
      <c r="C800" s="9"/>
      <c r="D800" s="9"/>
      <c r="E800" s="9"/>
      <c r="F800" s="9"/>
      <c r="G800" s="9"/>
      <c r="H800" s="8"/>
      <c r="I800" s="8"/>
      <c r="J800" s="8"/>
      <c r="K800" s="8"/>
    </row>
    <row r="801" spans="1:11" ht="15.75" customHeight="1" x14ac:dyDescent="0.25">
      <c r="A801" s="40"/>
      <c r="B801" s="9"/>
      <c r="C801" s="9"/>
      <c r="D801" s="9"/>
      <c r="E801" s="9"/>
      <c r="F801" s="9"/>
      <c r="G801" s="9"/>
      <c r="H801" s="8"/>
      <c r="I801" s="8"/>
      <c r="J801" s="8"/>
      <c r="K801" s="8"/>
    </row>
    <row r="802" spans="1:11" ht="15.75" customHeight="1" x14ac:dyDescent="0.25">
      <c r="A802" s="40"/>
      <c r="B802" s="9"/>
      <c r="C802" s="9"/>
      <c r="D802" s="9"/>
      <c r="E802" s="9"/>
      <c r="F802" s="9"/>
      <c r="G802" s="9"/>
      <c r="H802" s="8"/>
      <c r="I802" s="8"/>
      <c r="J802" s="8"/>
      <c r="K802" s="8"/>
    </row>
    <row r="803" spans="1:11" ht="15.75" customHeight="1" x14ac:dyDescent="0.25">
      <c r="A803" s="40"/>
      <c r="B803" s="9"/>
      <c r="C803" s="9"/>
      <c r="D803" s="9"/>
      <c r="E803" s="9"/>
      <c r="F803" s="9"/>
      <c r="G803" s="9"/>
      <c r="H803" s="8"/>
      <c r="I803" s="8"/>
      <c r="J803" s="8"/>
      <c r="K803" s="8"/>
    </row>
    <row r="804" spans="1:11" ht="15.75" customHeight="1" x14ac:dyDescent="0.25">
      <c r="A804" s="40"/>
      <c r="B804" s="9"/>
      <c r="C804" s="9"/>
      <c r="D804" s="9"/>
      <c r="E804" s="9"/>
      <c r="F804" s="9"/>
      <c r="G804" s="9"/>
      <c r="H804" s="8"/>
      <c r="I804" s="8"/>
      <c r="J804" s="8"/>
      <c r="K804" s="8"/>
    </row>
    <row r="805" spans="1:11" ht="15.75" customHeight="1" x14ac:dyDescent="0.25">
      <c r="A805" s="40"/>
      <c r="B805" s="9"/>
      <c r="C805" s="9"/>
      <c r="D805" s="9"/>
      <c r="E805" s="9"/>
      <c r="F805" s="9"/>
      <c r="G805" s="9"/>
      <c r="H805" s="8"/>
      <c r="I805" s="8"/>
      <c r="J805" s="8"/>
      <c r="K805" s="8"/>
    </row>
    <row r="806" spans="1:11" ht="15.75" customHeight="1" x14ac:dyDescent="0.25">
      <c r="A806" s="40"/>
      <c r="B806" s="9"/>
      <c r="C806" s="9"/>
      <c r="D806" s="9"/>
      <c r="E806" s="9"/>
      <c r="F806" s="9"/>
      <c r="G806" s="9"/>
      <c r="H806" s="8"/>
      <c r="I806" s="8"/>
      <c r="J806" s="8"/>
      <c r="K806" s="8"/>
    </row>
    <row r="807" spans="1:11" ht="15.75" customHeight="1" x14ac:dyDescent="0.25">
      <c r="A807" s="40"/>
      <c r="B807" s="9"/>
      <c r="C807" s="9"/>
      <c r="D807" s="9"/>
      <c r="E807" s="9"/>
      <c r="F807" s="9"/>
      <c r="G807" s="9"/>
      <c r="H807" s="8"/>
      <c r="I807" s="8"/>
      <c r="J807" s="8"/>
      <c r="K807" s="8"/>
    </row>
    <row r="808" spans="1:11" ht="15.75" customHeight="1" x14ac:dyDescent="0.25">
      <c r="A808" s="40"/>
      <c r="B808" s="9"/>
      <c r="C808" s="9"/>
      <c r="D808" s="9"/>
      <c r="E808" s="9"/>
      <c r="F808" s="9"/>
      <c r="G808" s="9"/>
      <c r="H808" s="8"/>
      <c r="I808" s="8"/>
      <c r="J808" s="8"/>
      <c r="K808" s="8"/>
    </row>
    <row r="809" spans="1:11" ht="15.75" customHeight="1" x14ac:dyDescent="0.25">
      <c r="A809" s="40"/>
      <c r="B809" s="9"/>
      <c r="C809" s="9"/>
      <c r="D809" s="9"/>
      <c r="E809" s="9"/>
      <c r="F809" s="9"/>
      <c r="G809" s="9"/>
      <c r="H809" s="8"/>
      <c r="I809" s="8"/>
      <c r="J809" s="8"/>
      <c r="K809" s="8"/>
    </row>
    <row r="810" spans="1:11" ht="15.75" customHeight="1" x14ac:dyDescent="0.25">
      <c r="A810" s="40"/>
      <c r="B810" s="9"/>
      <c r="C810" s="9"/>
      <c r="D810" s="9"/>
      <c r="E810" s="9"/>
      <c r="F810" s="9"/>
      <c r="G810" s="9"/>
      <c r="H810" s="8"/>
      <c r="I810" s="8"/>
      <c r="J810" s="8"/>
      <c r="K810" s="8"/>
    </row>
    <row r="811" spans="1:11" ht="15.75" customHeight="1" x14ac:dyDescent="0.25">
      <c r="A811" s="40"/>
      <c r="B811" s="9"/>
      <c r="C811" s="9"/>
      <c r="D811" s="9"/>
      <c r="E811" s="9"/>
      <c r="F811" s="9"/>
      <c r="G811" s="9"/>
      <c r="H811" s="8"/>
      <c r="I811" s="8"/>
      <c r="J811" s="8"/>
      <c r="K811" s="8"/>
    </row>
    <row r="812" spans="1:11" ht="15.75" customHeight="1" x14ac:dyDescent="0.25">
      <c r="A812" s="40"/>
      <c r="B812" s="9"/>
      <c r="C812" s="9"/>
      <c r="D812" s="9"/>
      <c r="E812" s="9"/>
      <c r="F812" s="9"/>
      <c r="G812" s="9"/>
      <c r="H812" s="8"/>
      <c r="I812" s="8"/>
      <c r="J812" s="8"/>
      <c r="K812" s="8"/>
    </row>
    <row r="813" spans="1:11" ht="15.75" customHeight="1" x14ac:dyDescent="0.25">
      <c r="A813" s="40"/>
      <c r="B813" s="9"/>
      <c r="C813" s="9"/>
      <c r="D813" s="9"/>
      <c r="E813" s="9"/>
      <c r="F813" s="9"/>
      <c r="G813" s="9"/>
      <c r="H813" s="8"/>
      <c r="I813" s="8"/>
      <c r="J813" s="8"/>
      <c r="K813" s="8"/>
    </row>
    <row r="814" spans="1:11" ht="15.75" customHeight="1" x14ac:dyDescent="0.25">
      <c r="A814" s="40"/>
      <c r="B814" s="9"/>
      <c r="C814" s="9"/>
      <c r="D814" s="9"/>
      <c r="E814" s="9"/>
      <c r="F814" s="9"/>
      <c r="G814" s="9"/>
      <c r="H814" s="8"/>
      <c r="I814" s="8"/>
      <c r="J814" s="8"/>
      <c r="K814" s="8"/>
    </row>
    <row r="815" spans="1:11" ht="15.75" customHeight="1" x14ac:dyDescent="0.25">
      <c r="A815" s="40"/>
      <c r="B815" s="9"/>
      <c r="C815" s="9"/>
      <c r="D815" s="9"/>
      <c r="E815" s="9"/>
      <c r="F815" s="9"/>
      <c r="G815" s="9"/>
      <c r="H815" s="8"/>
      <c r="I815" s="8"/>
      <c r="J815" s="8"/>
      <c r="K815" s="8"/>
    </row>
    <row r="816" spans="1:11" ht="15.75" customHeight="1" x14ac:dyDescent="0.25">
      <c r="A816" s="40"/>
      <c r="B816" s="9"/>
      <c r="C816" s="9"/>
      <c r="D816" s="9"/>
      <c r="E816" s="9"/>
      <c r="F816" s="9"/>
      <c r="G816" s="9"/>
      <c r="H816" s="8"/>
      <c r="I816" s="8"/>
      <c r="J816" s="8"/>
      <c r="K816" s="8"/>
    </row>
    <row r="817" spans="1:11" ht="15.75" customHeight="1" x14ac:dyDescent="0.25">
      <c r="A817" s="40"/>
      <c r="B817" s="9"/>
      <c r="C817" s="9"/>
      <c r="D817" s="9"/>
      <c r="E817" s="9"/>
      <c r="F817" s="9"/>
      <c r="G817" s="9"/>
      <c r="H817" s="8"/>
      <c r="I817" s="8"/>
      <c r="J817" s="8"/>
      <c r="K817" s="8"/>
    </row>
    <row r="818" spans="1:11" ht="15.75" customHeight="1" x14ac:dyDescent="0.25">
      <c r="A818" s="40"/>
      <c r="B818" s="9"/>
      <c r="C818" s="9"/>
      <c r="D818" s="9"/>
      <c r="E818" s="9"/>
      <c r="F818" s="9"/>
      <c r="G818" s="9"/>
      <c r="H818" s="8"/>
      <c r="I818" s="8"/>
      <c r="J818" s="8"/>
      <c r="K818" s="8"/>
    </row>
    <row r="819" spans="1:11" ht="15.75" customHeight="1" x14ac:dyDescent="0.25">
      <c r="A819" s="40"/>
      <c r="B819" s="9"/>
      <c r="C819" s="9"/>
      <c r="D819" s="9"/>
      <c r="E819" s="9"/>
      <c r="F819" s="9"/>
      <c r="G819" s="9"/>
      <c r="H819" s="8"/>
      <c r="I819" s="8"/>
      <c r="J819" s="8"/>
      <c r="K819" s="8"/>
    </row>
    <row r="820" spans="1:11" ht="15.75" customHeight="1" x14ac:dyDescent="0.25">
      <c r="A820" s="40"/>
      <c r="B820" s="9"/>
      <c r="C820" s="9"/>
      <c r="D820" s="9"/>
      <c r="E820" s="9"/>
      <c r="F820" s="9"/>
      <c r="G820" s="9"/>
      <c r="H820" s="8"/>
      <c r="I820" s="8"/>
      <c r="J820" s="8"/>
      <c r="K820" s="8"/>
    </row>
    <row r="821" spans="1:11" ht="15.75" customHeight="1" x14ac:dyDescent="0.25">
      <c r="A821" s="40"/>
      <c r="B821" s="9"/>
      <c r="C821" s="9"/>
      <c r="D821" s="9"/>
      <c r="E821" s="9"/>
      <c r="F821" s="9"/>
      <c r="G821" s="9"/>
      <c r="H821" s="8"/>
      <c r="I821" s="8"/>
      <c r="J821" s="8"/>
      <c r="K821" s="8"/>
    </row>
    <row r="822" spans="1:11" ht="15.75" customHeight="1" x14ac:dyDescent="0.25">
      <c r="A822" s="40"/>
      <c r="B822" s="9"/>
      <c r="C822" s="9"/>
      <c r="D822" s="9"/>
      <c r="E822" s="9"/>
      <c r="F822" s="9"/>
      <c r="G822" s="9"/>
      <c r="H822" s="8"/>
      <c r="I822" s="8"/>
      <c r="J822" s="8"/>
      <c r="K822" s="8"/>
    </row>
    <row r="823" spans="1:11" ht="15.75" customHeight="1" x14ac:dyDescent="0.25">
      <c r="A823" s="40"/>
      <c r="B823" s="9"/>
      <c r="C823" s="9"/>
      <c r="D823" s="9"/>
      <c r="E823" s="9"/>
      <c r="F823" s="9"/>
      <c r="G823" s="9"/>
      <c r="H823" s="8"/>
      <c r="I823" s="8"/>
      <c r="J823" s="8"/>
      <c r="K823" s="8"/>
    </row>
    <row r="824" spans="1:11" ht="15.75" customHeight="1" x14ac:dyDescent="0.25">
      <c r="A824" s="40"/>
      <c r="B824" s="9"/>
      <c r="C824" s="9"/>
      <c r="D824" s="9"/>
      <c r="E824" s="9"/>
      <c r="F824" s="9"/>
      <c r="G824" s="9"/>
      <c r="H824" s="8"/>
      <c r="I824" s="8"/>
      <c r="J824" s="8"/>
      <c r="K824" s="8"/>
    </row>
    <row r="825" spans="1:11" ht="15.75" customHeight="1" x14ac:dyDescent="0.25">
      <c r="A825" s="40"/>
      <c r="B825" s="9"/>
      <c r="C825" s="9"/>
      <c r="D825" s="9"/>
      <c r="E825" s="9"/>
      <c r="F825" s="9"/>
      <c r="G825" s="9"/>
      <c r="H825" s="8"/>
      <c r="I825" s="8"/>
      <c r="J825" s="8"/>
      <c r="K825" s="8"/>
    </row>
    <row r="826" spans="1:11" ht="15.75" customHeight="1" x14ac:dyDescent="0.25">
      <c r="A826" s="40"/>
      <c r="B826" s="9"/>
      <c r="C826" s="9"/>
      <c r="D826" s="9"/>
      <c r="E826" s="9"/>
      <c r="F826" s="9"/>
      <c r="G826" s="9"/>
      <c r="H826" s="8"/>
      <c r="I826" s="8"/>
      <c r="J826" s="8"/>
      <c r="K826" s="8"/>
    </row>
    <row r="827" spans="1:11" ht="15.75" customHeight="1" x14ac:dyDescent="0.25">
      <c r="A827" s="40"/>
      <c r="B827" s="9"/>
      <c r="C827" s="9"/>
      <c r="D827" s="9"/>
      <c r="E827" s="9"/>
      <c r="F827" s="9"/>
      <c r="G827" s="9"/>
      <c r="H827" s="8"/>
      <c r="I827" s="8"/>
      <c r="J827" s="8"/>
      <c r="K827" s="8"/>
    </row>
    <row r="828" spans="1:11" ht="15.75" customHeight="1" x14ac:dyDescent="0.25">
      <c r="A828" s="40"/>
      <c r="B828" s="9"/>
      <c r="C828" s="9"/>
      <c r="D828" s="9"/>
      <c r="E828" s="9"/>
      <c r="F828" s="9"/>
      <c r="G828" s="9"/>
      <c r="H828" s="8"/>
      <c r="I828" s="8"/>
      <c r="J828" s="8"/>
      <c r="K828" s="8"/>
    </row>
    <row r="829" spans="1:11" ht="15.75" customHeight="1" x14ac:dyDescent="0.25">
      <c r="A829" s="40"/>
      <c r="B829" s="9"/>
      <c r="C829" s="9"/>
      <c r="D829" s="9"/>
      <c r="E829" s="9"/>
      <c r="F829" s="9"/>
      <c r="G829" s="9"/>
      <c r="H829" s="8"/>
      <c r="I829" s="8"/>
      <c r="J829" s="8"/>
      <c r="K829" s="8"/>
    </row>
    <row r="830" spans="1:11" ht="15.75" customHeight="1" x14ac:dyDescent="0.25">
      <c r="A830" s="40"/>
      <c r="B830" s="9"/>
      <c r="C830" s="9"/>
      <c r="D830" s="9"/>
      <c r="E830" s="9"/>
      <c r="F830" s="9"/>
      <c r="G830" s="9"/>
      <c r="H830" s="8"/>
      <c r="I830" s="8"/>
      <c r="J830" s="8"/>
      <c r="K830" s="8"/>
    </row>
    <row r="831" spans="1:11" ht="15.75" customHeight="1" x14ac:dyDescent="0.25">
      <c r="A831" s="40"/>
      <c r="B831" s="9"/>
      <c r="C831" s="9"/>
      <c r="D831" s="9"/>
      <c r="E831" s="9"/>
      <c r="F831" s="9"/>
      <c r="G831" s="9"/>
      <c r="H831" s="8"/>
      <c r="I831" s="8"/>
      <c r="J831" s="8"/>
      <c r="K831" s="8"/>
    </row>
    <row r="832" spans="1:11" ht="15.75" customHeight="1" x14ac:dyDescent="0.25">
      <c r="A832" s="40"/>
      <c r="B832" s="9"/>
      <c r="C832" s="9"/>
      <c r="D832" s="9"/>
      <c r="E832" s="9"/>
      <c r="F832" s="9"/>
      <c r="G832" s="9"/>
      <c r="H832" s="8"/>
      <c r="I832" s="8"/>
      <c r="J832" s="8"/>
      <c r="K832" s="8"/>
    </row>
    <row r="833" spans="1:11" ht="15.75" customHeight="1" x14ac:dyDescent="0.25">
      <c r="A833" s="40"/>
      <c r="B833" s="9"/>
      <c r="C833" s="9"/>
      <c r="D833" s="9"/>
      <c r="E833" s="9"/>
      <c r="F833" s="9"/>
      <c r="G833" s="9"/>
      <c r="H833" s="8"/>
      <c r="I833" s="8"/>
      <c r="J833" s="8"/>
      <c r="K833" s="8"/>
    </row>
    <row r="834" spans="1:11" ht="15.75" customHeight="1" x14ac:dyDescent="0.25">
      <c r="A834" s="40"/>
      <c r="B834" s="9"/>
      <c r="C834" s="9"/>
      <c r="D834" s="9"/>
      <c r="E834" s="9"/>
      <c r="F834" s="9"/>
      <c r="G834" s="9"/>
      <c r="H834" s="8"/>
      <c r="I834" s="8"/>
      <c r="J834" s="8"/>
      <c r="K834" s="8"/>
    </row>
    <row r="835" spans="1:11" ht="15.75" customHeight="1" x14ac:dyDescent="0.25">
      <c r="A835" s="40"/>
      <c r="B835" s="9"/>
      <c r="C835" s="9"/>
      <c r="D835" s="9"/>
      <c r="E835" s="9"/>
      <c r="F835" s="9"/>
      <c r="G835" s="9"/>
      <c r="H835" s="8"/>
      <c r="I835" s="8"/>
      <c r="J835" s="8"/>
      <c r="K835" s="8"/>
    </row>
    <row r="836" spans="1:11" ht="15.75" customHeight="1" x14ac:dyDescent="0.25">
      <c r="A836" s="40"/>
      <c r="B836" s="9"/>
      <c r="C836" s="9"/>
      <c r="D836" s="9"/>
      <c r="E836" s="9"/>
      <c r="F836" s="9"/>
      <c r="G836" s="9"/>
      <c r="H836" s="8"/>
      <c r="I836" s="8"/>
      <c r="J836" s="8"/>
      <c r="K836" s="8"/>
    </row>
    <row r="837" spans="1:11" ht="15.75" customHeight="1" x14ac:dyDescent="0.25">
      <c r="A837" s="40"/>
      <c r="B837" s="9"/>
      <c r="C837" s="9"/>
      <c r="D837" s="9"/>
      <c r="E837" s="9"/>
      <c r="F837" s="9"/>
      <c r="G837" s="9"/>
      <c r="H837" s="8"/>
      <c r="I837" s="8"/>
      <c r="J837" s="8"/>
      <c r="K837" s="8"/>
    </row>
    <row r="838" spans="1:11" ht="15.75" customHeight="1" x14ac:dyDescent="0.25">
      <c r="A838" s="40"/>
      <c r="B838" s="9"/>
      <c r="C838" s="9"/>
      <c r="D838" s="9"/>
      <c r="E838" s="9"/>
      <c r="F838" s="9"/>
      <c r="G838" s="9"/>
      <c r="H838" s="8"/>
      <c r="I838" s="8"/>
      <c r="J838" s="8"/>
      <c r="K838" s="8"/>
    </row>
    <row r="839" spans="1:11" ht="15.75" customHeight="1" x14ac:dyDescent="0.25">
      <c r="A839" s="40"/>
      <c r="B839" s="9"/>
      <c r="C839" s="9"/>
      <c r="D839" s="9"/>
      <c r="E839" s="9"/>
      <c r="F839" s="9"/>
      <c r="G839" s="9"/>
      <c r="H839" s="8"/>
      <c r="I839" s="8"/>
      <c r="J839" s="8"/>
      <c r="K839" s="8"/>
    </row>
    <row r="840" spans="1:11" ht="15.75" customHeight="1" x14ac:dyDescent="0.25">
      <c r="A840" s="40"/>
      <c r="B840" s="9"/>
      <c r="C840" s="9"/>
      <c r="D840" s="9"/>
      <c r="E840" s="9"/>
      <c r="F840" s="9"/>
      <c r="G840" s="9"/>
      <c r="H840" s="8"/>
      <c r="I840" s="8"/>
      <c r="J840" s="8"/>
      <c r="K840" s="8"/>
    </row>
    <row r="841" spans="1:11" ht="15.75" customHeight="1" x14ac:dyDescent="0.25">
      <c r="A841" s="40"/>
      <c r="B841" s="9"/>
      <c r="C841" s="9"/>
      <c r="D841" s="9"/>
      <c r="E841" s="9"/>
      <c r="F841" s="9"/>
      <c r="G841" s="9"/>
      <c r="H841" s="8"/>
      <c r="I841" s="8"/>
      <c r="J841" s="8"/>
      <c r="K841" s="8"/>
    </row>
    <row r="842" spans="1:11" ht="15.75" customHeight="1" x14ac:dyDescent="0.25">
      <c r="A842" s="40"/>
      <c r="B842" s="9"/>
      <c r="C842" s="9"/>
      <c r="D842" s="9"/>
      <c r="E842" s="9"/>
      <c r="F842" s="9"/>
      <c r="G842" s="9"/>
      <c r="H842" s="8"/>
      <c r="I842" s="8"/>
      <c r="J842" s="8"/>
      <c r="K842" s="8"/>
    </row>
    <row r="843" spans="1:11" ht="15.75" customHeight="1" x14ac:dyDescent="0.25">
      <c r="A843" s="40"/>
      <c r="B843" s="9"/>
      <c r="C843" s="9"/>
      <c r="D843" s="9"/>
      <c r="E843" s="9"/>
      <c r="F843" s="9"/>
      <c r="G843" s="9"/>
      <c r="H843" s="8"/>
      <c r="I843" s="8"/>
      <c r="J843" s="8"/>
      <c r="K843" s="8"/>
    </row>
    <row r="844" spans="1:11" ht="15.75" customHeight="1" x14ac:dyDescent="0.25">
      <c r="A844" s="40"/>
      <c r="B844" s="9"/>
      <c r="C844" s="9"/>
      <c r="D844" s="9"/>
      <c r="E844" s="9"/>
      <c r="F844" s="9"/>
      <c r="G844" s="9"/>
      <c r="H844" s="8"/>
      <c r="I844" s="8"/>
      <c r="J844" s="8"/>
      <c r="K844" s="8"/>
    </row>
    <row r="845" spans="1:11" ht="15.75" customHeight="1" x14ac:dyDescent="0.25">
      <c r="A845" s="40"/>
      <c r="B845" s="9"/>
      <c r="C845" s="9"/>
      <c r="D845" s="9"/>
      <c r="E845" s="9"/>
      <c r="F845" s="9"/>
      <c r="G845" s="9"/>
      <c r="H845" s="8"/>
      <c r="I845" s="8"/>
      <c r="J845" s="8"/>
      <c r="K845" s="8"/>
    </row>
    <row r="846" spans="1:11" ht="15.75" customHeight="1" x14ac:dyDescent="0.25">
      <c r="A846" s="40"/>
      <c r="B846" s="9"/>
      <c r="C846" s="9"/>
      <c r="D846" s="9"/>
      <c r="E846" s="9"/>
      <c r="F846" s="9"/>
      <c r="G846" s="9"/>
      <c r="H846" s="8"/>
      <c r="I846" s="8"/>
      <c r="J846" s="8"/>
      <c r="K846" s="8"/>
    </row>
    <row r="847" spans="1:11" ht="15.75" customHeight="1" x14ac:dyDescent="0.25">
      <c r="A847" s="40"/>
      <c r="B847" s="9"/>
      <c r="C847" s="9"/>
      <c r="D847" s="9"/>
      <c r="E847" s="9"/>
      <c r="F847" s="9"/>
      <c r="G847" s="9"/>
      <c r="H847" s="8"/>
      <c r="I847" s="8"/>
      <c r="J847" s="8"/>
      <c r="K847" s="8"/>
    </row>
    <row r="848" spans="1:11" ht="15.75" customHeight="1" x14ac:dyDescent="0.25">
      <c r="A848" s="40"/>
      <c r="B848" s="9"/>
      <c r="C848" s="9"/>
      <c r="D848" s="9"/>
      <c r="E848" s="9"/>
      <c r="F848" s="9"/>
      <c r="G848" s="9"/>
      <c r="H848" s="8"/>
      <c r="I848" s="8"/>
      <c r="J848" s="8"/>
      <c r="K848" s="8"/>
    </row>
    <row r="849" spans="1:11" ht="15.75" customHeight="1" x14ac:dyDescent="0.25">
      <c r="A849" s="40"/>
      <c r="B849" s="9"/>
      <c r="C849" s="9"/>
      <c r="D849" s="9"/>
      <c r="E849" s="9"/>
      <c r="F849" s="9"/>
      <c r="G849" s="9"/>
      <c r="H849" s="8"/>
      <c r="I849" s="8"/>
      <c r="J849" s="8"/>
      <c r="K849" s="8"/>
    </row>
    <row r="850" spans="1:11" ht="15.75" customHeight="1" x14ac:dyDescent="0.25">
      <c r="A850" s="40"/>
      <c r="B850" s="9"/>
      <c r="C850" s="9"/>
      <c r="D850" s="9"/>
      <c r="E850" s="9"/>
      <c r="F850" s="9"/>
      <c r="G850" s="9"/>
      <c r="H850" s="8"/>
      <c r="I850" s="8"/>
      <c r="J850" s="8"/>
      <c r="K850" s="8"/>
    </row>
    <row r="851" spans="1:11" ht="15.75" customHeight="1" x14ac:dyDescent="0.25">
      <c r="A851" s="40"/>
      <c r="B851" s="9"/>
      <c r="C851" s="9"/>
      <c r="D851" s="9"/>
      <c r="E851" s="9"/>
      <c r="F851" s="9"/>
      <c r="G851" s="9"/>
      <c r="H851" s="8"/>
      <c r="I851" s="8"/>
      <c r="J851" s="8"/>
      <c r="K851" s="8"/>
    </row>
    <row r="852" spans="1:11" ht="15.75" customHeight="1" x14ac:dyDescent="0.25">
      <c r="A852" s="40"/>
      <c r="B852" s="9"/>
      <c r="C852" s="9"/>
      <c r="D852" s="9"/>
      <c r="E852" s="9"/>
      <c r="F852" s="9"/>
      <c r="G852" s="9"/>
      <c r="H852" s="8"/>
      <c r="I852" s="8"/>
      <c r="J852" s="8"/>
      <c r="K852" s="8"/>
    </row>
    <row r="853" spans="1:11" ht="15.75" customHeight="1" x14ac:dyDescent="0.25">
      <c r="A853" s="40"/>
      <c r="B853" s="9"/>
      <c r="C853" s="9"/>
      <c r="D853" s="9"/>
      <c r="E853" s="9"/>
      <c r="F853" s="9"/>
      <c r="G853" s="9"/>
      <c r="H853" s="8"/>
      <c r="I853" s="8"/>
      <c r="J853" s="8"/>
      <c r="K853" s="8"/>
    </row>
    <row r="854" spans="1:11" ht="15.75" customHeight="1" x14ac:dyDescent="0.25">
      <c r="A854" s="40"/>
      <c r="B854" s="9"/>
      <c r="C854" s="9"/>
      <c r="D854" s="9"/>
      <c r="E854" s="9"/>
      <c r="F854" s="9"/>
      <c r="G854" s="9"/>
      <c r="H854" s="8"/>
      <c r="I854" s="8"/>
      <c r="J854" s="8"/>
      <c r="K854" s="8"/>
    </row>
    <row r="855" spans="1:11" ht="15.75" customHeight="1" x14ac:dyDescent="0.25">
      <c r="A855" s="40"/>
      <c r="B855" s="9"/>
      <c r="C855" s="9"/>
      <c r="D855" s="9"/>
      <c r="E855" s="9"/>
      <c r="F855" s="9"/>
      <c r="G855" s="9"/>
      <c r="H855" s="8"/>
      <c r="I855" s="8"/>
      <c r="J855" s="8"/>
      <c r="K855" s="8"/>
    </row>
    <row r="856" spans="1:11" ht="15.75" customHeight="1" x14ac:dyDescent="0.25">
      <c r="A856" s="40"/>
      <c r="B856" s="9"/>
      <c r="C856" s="9"/>
      <c r="D856" s="9"/>
      <c r="E856" s="9"/>
      <c r="F856" s="9"/>
      <c r="G856" s="9"/>
      <c r="H856" s="8"/>
      <c r="I856" s="8"/>
      <c r="J856" s="8"/>
      <c r="K856" s="8"/>
    </row>
    <row r="857" spans="1:11" ht="15.75" customHeight="1" x14ac:dyDescent="0.25">
      <c r="A857" s="40"/>
      <c r="B857" s="9"/>
      <c r="C857" s="9"/>
      <c r="D857" s="9"/>
      <c r="E857" s="9"/>
      <c r="F857" s="9"/>
      <c r="G857" s="9"/>
      <c r="H857" s="8"/>
      <c r="I857" s="8"/>
      <c r="J857" s="8"/>
      <c r="K857" s="8"/>
    </row>
    <row r="858" spans="1:11" ht="15.75" customHeight="1" x14ac:dyDescent="0.25">
      <c r="A858" s="40"/>
      <c r="B858" s="9"/>
      <c r="C858" s="9"/>
      <c r="D858" s="9"/>
      <c r="E858" s="9"/>
      <c r="F858" s="9"/>
      <c r="G858" s="9"/>
      <c r="H858" s="8"/>
      <c r="I858" s="8"/>
      <c r="J858" s="8"/>
      <c r="K858" s="8"/>
    </row>
    <row r="859" spans="1:11" ht="15.75" customHeight="1" x14ac:dyDescent="0.25">
      <c r="A859" s="40"/>
      <c r="B859" s="9"/>
      <c r="C859" s="9"/>
      <c r="D859" s="9"/>
      <c r="E859" s="9"/>
      <c r="F859" s="9"/>
      <c r="G859" s="9"/>
      <c r="H859" s="8"/>
      <c r="I859" s="8"/>
      <c r="J859" s="8"/>
      <c r="K859" s="8"/>
    </row>
    <row r="860" spans="1:11" ht="15.75" customHeight="1" x14ac:dyDescent="0.25">
      <c r="A860" s="40"/>
      <c r="B860" s="9"/>
      <c r="C860" s="9"/>
      <c r="D860" s="9"/>
      <c r="E860" s="9"/>
      <c r="F860" s="9"/>
      <c r="G860" s="9"/>
      <c r="H860" s="8"/>
      <c r="I860" s="8"/>
      <c r="J860" s="8"/>
      <c r="K860" s="8"/>
    </row>
    <row r="861" spans="1:11" ht="15.75" customHeight="1" x14ac:dyDescent="0.25">
      <c r="A861" s="40"/>
      <c r="B861" s="9"/>
      <c r="C861" s="9"/>
      <c r="D861" s="9"/>
      <c r="E861" s="9"/>
      <c r="F861" s="9"/>
      <c r="G861" s="9"/>
      <c r="H861" s="8"/>
      <c r="I861" s="8"/>
      <c r="J861" s="8"/>
      <c r="K861" s="8"/>
    </row>
    <row r="862" spans="1:11" ht="15.75" customHeight="1" x14ac:dyDescent="0.25">
      <c r="A862" s="40"/>
      <c r="B862" s="9"/>
      <c r="C862" s="9"/>
      <c r="D862" s="9"/>
      <c r="E862" s="9"/>
      <c r="F862" s="9"/>
      <c r="G862" s="9"/>
      <c r="H862" s="8"/>
      <c r="I862" s="8"/>
      <c r="J862" s="8"/>
      <c r="K862" s="8"/>
    </row>
    <row r="863" spans="1:11" ht="15.75" customHeight="1" x14ac:dyDescent="0.25">
      <c r="A863" s="40"/>
      <c r="B863" s="9"/>
      <c r="C863" s="9"/>
      <c r="D863" s="9"/>
      <c r="E863" s="9"/>
      <c r="F863" s="9"/>
      <c r="G863" s="9"/>
      <c r="H863" s="8"/>
      <c r="I863" s="8"/>
      <c r="J863" s="8"/>
      <c r="K863" s="8"/>
    </row>
    <row r="864" spans="1:11" ht="15.75" customHeight="1" x14ac:dyDescent="0.25">
      <c r="A864" s="40"/>
      <c r="B864" s="9"/>
      <c r="C864" s="9"/>
      <c r="D864" s="9"/>
      <c r="E864" s="9"/>
      <c r="F864" s="9"/>
      <c r="G864" s="9"/>
      <c r="H864" s="8"/>
      <c r="I864" s="8"/>
      <c r="J864" s="8"/>
      <c r="K864" s="8"/>
    </row>
    <row r="865" spans="1:11" ht="15.75" customHeight="1" x14ac:dyDescent="0.25">
      <c r="A865" s="40"/>
      <c r="B865" s="9"/>
      <c r="C865" s="9"/>
      <c r="D865" s="9"/>
      <c r="E865" s="9"/>
      <c r="F865" s="9"/>
      <c r="G865" s="9"/>
      <c r="H865" s="8"/>
      <c r="I865" s="8"/>
      <c r="J865" s="8"/>
      <c r="K865" s="8"/>
    </row>
    <row r="866" spans="1:11" ht="15.75" customHeight="1" x14ac:dyDescent="0.25">
      <c r="A866" s="40"/>
      <c r="B866" s="9"/>
      <c r="C866" s="9"/>
      <c r="D866" s="9"/>
      <c r="E866" s="9"/>
      <c r="F866" s="9"/>
      <c r="G866" s="9"/>
      <c r="H866" s="8"/>
      <c r="I866" s="8"/>
      <c r="J866" s="8"/>
      <c r="K866" s="8"/>
    </row>
    <row r="867" spans="1:11" ht="15.75" customHeight="1" x14ac:dyDescent="0.25">
      <c r="A867" s="40"/>
      <c r="B867" s="9"/>
      <c r="C867" s="9"/>
      <c r="D867" s="9"/>
      <c r="E867" s="9"/>
      <c r="F867" s="9"/>
      <c r="G867" s="9"/>
      <c r="H867" s="8"/>
      <c r="I867" s="8"/>
      <c r="J867" s="8"/>
      <c r="K867" s="8"/>
    </row>
    <row r="868" spans="1:11" ht="15.75" customHeight="1" x14ac:dyDescent="0.25">
      <c r="A868" s="40"/>
      <c r="B868" s="9"/>
      <c r="C868" s="9"/>
      <c r="D868" s="9"/>
      <c r="E868" s="9"/>
      <c r="F868" s="9"/>
      <c r="G868" s="9"/>
      <c r="H868" s="8"/>
      <c r="I868" s="8"/>
      <c r="J868" s="8"/>
      <c r="K868" s="8"/>
    </row>
    <row r="869" spans="1:11" ht="15.75" customHeight="1" x14ac:dyDescent="0.25">
      <c r="A869" s="40"/>
      <c r="B869" s="9"/>
      <c r="C869" s="9"/>
      <c r="D869" s="9"/>
      <c r="E869" s="9"/>
      <c r="F869" s="9"/>
      <c r="G869" s="9"/>
      <c r="H869" s="8"/>
      <c r="I869" s="8"/>
      <c r="J869" s="8"/>
      <c r="K869" s="8"/>
    </row>
    <row r="870" spans="1:11" ht="15.75" customHeight="1" x14ac:dyDescent="0.25">
      <c r="A870" s="40"/>
      <c r="B870" s="9"/>
      <c r="C870" s="9"/>
      <c r="D870" s="9"/>
      <c r="E870" s="9"/>
      <c r="F870" s="9"/>
      <c r="G870" s="9"/>
      <c r="H870" s="8"/>
      <c r="I870" s="8"/>
      <c r="J870" s="8"/>
      <c r="K870" s="8"/>
    </row>
    <row r="871" spans="1:11" ht="15.75" customHeight="1" x14ac:dyDescent="0.25">
      <c r="A871" s="40"/>
      <c r="B871" s="9"/>
      <c r="C871" s="9"/>
      <c r="D871" s="9"/>
      <c r="E871" s="9"/>
      <c r="F871" s="9"/>
      <c r="G871" s="9"/>
      <c r="H871" s="8"/>
      <c r="I871" s="8"/>
      <c r="J871" s="8"/>
      <c r="K871" s="8"/>
    </row>
    <row r="872" spans="1:11" ht="15.75" customHeight="1" x14ac:dyDescent="0.25">
      <c r="A872" s="40"/>
      <c r="B872" s="9"/>
      <c r="C872" s="9"/>
      <c r="D872" s="9"/>
      <c r="E872" s="9"/>
      <c r="F872" s="9"/>
      <c r="G872" s="9"/>
      <c r="H872" s="8"/>
      <c r="I872" s="8"/>
      <c r="J872" s="8"/>
      <c r="K872" s="8"/>
    </row>
    <row r="873" spans="1:11" ht="15.75" customHeight="1" x14ac:dyDescent="0.25">
      <c r="A873" s="40"/>
      <c r="B873" s="9"/>
      <c r="C873" s="9"/>
      <c r="D873" s="9"/>
      <c r="E873" s="9"/>
      <c r="F873" s="9"/>
      <c r="G873" s="9"/>
      <c r="H873" s="8"/>
      <c r="I873" s="8"/>
      <c r="J873" s="8"/>
      <c r="K873" s="8"/>
    </row>
    <row r="874" spans="1:11" ht="15.75" customHeight="1" x14ac:dyDescent="0.25">
      <c r="A874" s="40"/>
      <c r="B874" s="9"/>
      <c r="C874" s="9"/>
      <c r="D874" s="9"/>
      <c r="E874" s="9"/>
      <c r="F874" s="9"/>
      <c r="G874" s="9"/>
      <c r="H874" s="8"/>
      <c r="I874" s="8"/>
      <c r="J874" s="8"/>
      <c r="K874" s="8"/>
    </row>
    <row r="875" spans="1:11" ht="15.75" customHeight="1" x14ac:dyDescent="0.25">
      <c r="A875" s="40"/>
      <c r="B875" s="9"/>
      <c r="C875" s="9"/>
      <c r="D875" s="9"/>
      <c r="E875" s="9"/>
      <c r="F875" s="9"/>
      <c r="G875" s="9"/>
      <c r="H875" s="8"/>
      <c r="I875" s="8"/>
      <c r="J875" s="8"/>
      <c r="K875" s="8"/>
    </row>
    <row r="876" spans="1:11" ht="15.75" customHeight="1" x14ac:dyDescent="0.25">
      <c r="A876" s="40"/>
      <c r="B876" s="9"/>
      <c r="C876" s="9"/>
      <c r="D876" s="9"/>
      <c r="E876" s="9"/>
      <c r="F876" s="9"/>
      <c r="G876" s="9"/>
      <c r="H876" s="8"/>
      <c r="I876" s="8"/>
      <c r="J876" s="8"/>
      <c r="K876" s="8"/>
    </row>
    <row r="877" spans="1:11" ht="15.75" customHeight="1" x14ac:dyDescent="0.25">
      <c r="A877" s="40"/>
      <c r="B877" s="9"/>
      <c r="C877" s="9"/>
      <c r="D877" s="9"/>
      <c r="E877" s="9"/>
      <c r="F877" s="9"/>
      <c r="G877" s="9"/>
      <c r="H877" s="8"/>
      <c r="I877" s="8"/>
      <c r="J877" s="8"/>
      <c r="K877" s="8"/>
    </row>
    <row r="878" spans="1:11" ht="15.75" customHeight="1" x14ac:dyDescent="0.25">
      <c r="A878" s="40"/>
      <c r="B878" s="9"/>
      <c r="C878" s="9"/>
      <c r="D878" s="9"/>
      <c r="E878" s="9"/>
      <c r="F878" s="9"/>
      <c r="G878" s="9"/>
      <c r="H878" s="8"/>
      <c r="I878" s="8"/>
      <c r="J878" s="8"/>
      <c r="K878" s="8"/>
    </row>
    <row r="879" spans="1:11" ht="15.75" customHeight="1" x14ac:dyDescent="0.25">
      <c r="A879" s="40"/>
      <c r="B879" s="9"/>
      <c r="C879" s="9"/>
      <c r="D879" s="9"/>
      <c r="E879" s="9"/>
      <c r="F879" s="9"/>
      <c r="G879" s="9"/>
      <c r="H879" s="8"/>
      <c r="I879" s="8"/>
      <c r="J879" s="8"/>
      <c r="K879" s="8"/>
    </row>
    <row r="880" spans="1:11" ht="15.75" customHeight="1" x14ac:dyDescent="0.25">
      <c r="A880" s="40"/>
      <c r="B880" s="9"/>
      <c r="C880" s="9"/>
      <c r="D880" s="9"/>
      <c r="E880" s="9"/>
      <c r="F880" s="9"/>
      <c r="G880" s="9"/>
      <c r="H880" s="8"/>
      <c r="I880" s="8"/>
      <c r="J880" s="8"/>
      <c r="K880" s="8"/>
    </row>
    <row r="881" spans="1:11" ht="15.75" customHeight="1" x14ac:dyDescent="0.25">
      <c r="A881" s="40"/>
      <c r="B881" s="9"/>
      <c r="C881" s="9"/>
      <c r="D881" s="9"/>
      <c r="E881" s="9"/>
      <c r="F881" s="9"/>
      <c r="G881" s="9"/>
      <c r="H881" s="8"/>
      <c r="I881" s="8"/>
      <c r="J881" s="8"/>
      <c r="K881" s="8"/>
    </row>
    <row r="882" spans="1:11" ht="15.75" customHeight="1" x14ac:dyDescent="0.25">
      <c r="A882" s="40"/>
      <c r="B882" s="9"/>
      <c r="C882" s="9"/>
      <c r="D882" s="9"/>
      <c r="E882" s="9"/>
      <c r="F882" s="9"/>
      <c r="G882" s="9"/>
      <c r="H882" s="8"/>
      <c r="I882" s="8"/>
      <c r="J882" s="8"/>
      <c r="K882" s="8"/>
    </row>
    <row r="883" spans="1:11" ht="15.75" customHeight="1" x14ac:dyDescent="0.25">
      <c r="A883" s="40"/>
      <c r="B883" s="9"/>
      <c r="C883" s="9"/>
      <c r="D883" s="9"/>
      <c r="E883" s="9"/>
      <c r="F883" s="9"/>
      <c r="G883" s="9"/>
      <c r="H883" s="8"/>
      <c r="I883" s="8"/>
      <c r="J883" s="8"/>
      <c r="K883" s="8"/>
    </row>
    <row r="884" spans="1:11" ht="15.75" customHeight="1" x14ac:dyDescent="0.25">
      <c r="A884" s="40"/>
      <c r="B884" s="9"/>
      <c r="C884" s="9"/>
      <c r="D884" s="9"/>
      <c r="E884" s="9"/>
      <c r="F884" s="9"/>
      <c r="G884" s="9"/>
      <c r="H884" s="8"/>
      <c r="I884" s="8"/>
      <c r="J884" s="8"/>
      <c r="K884" s="8"/>
    </row>
    <row r="885" spans="1:11" ht="15.75" customHeight="1" x14ac:dyDescent="0.25">
      <c r="A885" s="40"/>
      <c r="B885" s="9"/>
      <c r="C885" s="9"/>
      <c r="D885" s="9"/>
      <c r="E885" s="9"/>
      <c r="F885" s="9"/>
      <c r="G885" s="9"/>
      <c r="H885" s="8"/>
      <c r="I885" s="8"/>
      <c r="J885" s="8"/>
      <c r="K885" s="8"/>
    </row>
    <row r="886" spans="1:11" ht="15.75" customHeight="1" x14ac:dyDescent="0.25">
      <c r="A886" s="40"/>
      <c r="B886" s="9"/>
      <c r="C886" s="9"/>
      <c r="D886" s="9"/>
      <c r="E886" s="9"/>
      <c r="F886" s="9"/>
      <c r="G886" s="9"/>
      <c r="H886" s="8"/>
      <c r="I886" s="8"/>
      <c r="J886" s="8"/>
      <c r="K886" s="8"/>
    </row>
    <row r="887" spans="1:11" ht="15.75" customHeight="1" x14ac:dyDescent="0.25">
      <c r="A887" s="40"/>
      <c r="B887" s="9"/>
      <c r="C887" s="9"/>
      <c r="D887" s="9"/>
      <c r="E887" s="9"/>
      <c r="F887" s="9"/>
      <c r="G887" s="9"/>
      <c r="H887" s="8"/>
      <c r="I887" s="8"/>
      <c r="J887" s="8"/>
      <c r="K887" s="8"/>
    </row>
    <row r="888" spans="1:11" ht="15.75" customHeight="1" x14ac:dyDescent="0.25">
      <c r="A888" s="40"/>
      <c r="B888" s="9"/>
      <c r="C888" s="9"/>
      <c r="D888" s="9"/>
      <c r="E888" s="9"/>
      <c r="F888" s="9"/>
      <c r="G888" s="9"/>
      <c r="H888" s="8"/>
      <c r="I888" s="8"/>
      <c r="J888" s="8"/>
      <c r="K888" s="8"/>
    </row>
    <row r="889" spans="1:11" ht="15.75" customHeight="1" x14ac:dyDescent="0.25">
      <c r="A889" s="40"/>
      <c r="B889" s="9"/>
      <c r="C889" s="9"/>
      <c r="D889" s="9"/>
      <c r="E889" s="9"/>
      <c r="F889" s="9"/>
      <c r="G889" s="9"/>
      <c r="H889" s="8"/>
      <c r="I889" s="8"/>
      <c r="J889" s="8"/>
      <c r="K889" s="8"/>
    </row>
    <row r="890" spans="1:11" ht="15.75" customHeight="1" x14ac:dyDescent="0.25">
      <c r="A890" s="40"/>
      <c r="B890" s="9"/>
      <c r="C890" s="9"/>
      <c r="D890" s="9"/>
      <c r="E890" s="9"/>
      <c r="F890" s="9"/>
      <c r="G890" s="9"/>
      <c r="H890" s="8"/>
      <c r="I890" s="8"/>
      <c r="J890" s="8"/>
      <c r="K890" s="8"/>
    </row>
    <row r="891" spans="1:11" ht="15.75" customHeight="1" x14ac:dyDescent="0.25">
      <c r="A891" s="40"/>
      <c r="B891" s="9"/>
      <c r="C891" s="9"/>
      <c r="D891" s="9"/>
      <c r="E891" s="9"/>
      <c r="F891" s="9"/>
      <c r="G891" s="9"/>
      <c r="H891" s="8"/>
      <c r="I891" s="8"/>
      <c r="J891" s="8"/>
      <c r="K891" s="8"/>
    </row>
    <row r="892" spans="1:11" ht="15.75" customHeight="1" x14ac:dyDescent="0.25">
      <c r="A892" s="40"/>
      <c r="B892" s="9"/>
      <c r="C892" s="9"/>
      <c r="D892" s="9"/>
      <c r="E892" s="9"/>
      <c r="F892" s="9"/>
      <c r="G892" s="9"/>
      <c r="H892" s="8"/>
      <c r="I892" s="8"/>
      <c r="J892" s="8"/>
      <c r="K892" s="8"/>
    </row>
    <row r="893" spans="1:11" ht="15.75" customHeight="1" x14ac:dyDescent="0.25">
      <c r="A893" s="40"/>
      <c r="B893" s="9"/>
      <c r="C893" s="9"/>
      <c r="D893" s="9"/>
      <c r="E893" s="9"/>
      <c r="F893" s="9"/>
      <c r="G893" s="9"/>
      <c r="H893" s="8"/>
      <c r="I893" s="8"/>
      <c r="J893" s="8"/>
      <c r="K893" s="8"/>
    </row>
    <row r="894" spans="1:11" ht="15.75" customHeight="1" x14ac:dyDescent="0.25">
      <c r="A894" s="40"/>
      <c r="B894" s="9"/>
      <c r="C894" s="9"/>
      <c r="D894" s="9"/>
      <c r="E894" s="9"/>
      <c r="F894" s="9"/>
      <c r="G894" s="9"/>
      <c r="H894" s="8"/>
      <c r="I894" s="8"/>
      <c r="J894" s="8"/>
      <c r="K894" s="8"/>
    </row>
    <row r="895" spans="1:11" ht="15.75" customHeight="1" x14ac:dyDescent="0.25">
      <c r="A895" s="40"/>
      <c r="B895" s="9"/>
      <c r="C895" s="9"/>
      <c r="D895" s="9"/>
      <c r="E895" s="9"/>
      <c r="F895" s="9"/>
      <c r="G895" s="9"/>
      <c r="H895" s="8"/>
      <c r="I895" s="8"/>
      <c r="J895" s="8"/>
      <c r="K895" s="8"/>
    </row>
    <row r="896" spans="1:11" ht="15.75" customHeight="1" x14ac:dyDescent="0.25">
      <c r="A896" s="40"/>
      <c r="B896" s="9"/>
      <c r="C896" s="9"/>
      <c r="D896" s="9"/>
      <c r="E896" s="9"/>
      <c r="F896" s="9"/>
      <c r="G896" s="9"/>
      <c r="H896" s="8"/>
      <c r="I896" s="8"/>
      <c r="J896" s="8"/>
      <c r="K896" s="8"/>
    </row>
    <row r="897" spans="1:11" ht="15.75" customHeight="1" x14ac:dyDescent="0.25">
      <c r="A897" s="40"/>
      <c r="B897" s="9"/>
      <c r="C897" s="9"/>
      <c r="D897" s="9"/>
      <c r="E897" s="9"/>
      <c r="F897" s="9"/>
      <c r="G897" s="9"/>
      <c r="H897" s="8"/>
      <c r="I897" s="8"/>
      <c r="J897" s="8"/>
      <c r="K897" s="8"/>
    </row>
    <row r="898" spans="1:11" ht="15.75" customHeight="1" x14ac:dyDescent="0.25">
      <c r="A898" s="40"/>
      <c r="B898" s="9"/>
      <c r="C898" s="9"/>
      <c r="D898" s="9"/>
      <c r="E898" s="9"/>
      <c r="F898" s="9"/>
      <c r="G898" s="9"/>
      <c r="H898" s="8"/>
      <c r="I898" s="8"/>
      <c r="J898" s="8"/>
      <c r="K898" s="8"/>
    </row>
    <row r="899" spans="1:11" ht="15.75" customHeight="1" x14ac:dyDescent="0.25">
      <c r="A899" s="40"/>
      <c r="B899" s="9"/>
      <c r="C899" s="9"/>
      <c r="D899" s="9"/>
      <c r="E899" s="9"/>
      <c r="F899" s="9"/>
      <c r="G899" s="9"/>
      <c r="H899" s="8"/>
      <c r="I899" s="8"/>
      <c r="J899" s="8"/>
      <c r="K899" s="8"/>
    </row>
    <row r="900" spans="1:11" ht="15.75" customHeight="1" x14ac:dyDescent="0.25">
      <c r="A900" s="40"/>
      <c r="B900" s="9"/>
      <c r="C900" s="9"/>
      <c r="D900" s="9"/>
      <c r="E900" s="9"/>
      <c r="F900" s="9"/>
      <c r="G900" s="9"/>
      <c r="H900" s="8"/>
      <c r="I900" s="8"/>
      <c r="J900" s="8"/>
      <c r="K900" s="8"/>
    </row>
    <row r="901" spans="1:11" ht="15.75" customHeight="1" x14ac:dyDescent="0.25">
      <c r="A901" s="40"/>
      <c r="B901" s="9"/>
      <c r="C901" s="9"/>
      <c r="D901" s="9"/>
      <c r="E901" s="9"/>
      <c r="F901" s="9"/>
      <c r="G901" s="9"/>
      <c r="H901" s="8"/>
      <c r="I901" s="8"/>
      <c r="J901" s="8"/>
      <c r="K901" s="8"/>
    </row>
    <row r="902" spans="1:11" ht="15.75" customHeight="1" x14ac:dyDescent="0.25">
      <c r="A902" s="40"/>
      <c r="B902" s="9"/>
      <c r="C902" s="9"/>
      <c r="D902" s="9"/>
      <c r="E902" s="9"/>
      <c r="F902" s="9"/>
      <c r="G902" s="9"/>
      <c r="H902" s="8"/>
      <c r="I902" s="8"/>
      <c r="J902" s="8"/>
      <c r="K902" s="8"/>
    </row>
    <row r="903" spans="1:11" ht="15.75" customHeight="1" x14ac:dyDescent="0.25">
      <c r="A903" s="40"/>
      <c r="B903" s="9"/>
      <c r="C903" s="9"/>
      <c r="D903" s="9"/>
      <c r="E903" s="9"/>
      <c r="F903" s="9"/>
      <c r="G903" s="9"/>
      <c r="H903" s="8"/>
      <c r="I903" s="8"/>
      <c r="J903" s="8"/>
      <c r="K903" s="8"/>
    </row>
    <row r="904" spans="1:11" ht="15.75" customHeight="1" x14ac:dyDescent="0.25">
      <c r="A904" s="40"/>
      <c r="B904" s="9"/>
      <c r="C904" s="9"/>
      <c r="D904" s="9"/>
      <c r="E904" s="9"/>
      <c r="F904" s="9"/>
      <c r="G904" s="9"/>
      <c r="H904" s="8"/>
      <c r="I904" s="8"/>
      <c r="J904" s="8"/>
      <c r="K904" s="8"/>
    </row>
    <row r="905" spans="1:11" ht="15.75" customHeight="1" x14ac:dyDescent="0.25">
      <c r="A905" s="40"/>
      <c r="B905" s="9"/>
      <c r="C905" s="9"/>
      <c r="D905" s="9"/>
      <c r="E905" s="9"/>
      <c r="F905" s="9"/>
      <c r="G905" s="9"/>
      <c r="H905" s="8"/>
      <c r="I905" s="8"/>
      <c r="J905" s="8"/>
      <c r="K905" s="8"/>
    </row>
    <row r="906" spans="1:11" ht="15.75" customHeight="1" x14ac:dyDescent="0.25">
      <c r="A906" s="40"/>
      <c r="B906" s="9"/>
      <c r="C906" s="9"/>
      <c r="D906" s="9"/>
      <c r="E906" s="9"/>
      <c r="F906" s="9"/>
      <c r="G906" s="9"/>
      <c r="H906" s="8"/>
      <c r="I906" s="8"/>
      <c r="J906" s="8"/>
      <c r="K906" s="8"/>
    </row>
    <row r="907" spans="1:11" ht="15.75" customHeight="1" x14ac:dyDescent="0.25">
      <c r="A907" s="40"/>
      <c r="B907" s="9"/>
      <c r="C907" s="9"/>
      <c r="D907" s="9"/>
      <c r="E907" s="9"/>
      <c r="F907" s="9"/>
      <c r="G907" s="9"/>
      <c r="H907" s="8"/>
      <c r="I907" s="8"/>
      <c r="J907" s="8"/>
      <c r="K907" s="8"/>
    </row>
    <row r="908" spans="1:11" ht="15.75" customHeight="1" x14ac:dyDescent="0.25">
      <c r="A908" s="40"/>
      <c r="B908" s="9"/>
      <c r="C908" s="9"/>
      <c r="D908" s="9"/>
      <c r="E908" s="9"/>
      <c r="F908" s="9"/>
      <c r="G908" s="9"/>
      <c r="H908" s="8"/>
      <c r="I908" s="8"/>
      <c r="J908" s="8"/>
      <c r="K908" s="8"/>
    </row>
    <row r="909" spans="1:11" ht="15.75" customHeight="1" x14ac:dyDescent="0.25">
      <c r="A909" s="40"/>
      <c r="B909" s="9"/>
      <c r="C909" s="9"/>
      <c r="D909" s="9"/>
      <c r="E909" s="9"/>
      <c r="F909" s="9"/>
      <c r="G909" s="9"/>
      <c r="H909" s="8"/>
      <c r="I909" s="8"/>
      <c r="J909" s="8"/>
      <c r="K909" s="8"/>
    </row>
    <row r="910" spans="1:11" ht="15.75" customHeight="1" x14ac:dyDescent="0.25">
      <c r="A910" s="40"/>
      <c r="B910" s="9"/>
      <c r="C910" s="9"/>
      <c r="D910" s="9"/>
      <c r="E910" s="9"/>
      <c r="F910" s="9"/>
      <c r="G910" s="9"/>
      <c r="H910" s="8"/>
      <c r="I910" s="8"/>
      <c r="J910" s="8"/>
      <c r="K910" s="8"/>
    </row>
    <row r="911" spans="1:11" ht="15.75" customHeight="1" x14ac:dyDescent="0.25">
      <c r="A911" s="40"/>
      <c r="B911" s="9"/>
      <c r="C911" s="9"/>
      <c r="D911" s="9"/>
      <c r="E911" s="9"/>
      <c r="F911" s="9"/>
      <c r="G911" s="9"/>
      <c r="H911" s="8"/>
      <c r="I911" s="8"/>
      <c r="J911" s="8"/>
      <c r="K911" s="8"/>
    </row>
    <row r="912" spans="1:11" ht="15.75" customHeight="1" x14ac:dyDescent="0.25">
      <c r="A912" s="40"/>
      <c r="B912" s="9"/>
      <c r="C912" s="9"/>
      <c r="D912" s="9"/>
      <c r="E912" s="9"/>
      <c r="F912" s="9"/>
      <c r="G912" s="9"/>
      <c r="H912" s="8"/>
      <c r="I912" s="8"/>
      <c r="J912" s="8"/>
      <c r="K912" s="8"/>
    </row>
    <row r="913" spans="1:11" ht="15.75" customHeight="1" x14ac:dyDescent="0.25">
      <c r="A913" s="40"/>
      <c r="B913" s="9"/>
      <c r="C913" s="9"/>
      <c r="D913" s="9"/>
      <c r="E913" s="9"/>
      <c r="F913" s="9"/>
      <c r="G913" s="9"/>
      <c r="H913" s="8"/>
      <c r="I913" s="8"/>
      <c r="J913" s="8"/>
      <c r="K913" s="8"/>
    </row>
    <row r="914" spans="1:11" ht="15.75" customHeight="1" x14ac:dyDescent="0.25">
      <c r="A914" s="40"/>
      <c r="B914" s="9"/>
      <c r="C914" s="9"/>
      <c r="D914" s="9"/>
      <c r="E914" s="9"/>
      <c r="F914" s="9"/>
      <c r="G914" s="9"/>
      <c r="H914" s="8"/>
      <c r="I914" s="8"/>
      <c r="J914" s="8"/>
      <c r="K914" s="8"/>
    </row>
    <row r="915" spans="1:11" ht="15.75" customHeight="1" x14ac:dyDescent="0.25">
      <c r="A915" s="40"/>
      <c r="B915" s="9"/>
      <c r="C915" s="9"/>
      <c r="D915" s="9"/>
      <c r="E915" s="9"/>
      <c r="F915" s="9"/>
      <c r="G915" s="9"/>
      <c r="H915" s="8"/>
      <c r="I915" s="8"/>
      <c r="J915" s="8"/>
      <c r="K915" s="8"/>
    </row>
    <row r="916" spans="1:11" ht="15.75" customHeight="1" x14ac:dyDescent="0.25">
      <c r="A916" s="40"/>
      <c r="B916" s="9"/>
      <c r="C916" s="9"/>
      <c r="D916" s="9"/>
      <c r="E916" s="9"/>
      <c r="F916" s="9"/>
      <c r="G916" s="9"/>
      <c r="H916" s="8"/>
      <c r="I916" s="8"/>
      <c r="J916" s="8"/>
      <c r="K916" s="8"/>
    </row>
    <row r="917" spans="1:11" ht="15.75" customHeight="1" x14ac:dyDescent="0.25">
      <c r="A917" s="40"/>
      <c r="B917" s="9"/>
      <c r="C917" s="9"/>
      <c r="D917" s="9"/>
      <c r="E917" s="9"/>
      <c r="F917" s="9"/>
      <c r="G917" s="9"/>
      <c r="H917" s="8"/>
      <c r="I917" s="8"/>
      <c r="J917" s="8"/>
      <c r="K917" s="8"/>
    </row>
    <row r="918" spans="1:11" ht="16.5" customHeight="1" x14ac:dyDescent="0.25">
      <c r="A918" s="40"/>
      <c r="B918" s="9"/>
      <c r="C918" s="9"/>
      <c r="D918" s="9"/>
      <c r="E918" s="9"/>
      <c r="F918" s="9"/>
      <c r="G918" s="9"/>
      <c r="H918" s="8"/>
      <c r="I918" s="8"/>
      <c r="J918" s="8"/>
      <c r="K918" s="8"/>
    </row>
    <row r="919" spans="1:11" ht="16.5" customHeight="1" x14ac:dyDescent="0.25">
      <c r="A919" s="40"/>
      <c r="B919" s="9"/>
      <c r="C919" s="9"/>
      <c r="D919" s="9"/>
      <c r="E919" s="9"/>
      <c r="F919" s="9"/>
      <c r="G919" s="9"/>
      <c r="H919" s="8"/>
      <c r="I919" s="8"/>
      <c r="J919" s="8"/>
      <c r="K919" s="8"/>
    </row>
    <row r="920" spans="1:11" ht="16.5" customHeight="1" x14ac:dyDescent="0.25">
      <c r="A920" s="40"/>
      <c r="B920" s="9"/>
      <c r="C920" s="9"/>
      <c r="D920" s="9"/>
      <c r="E920" s="9"/>
      <c r="F920" s="9"/>
      <c r="G920" s="9"/>
      <c r="H920" s="8"/>
      <c r="I920" s="8"/>
      <c r="J920" s="8"/>
      <c r="K920" s="8"/>
    </row>
    <row r="921" spans="1:11" ht="16.5" customHeight="1" x14ac:dyDescent="0.25">
      <c r="A921" s="40"/>
      <c r="B921" s="9"/>
      <c r="C921" s="9"/>
      <c r="D921" s="9"/>
      <c r="E921" s="9"/>
      <c r="F921" s="9"/>
      <c r="G921" s="9"/>
      <c r="H921" s="8"/>
      <c r="I921" s="8"/>
      <c r="J921" s="8"/>
      <c r="K921" s="8"/>
    </row>
    <row r="922" spans="1:11" ht="16.5" customHeight="1" x14ac:dyDescent="0.25">
      <c r="A922" s="40"/>
      <c r="B922" s="9"/>
      <c r="C922" s="9"/>
      <c r="D922" s="9"/>
      <c r="E922" s="9"/>
      <c r="F922" s="9"/>
      <c r="G922" s="9"/>
      <c r="H922" s="8"/>
      <c r="I922" s="8"/>
      <c r="J922" s="8"/>
      <c r="K922" s="8"/>
    </row>
    <row r="923" spans="1:11" ht="16.5" customHeight="1" x14ac:dyDescent="0.25">
      <c r="A923" s="40"/>
      <c r="B923" s="9"/>
      <c r="C923" s="9"/>
      <c r="D923" s="9"/>
      <c r="E923" s="9"/>
      <c r="F923" s="9"/>
      <c r="G923" s="9"/>
      <c r="H923" s="8"/>
      <c r="I923" s="8"/>
      <c r="J923" s="8"/>
      <c r="K923" s="8"/>
    </row>
    <row r="924" spans="1:11" ht="16.5" customHeight="1" x14ac:dyDescent="0.25">
      <c r="A924" s="40"/>
      <c r="B924" s="9"/>
      <c r="C924" s="9"/>
      <c r="D924" s="9"/>
      <c r="E924" s="9"/>
      <c r="F924" s="9"/>
      <c r="G924" s="9"/>
      <c r="H924" s="8"/>
      <c r="I924" s="8"/>
      <c r="J924" s="8"/>
      <c r="K924" s="8"/>
    </row>
    <row r="925" spans="1:11" ht="16.5" customHeight="1" x14ac:dyDescent="0.25">
      <c r="A925" s="40"/>
      <c r="B925" s="9"/>
      <c r="C925" s="9"/>
      <c r="D925" s="9"/>
      <c r="E925" s="9"/>
      <c r="F925" s="9"/>
      <c r="G925" s="9"/>
      <c r="H925" s="8"/>
      <c r="I925" s="8"/>
      <c r="J925" s="8"/>
      <c r="K925" s="8"/>
    </row>
    <row r="926" spans="1:11" ht="16.5" customHeight="1" x14ac:dyDescent="0.25">
      <c r="A926" s="40"/>
      <c r="B926" s="9"/>
      <c r="C926" s="9"/>
      <c r="D926" s="9"/>
      <c r="E926" s="9"/>
      <c r="F926" s="9"/>
      <c r="G926" s="9"/>
      <c r="H926" s="8"/>
      <c r="I926" s="8"/>
      <c r="J926" s="8"/>
      <c r="K926" s="8"/>
    </row>
    <row r="927" spans="1:11" ht="16.5" customHeight="1" x14ac:dyDescent="0.25">
      <c r="A927" s="40"/>
      <c r="B927" s="9"/>
      <c r="C927" s="9"/>
      <c r="D927" s="9"/>
      <c r="E927" s="9"/>
      <c r="F927" s="9"/>
      <c r="G927" s="9"/>
      <c r="H927" s="8"/>
      <c r="I927" s="8"/>
      <c r="J927" s="8"/>
      <c r="K927" s="8"/>
    </row>
    <row r="928" spans="1:11" ht="16.5" customHeight="1" x14ac:dyDescent="0.25">
      <c r="A928" s="40"/>
      <c r="B928" s="9"/>
      <c r="C928" s="9"/>
      <c r="D928" s="9"/>
      <c r="E928" s="9"/>
      <c r="F928" s="9"/>
      <c r="G928" s="9"/>
      <c r="H928" s="8"/>
      <c r="I928" s="8"/>
      <c r="J928" s="8"/>
      <c r="K928" s="8"/>
    </row>
    <row r="929" spans="1:11" ht="16.5" customHeight="1" x14ac:dyDescent="0.25">
      <c r="A929" s="40"/>
      <c r="B929" s="9"/>
      <c r="C929" s="9"/>
      <c r="D929" s="9"/>
      <c r="E929" s="9"/>
      <c r="F929" s="9"/>
      <c r="G929" s="9"/>
      <c r="H929" s="8"/>
      <c r="I929" s="8"/>
      <c r="J929" s="8"/>
      <c r="K929" s="8"/>
    </row>
    <row r="930" spans="1:11" ht="16.5" customHeight="1" x14ac:dyDescent="0.25">
      <c r="A930" s="40"/>
      <c r="B930" s="9"/>
      <c r="C930" s="9"/>
      <c r="D930" s="9"/>
      <c r="E930" s="9"/>
      <c r="F930" s="9"/>
      <c r="G930" s="9"/>
      <c r="H930" s="8"/>
      <c r="I930" s="8"/>
      <c r="J930" s="8"/>
      <c r="K930" s="8"/>
    </row>
    <row r="931" spans="1:11" ht="16.5" customHeight="1" x14ac:dyDescent="0.25">
      <c r="A931" s="40"/>
      <c r="B931" s="9"/>
      <c r="C931" s="9"/>
      <c r="D931" s="9"/>
      <c r="E931" s="9"/>
      <c r="F931" s="9"/>
      <c r="G931" s="9"/>
      <c r="H931" s="8"/>
      <c r="I931" s="8"/>
      <c r="J931" s="8"/>
      <c r="K931" s="8"/>
    </row>
    <row r="932" spans="1:11" ht="16.5" customHeight="1" x14ac:dyDescent="0.25">
      <c r="A932" s="40"/>
      <c r="B932" s="9"/>
      <c r="C932" s="9"/>
      <c r="D932" s="9"/>
      <c r="E932" s="9"/>
      <c r="F932" s="9"/>
      <c r="G932" s="9"/>
      <c r="H932" s="8"/>
      <c r="I932" s="8"/>
      <c r="J932" s="8"/>
      <c r="K932" s="8"/>
    </row>
    <row r="933" spans="1:11" ht="16.5" customHeight="1" x14ac:dyDescent="0.25">
      <c r="A933" s="40"/>
      <c r="B933" s="9"/>
      <c r="C933" s="9"/>
      <c r="D933" s="9"/>
      <c r="E933" s="9"/>
      <c r="F933" s="9"/>
      <c r="G933" s="9"/>
      <c r="H933" s="8"/>
      <c r="I933" s="8"/>
      <c r="J933" s="8"/>
      <c r="K933" s="8"/>
    </row>
    <row r="934" spans="1:11" ht="16.5" customHeight="1" x14ac:dyDescent="0.25">
      <c r="A934" s="40"/>
      <c r="B934" s="9"/>
      <c r="C934" s="9"/>
      <c r="D934" s="9"/>
      <c r="E934" s="9"/>
      <c r="F934" s="9"/>
      <c r="G934" s="9"/>
      <c r="H934" s="8"/>
      <c r="I934" s="8"/>
      <c r="J934" s="8"/>
      <c r="K934" s="8"/>
    </row>
    <row r="935" spans="1:11" ht="16.5" customHeight="1" x14ac:dyDescent="0.25">
      <c r="A935" s="40"/>
      <c r="B935" s="9"/>
      <c r="C935" s="9"/>
      <c r="D935" s="9"/>
      <c r="E935" s="9"/>
      <c r="F935" s="9"/>
      <c r="G935" s="9"/>
      <c r="H935" s="8"/>
      <c r="I935" s="8"/>
      <c r="J935" s="8"/>
      <c r="K935" s="8"/>
    </row>
    <row r="936" spans="1:11" ht="16.5" customHeight="1" x14ac:dyDescent="0.25">
      <c r="A936" s="40"/>
      <c r="B936" s="9"/>
      <c r="C936" s="9"/>
      <c r="D936" s="9"/>
      <c r="E936" s="9"/>
      <c r="F936" s="9"/>
      <c r="G936" s="9"/>
      <c r="H936" s="8"/>
      <c r="I936" s="8"/>
      <c r="J936" s="8"/>
      <c r="K936" s="8"/>
    </row>
    <row r="937" spans="1:11" ht="16.5" customHeight="1" x14ac:dyDescent="0.25">
      <c r="A937" s="40"/>
      <c r="B937" s="9"/>
      <c r="C937" s="9"/>
      <c r="D937" s="9"/>
      <c r="E937" s="9"/>
      <c r="F937" s="9"/>
      <c r="G937" s="9"/>
      <c r="H937" s="8"/>
      <c r="I937" s="8"/>
      <c r="J937" s="8"/>
      <c r="K937" s="8"/>
    </row>
    <row r="938" spans="1:11" ht="16.5" customHeight="1" x14ac:dyDescent="0.25">
      <c r="A938" s="40"/>
      <c r="B938" s="9"/>
      <c r="C938" s="9"/>
      <c r="D938" s="9"/>
      <c r="E938" s="9"/>
      <c r="F938" s="9"/>
      <c r="G938" s="9"/>
      <c r="H938" s="8"/>
      <c r="I938" s="8"/>
      <c r="J938" s="8"/>
      <c r="K938" s="8"/>
    </row>
    <row r="939" spans="1:11" ht="16.5" customHeight="1" x14ac:dyDescent="0.25">
      <c r="A939" s="40"/>
      <c r="B939" s="9"/>
      <c r="C939" s="9"/>
      <c r="D939" s="9"/>
      <c r="E939" s="9"/>
      <c r="F939" s="9"/>
      <c r="G939" s="9"/>
      <c r="H939" s="8"/>
      <c r="I939" s="8"/>
      <c r="J939" s="8"/>
      <c r="K939" s="8"/>
    </row>
    <row r="940" spans="1:11" ht="16.5" customHeight="1" x14ac:dyDescent="0.25">
      <c r="A940" s="40"/>
      <c r="B940" s="9"/>
      <c r="C940" s="9"/>
      <c r="D940" s="9"/>
      <c r="E940" s="9"/>
      <c r="F940" s="9"/>
      <c r="G940" s="9"/>
      <c r="H940" s="8"/>
      <c r="I940" s="8"/>
      <c r="J940" s="8"/>
      <c r="K940" s="8"/>
    </row>
    <row r="941" spans="1:11" ht="16.5" customHeight="1" x14ac:dyDescent="0.25">
      <c r="A941" s="40"/>
      <c r="B941" s="9"/>
      <c r="C941" s="9"/>
      <c r="D941" s="9"/>
      <c r="E941" s="9"/>
      <c r="F941" s="9"/>
      <c r="G941" s="9"/>
      <c r="H941" s="8"/>
      <c r="I941" s="8"/>
      <c r="J941" s="8"/>
      <c r="K941" s="8"/>
    </row>
    <row r="942" spans="1:11" ht="16.5" customHeight="1" x14ac:dyDescent="0.25">
      <c r="A942" s="40"/>
      <c r="B942" s="9"/>
      <c r="C942" s="9"/>
      <c r="D942" s="9"/>
      <c r="E942" s="9"/>
      <c r="F942" s="9"/>
      <c r="G942" s="9"/>
      <c r="H942" s="8"/>
      <c r="I942" s="8"/>
      <c r="J942" s="8"/>
      <c r="K942" s="8"/>
    </row>
    <row r="943" spans="1:11" ht="16.5" customHeight="1" x14ac:dyDescent="0.25">
      <c r="A943" s="40"/>
      <c r="B943" s="9"/>
      <c r="C943" s="9"/>
      <c r="D943" s="9"/>
      <c r="E943" s="9"/>
      <c r="F943" s="9"/>
      <c r="G943" s="9"/>
      <c r="H943" s="8"/>
      <c r="I943" s="8"/>
      <c r="J943" s="8"/>
      <c r="K943" s="8"/>
    </row>
    <row r="944" spans="1:11" ht="16.5" customHeight="1" x14ac:dyDescent="0.25">
      <c r="A944" s="40"/>
      <c r="B944" s="9"/>
      <c r="C944" s="9"/>
      <c r="D944" s="9"/>
      <c r="E944" s="9"/>
      <c r="F944" s="9"/>
      <c r="G944" s="9"/>
      <c r="H944" s="8"/>
      <c r="I944" s="8"/>
      <c r="J944" s="8"/>
      <c r="K944" s="8"/>
    </row>
    <row r="945" spans="1:11" ht="16.5" customHeight="1" x14ac:dyDescent="0.25">
      <c r="A945" s="40"/>
      <c r="B945" s="9"/>
      <c r="C945" s="9"/>
      <c r="D945" s="9"/>
      <c r="E945" s="9"/>
      <c r="F945" s="9"/>
      <c r="G945" s="9"/>
      <c r="H945" s="8"/>
      <c r="I945" s="8"/>
      <c r="J945" s="8"/>
      <c r="K945" s="8"/>
    </row>
    <row r="946" spans="1:11" ht="16.5" customHeight="1" x14ac:dyDescent="0.25">
      <c r="A946" s="40"/>
      <c r="B946" s="9"/>
      <c r="C946" s="9"/>
      <c r="D946" s="9"/>
      <c r="E946" s="9"/>
      <c r="F946" s="9"/>
      <c r="G946" s="9"/>
      <c r="H946" s="8"/>
      <c r="I946" s="8"/>
      <c r="J946" s="8"/>
      <c r="K946" s="8"/>
    </row>
    <row r="947" spans="1:11" ht="16.5" customHeight="1" x14ac:dyDescent="0.25">
      <c r="A947" s="40"/>
      <c r="B947" s="9"/>
      <c r="C947" s="9"/>
      <c r="D947" s="9"/>
      <c r="E947" s="9"/>
      <c r="F947" s="9"/>
      <c r="G947" s="9"/>
      <c r="H947" s="8"/>
      <c r="I947" s="8"/>
      <c r="J947" s="8"/>
      <c r="K947" s="8"/>
    </row>
    <row r="948" spans="1:11" ht="16.5" customHeight="1" x14ac:dyDescent="0.25">
      <c r="A948" s="40"/>
      <c r="B948" s="9"/>
      <c r="C948" s="9"/>
      <c r="D948" s="9"/>
      <c r="E948" s="9"/>
      <c r="F948" s="9"/>
      <c r="G948" s="9"/>
      <c r="H948" s="8"/>
      <c r="I948" s="8"/>
      <c r="J948" s="8"/>
      <c r="K948" s="8"/>
    </row>
    <row r="949" spans="1:11" ht="16.5" customHeight="1" x14ac:dyDescent="0.25">
      <c r="A949" s="40"/>
      <c r="B949" s="9"/>
      <c r="C949" s="9"/>
      <c r="D949" s="9"/>
      <c r="E949" s="9"/>
      <c r="F949" s="9"/>
      <c r="G949" s="9"/>
      <c r="H949" s="8"/>
      <c r="I949" s="8"/>
      <c r="J949" s="8"/>
      <c r="K949" s="8"/>
    </row>
    <row r="950" spans="1:11" ht="16.5" customHeight="1" x14ac:dyDescent="0.25">
      <c r="A950" s="40"/>
      <c r="B950" s="9"/>
      <c r="C950" s="9"/>
      <c r="D950" s="9"/>
      <c r="E950" s="9"/>
      <c r="F950" s="9"/>
      <c r="G950" s="9"/>
      <c r="H950" s="8"/>
      <c r="I950" s="8"/>
      <c r="J950" s="8"/>
      <c r="K950" s="8"/>
    </row>
    <row r="951" spans="1:11" ht="16.5" customHeight="1" x14ac:dyDescent="0.25">
      <c r="A951" s="40"/>
      <c r="B951" s="9"/>
      <c r="C951" s="9"/>
      <c r="D951" s="9"/>
      <c r="E951" s="9"/>
      <c r="F951" s="9"/>
      <c r="G951" s="9"/>
      <c r="H951" s="8"/>
      <c r="I951" s="8"/>
      <c r="J951" s="8"/>
      <c r="K951" s="8"/>
    </row>
    <row r="952" spans="1:11" ht="16.5" customHeight="1" x14ac:dyDescent="0.25">
      <c r="A952" s="40"/>
      <c r="B952" s="9"/>
      <c r="C952" s="9"/>
      <c r="D952" s="9"/>
      <c r="E952" s="9"/>
      <c r="F952" s="9"/>
      <c r="G952" s="9"/>
      <c r="H952" s="8"/>
      <c r="I952" s="8"/>
      <c r="J952" s="8"/>
      <c r="K952" s="8"/>
    </row>
    <row r="953" spans="1:11" ht="16.5" customHeight="1" x14ac:dyDescent="0.25">
      <c r="A953" s="40"/>
      <c r="B953" s="9"/>
      <c r="C953" s="9"/>
      <c r="D953" s="9"/>
      <c r="E953" s="9"/>
      <c r="F953" s="9"/>
      <c r="G953" s="9"/>
      <c r="H953" s="8"/>
      <c r="I953" s="8"/>
      <c r="J953" s="8"/>
      <c r="K953" s="8"/>
    </row>
    <row r="954" spans="1:11" ht="16.5" customHeight="1" x14ac:dyDescent="0.25">
      <c r="A954" s="40"/>
      <c r="B954" s="9"/>
      <c r="C954" s="9"/>
      <c r="D954" s="9"/>
      <c r="E954" s="9"/>
      <c r="F954" s="9"/>
      <c r="G954" s="9"/>
      <c r="H954" s="8"/>
      <c r="I954" s="8"/>
      <c r="J954" s="8"/>
      <c r="K954" s="8"/>
    </row>
    <row r="955" spans="1:11" ht="16.5" customHeight="1" x14ac:dyDescent="0.25">
      <c r="A955" s="40"/>
      <c r="B955" s="9"/>
      <c r="C955" s="9"/>
      <c r="D955" s="9"/>
      <c r="E955" s="9"/>
      <c r="F955" s="9"/>
      <c r="G955" s="9"/>
      <c r="H955" s="8"/>
      <c r="I955" s="8"/>
      <c r="J955" s="8"/>
      <c r="K955" s="8"/>
    </row>
    <row r="956" spans="1:11" ht="16.5" customHeight="1" x14ac:dyDescent="0.25">
      <c r="A956" s="40"/>
      <c r="B956" s="9"/>
      <c r="C956" s="9"/>
      <c r="D956" s="9"/>
      <c r="E956" s="9"/>
      <c r="F956" s="9"/>
      <c r="G956" s="9"/>
      <c r="H956" s="8"/>
      <c r="I956" s="8"/>
      <c r="J956" s="8"/>
      <c r="K956" s="8"/>
    </row>
    <row r="957" spans="1:11" ht="16.5" customHeight="1" x14ac:dyDescent="0.25">
      <c r="A957" s="40"/>
      <c r="B957" s="9"/>
      <c r="C957" s="9"/>
      <c r="D957" s="9"/>
      <c r="E957" s="9"/>
      <c r="F957" s="9"/>
      <c r="G957" s="9"/>
      <c r="H957" s="8"/>
      <c r="I957" s="8"/>
      <c r="J957" s="8"/>
      <c r="K957" s="8"/>
    </row>
    <row r="958" spans="1:11" ht="16.5" customHeight="1" x14ac:dyDescent="0.25">
      <c r="A958" s="40"/>
      <c r="B958" s="9"/>
      <c r="C958" s="9"/>
      <c r="D958" s="9"/>
      <c r="E958" s="9"/>
      <c r="F958" s="9"/>
      <c r="G958" s="9"/>
      <c r="H958" s="8"/>
      <c r="I958" s="8"/>
      <c r="J958" s="8"/>
      <c r="K958" s="8"/>
    </row>
    <row r="959" spans="1:11" ht="16.5" customHeight="1" x14ac:dyDescent="0.25">
      <c r="A959" s="40"/>
      <c r="B959" s="9"/>
      <c r="C959" s="9"/>
      <c r="D959" s="9"/>
      <c r="E959" s="9"/>
      <c r="F959" s="9"/>
      <c r="G959" s="9"/>
      <c r="H959" s="8"/>
      <c r="I959" s="8"/>
      <c r="J959" s="8"/>
      <c r="K959" s="8"/>
    </row>
    <row r="960" spans="1:11" ht="16.5" customHeight="1" x14ac:dyDescent="0.25">
      <c r="A960" s="40"/>
      <c r="B960" s="9"/>
      <c r="C960" s="9"/>
      <c r="D960" s="9"/>
      <c r="E960" s="9"/>
      <c r="F960" s="9"/>
      <c r="G960" s="9"/>
      <c r="H960" s="8"/>
      <c r="I960" s="8"/>
      <c r="J960" s="8"/>
      <c r="K960" s="8"/>
    </row>
    <row r="961" spans="1:11" ht="16.5" customHeight="1" x14ac:dyDescent="0.25">
      <c r="A961" s="40"/>
      <c r="B961" s="9"/>
      <c r="C961" s="9"/>
      <c r="D961" s="9"/>
      <c r="E961" s="9"/>
      <c r="F961" s="9"/>
      <c r="G961" s="9"/>
      <c r="H961" s="8"/>
      <c r="I961" s="8"/>
      <c r="J961" s="8"/>
      <c r="K961" s="8"/>
    </row>
    <row r="962" spans="1:11" ht="16.5" customHeight="1" x14ac:dyDescent="0.25">
      <c r="A962" s="40"/>
      <c r="B962" s="9"/>
      <c r="C962" s="9"/>
      <c r="D962" s="9"/>
      <c r="E962" s="9"/>
      <c r="F962" s="9"/>
      <c r="G962" s="9"/>
      <c r="H962" s="8"/>
      <c r="I962" s="8"/>
      <c r="J962" s="8"/>
      <c r="K962" s="8"/>
    </row>
    <row r="963" spans="1:11" ht="16.5" customHeight="1" x14ac:dyDescent="0.25">
      <c r="A963" s="40"/>
      <c r="B963" s="9"/>
      <c r="C963" s="9"/>
      <c r="D963" s="9"/>
      <c r="E963" s="9"/>
      <c r="F963" s="9"/>
      <c r="G963" s="9"/>
      <c r="H963" s="8"/>
      <c r="I963" s="8"/>
      <c r="J963" s="8"/>
      <c r="K963" s="8"/>
    </row>
    <row r="964" spans="1:11" ht="16.5" customHeight="1" x14ac:dyDescent="0.25">
      <c r="A964" s="40"/>
      <c r="B964" s="9"/>
      <c r="C964" s="9"/>
      <c r="D964" s="9"/>
      <c r="E964" s="9"/>
      <c r="F964" s="9"/>
      <c r="G964" s="9"/>
      <c r="H964" s="8"/>
      <c r="I964" s="8"/>
      <c r="J964" s="8"/>
      <c r="K964" s="8"/>
    </row>
    <row r="965" spans="1:11" ht="16.5" customHeight="1" x14ac:dyDescent="0.25">
      <c r="A965" s="40"/>
      <c r="B965" s="9"/>
      <c r="C965" s="9"/>
      <c r="D965" s="9"/>
      <c r="E965" s="9"/>
      <c r="F965" s="9"/>
      <c r="G965" s="9"/>
      <c r="H965" s="8"/>
      <c r="I965" s="8"/>
      <c r="J965" s="8"/>
      <c r="K965" s="8"/>
    </row>
    <row r="966" spans="1:11" ht="16.5" customHeight="1" x14ac:dyDescent="0.25">
      <c r="A966" s="40"/>
      <c r="B966" s="9"/>
      <c r="C966" s="9"/>
      <c r="D966" s="9"/>
      <c r="E966" s="9"/>
      <c r="F966" s="9"/>
      <c r="G966" s="9"/>
      <c r="H966" s="8"/>
      <c r="I966" s="8"/>
      <c r="J966" s="8"/>
      <c r="K966" s="8"/>
    </row>
    <row r="967" spans="1:11" ht="13.5" customHeight="1" x14ac:dyDescent="0.25">
      <c r="A967" s="40"/>
      <c r="B967" s="9"/>
      <c r="C967" s="9"/>
      <c r="D967" s="9"/>
      <c r="E967" s="9"/>
      <c r="F967" s="9"/>
      <c r="G967" s="9"/>
      <c r="H967" s="8"/>
      <c r="I967" s="8"/>
      <c r="J967" s="8"/>
      <c r="K967" s="8"/>
    </row>
    <row r="968" spans="1:11" ht="15" customHeight="1" x14ac:dyDescent="0.25">
      <c r="A968" s="40"/>
      <c r="B968" s="9"/>
      <c r="C968" s="9"/>
      <c r="D968" s="9"/>
      <c r="E968" s="9"/>
      <c r="F968" s="9"/>
      <c r="G968" s="9"/>
      <c r="H968" s="8"/>
      <c r="I968" s="8"/>
      <c r="J968" s="8"/>
      <c r="K968" s="8"/>
    </row>
    <row r="969" spans="1:11" ht="15" customHeight="1" x14ac:dyDescent="0.25">
      <c r="A969" s="40"/>
      <c r="B969" s="9"/>
      <c r="C969" s="9"/>
      <c r="D969" s="9"/>
      <c r="E969" s="9"/>
      <c r="F969" s="9"/>
      <c r="G969" s="9"/>
      <c r="H969" s="8"/>
      <c r="I969" s="8"/>
      <c r="J969" s="8"/>
      <c r="K969" s="8"/>
    </row>
    <row r="970" spans="1:11" ht="15" customHeight="1" x14ac:dyDescent="0.25">
      <c r="A970" s="40"/>
      <c r="B970" s="9"/>
      <c r="C970" s="9"/>
      <c r="D970" s="9"/>
      <c r="E970" s="9"/>
      <c r="F970" s="9"/>
      <c r="G970" s="9"/>
      <c r="H970" s="8"/>
      <c r="I970" s="8"/>
      <c r="J970" s="8"/>
      <c r="K970" s="8"/>
    </row>
    <row r="971" spans="1:11" ht="15" customHeight="1" x14ac:dyDescent="0.25">
      <c r="A971" s="40"/>
      <c r="B971" s="9"/>
      <c r="C971" s="9"/>
      <c r="D971" s="9"/>
      <c r="E971" s="9"/>
      <c r="F971" s="9"/>
      <c r="G971" s="9"/>
      <c r="H971" s="8"/>
      <c r="I971" s="8"/>
      <c r="J971" s="8"/>
      <c r="K971" s="8"/>
    </row>
    <row r="972" spans="1:11" ht="15" customHeight="1" x14ac:dyDescent="0.25">
      <c r="A972" s="40"/>
      <c r="B972" s="9"/>
      <c r="C972" s="9"/>
      <c r="D972" s="9"/>
      <c r="E972" s="9"/>
      <c r="F972" s="9"/>
      <c r="G972" s="9"/>
      <c r="H972" s="8"/>
      <c r="I972" s="8"/>
      <c r="J972" s="8"/>
      <c r="K972" s="8"/>
    </row>
    <row r="973" spans="1:11" ht="15" customHeight="1" x14ac:dyDescent="0.25">
      <c r="A973" s="40"/>
      <c r="B973" s="9"/>
      <c r="C973" s="9"/>
      <c r="D973" s="9"/>
      <c r="E973" s="9"/>
      <c r="F973" s="9"/>
      <c r="G973" s="9"/>
      <c r="H973" s="8"/>
      <c r="I973" s="8"/>
      <c r="J973" s="8"/>
      <c r="K973" s="8"/>
    </row>
    <row r="974" spans="1:11" ht="15" customHeight="1" x14ac:dyDescent="0.25">
      <c r="A974" s="40"/>
      <c r="B974" s="9"/>
      <c r="C974" s="9"/>
      <c r="D974" s="9"/>
      <c r="E974" s="9"/>
      <c r="F974" s="9"/>
      <c r="G974" s="9"/>
      <c r="H974" s="8"/>
      <c r="I974" s="8"/>
      <c r="J974" s="8"/>
      <c r="K974" s="8"/>
    </row>
    <row r="975" spans="1:11" ht="15" customHeight="1" x14ac:dyDescent="0.25">
      <c r="A975" s="40"/>
      <c r="B975" s="9"/>
      <c r="C975" s="9"/>
      <c r="D975" s="9"/>
      <c r="E975" s="9"/>
      <c r="F975" s="9"/>
      <c r="G975" s="9"/>
      <c r="H975" s="8"/>
      <c r="I975" s="8"/>
      <c r="J975" s="8"/>
      <c r="K975" s="8"/>
    </row>
    <row r="976" spans="1:11" ht="15" customHeight="1" x14ac:dyDescent="0.25">
      <c r="A976" s="40"/>
      <c r="B976" s="9"/>
      <c r="C976" s="9"/>
      <c r="D976" s="9"/>
      <c r="E976" s="9"/>
      <c r="F976" s="9"/>
      <c r="G976" s="9"/>
      <c r="H976" s="8"/>
      <c r="I976" s="8"/>
      <c r="J976" s="8"/>
      <c r="K976" s="8"/>
    </row>
    <row r="977" spans="1:11" ht="15" customHeight="1" x14ac:dyDescent="0.25">
      <c r="A977" s="40"/>
      <c r="B977" s="9"/>
      <c r="C977" s="9"/>
      <c r="D977" s="9"/>
      <c r="E977" s="9"/>
      <c r="F977" s="9"/>
      <c r="G977" s="9"/>
      <c r="H977" s="8"/>
      <c r="I977" s="8"/>
      <c r="J977" s="8"/>
      <c r="K977" s="8"/>
    </row>
    <row r="978" spans="1:11" ht="15" customHeight="1" x14ac:dyDescent="0.25">
      <c r="A978" s="40"/>
      <c r="B978" s="9"/>
      <c r="C978" s="9"/>
      <c r="D978" s="9"/>
      <c r="E978" s="9"/>
      <c r="F978" s="9"/>
      <c r="G978" s="9"/>
      <c r="H978" s="8"/>
      <c r="I978" s="8"/>
      <c r="J978" s="8"/>
      <c r="K978" s="8"/>
    </row>
    <row r="979" spans="1:11" ht="15" customHeight="1" x14ac:dyDescent="0.25">
      <c r="A979" s="40"/>
      <c r="B979" s="9"/>
      <c r="C979" s="9"/>
      <c r="D979" s="9"/>
      <c r="E979" s="9"/>
      <c r="F979" s="9"/>
      <c r="G979" s="9"/>
      <c r="H979" s="8"/>
      <c r="I979" s="8"/>
      <c r="J979" s="8"/>
      <c r="K979" s="8"/>
    </row>
    <row r="980" spans="1:11" ht="15" customHeight="1" x14ac:dyDescent="0.25">
      <c r="A980" s="40"/>
      <c r="B980" s="9"/>
      <c r="C980" s="9"/>
      <c r="D980" s="9"/>
      <c r="E980" s="9"/>
      <c r="F980" s="9"/>
      <c r="G980" s="9"/>
      <c r="H980" s="8"/>
      <c r="I980" s="8"/>
      <c r="J980" s="8"/>
      <c r="K980" s="8"/>
    </row>
    <row r="981" spans="1:11" ht="15" customHeight="1" x14ac:dyDescent="0.25">
      <c r="A981" s="40"/>
      <c r="B981" s="9"/>
      <c r="C981" s="9"/>
      <c r="D981" s="9"/>
      <c r="E981" s="9"/>
      <c r="F981" s="9"/>
      <c r="G981" s="9"/>
      <c r="H981" s="8"/>
      <c r="I981" s="8"/>
      <c r="J981" s="8"/>
      <c r="K981" s="8"/>
    </row>
    <row r="982" spans="1:11" ht="15" customHeight="1" x14ac:dyDescent="0.25">
      <c r="A982" s="40"/>
      <c r="B982" s="9"/>
      <c r="C982" s="9"/>
      <c r="D982" s="9"/>
      <c r="E982" s="9"/>
      <c r="F982" s="9"/>
      <c r="G982" s="9"/>
      <c r="H982" s="8"/>
      <c r="I982" s="8"/>
      <c r="J982" s="8"/>
      <c r="K982" s="8"/>
    </row>
    <row r="983" spans="1:11" ht="15" customHeight="1" x14ac:dyDescent="0.25">
      <c r="A983" s="40"/>
      <c r="B983" s="9"/>
      <c r="C983" s="9"/>
      <c r="D983" s="9"/>
      <c r="E983" s="9"/>
      <c r="F983" s="9"/>
      <c r="G983" s="9"/>
      <c r="H983" s="8"/>
      <c r="I983" s="8"/>
      <c r="J983" s="8"/>
      <c r="K983" s="8"/>
    </row>
    <row r="984" spans="1:11" ht="15" customHeight="1" x14ac:dyDescent="0.25">
      <c r="A984" s="40"/>
      <c r="B984" s="9"/>
      <c r="C984" s="9"/>
      <c r="D984" s="9"/>
      <c r="E984" s="9"/>
      <c r="F984" s="9"/>
      <c r="G984" s="9"/>
      <c r="H984" s="8"/>
      <c r="I984" s="8"/>
      <c r="J984" s="8"/>
      <c r="K984" s="8"/>
    </row>
    <row r="985" spans="1:11" ht="15" customHeight="1" x14ac:dyDescent="0.25">
      <c r="A985" s="40"/>
      <c r="B985" s="9"/>
      <c r="C985" s="9"/>
      <c r="D985" s="9"/>
      <c r="E985" s="9"/>
      <c r="F985" s="9"/>
      <c r="G985" s="9"/>
      <c r="H985" s="8"/>
      <c r="I985" s="8"/>
      <c r="J985" s="8"/>
      <c r="K985" s="8"/>
    </row>
    <row r="986" spans="1:11" ht="15" customHeight="1" x14ac:dyDescent="0.25">
      <c r="A986" s="40"/>
      <c r="B986" s="9"/>
      <c r="C986" s="9"/>
      <c r="D986" s="9"/>
      <c r="E986" s="9"/>
      <c r="F986" s="9"/>
      <c r="G986" s="9"/>
      <c r="H986" s="8"/>
      <c r="I986" s="8"/>
      <c r="J986" s="8"/>
      <c r="K986" s="8"/>
    </row>
    <row r="987" spans="1:11" ht="15" customHeight="1" x14ac:dyDescent="0.25">
      <c r="A987" s="40"/>
      <c r="B987" s="9"/>
      <c r="C987" s="9"/>
      <c r="D987" s="9"/>
      <c r="E987" s="9"/>
      <c r="F987" s="9"/>
      <c r="G987" s="9"/>
      <c r="H987" s="8"/>
      <c r="I987" s="8"/>
      <c r="J987" s="8"/>
      <c r="K987" s="8"/>
    </row>
    <row r="988" spans="1:11" ht="15" customHeight="1" x14ac:dyDescent="0.25">
      <c r="A988" s="40"/>
      <c r="B988" s="9"/>
      <c r="C988" s="9"/>
      <c r="D988" s="9"/>
      <c r="E988" s="9"/>
      <c r="F988" s="9"/>
      <c r="G988" s="9"/>
      <c r="H988" s="8"/>
      <c r="I988" s="8"/>
      <c r="J988" s="8"/>
      <c r="K988" s="8"/>
    </row>
    <row r="989" spans="1:11" ht="15" customHeight="1" x14ac:dyDescent="0.25">
      <c r="A989" s="40"/>
      <c r="B989" s="9"/>
      <c r="C989" s="9"/>
      <c r="D989" s="9"/>
      <c r="E989" s="9"/>
      <c r="F989" s="9"/>
      <c r="G989" s="9"/>
      <c r="H989" s="8"/>
      <c r="I989" s="8"/>
      <c r="J989" s="8"/>
      <c r="K989" s="8"/>
    </row>
    <row r="990" spans="1:11" ht="15" customHeight="1" x14ac:dyDescent="0.25">
      <c r="A990" s="40"/>
      <c r="B990" s="9"/>
      <c r="C990" s="9"/>
      <c r="D990" s="9"/>
      <c r="E990" s="9"/>
      <c r="F990" s="9"/>
      <c r="G990" s="9"/>
      <c r="H990" s="8"/>
      <c r="I990" s="8"/>
      <c r="J990" s="8"/>
      <c r="K990" s="8"/>
    </row>
    <row r="991" spans="1:11" ht="15" customHeight="1" x14ac:dyDescent="0.25">
      <c r="A991" s="40"/>
      <c r="B991" s="9"/>
      <c r="C991" s="9"/>
      <c r="D991" s="9"/>
      <c r="E991" s="9"/>
      <c r="F991" s="9"/>
      <c r="G991" s="9"/>
      <c r="H991" s="8"/>
      <c r="I991" s="8"/>
      <c r="J991" s="8"/>
      <c r="K991" s="8"/>
    </row>
    <row r="992" spans="1:11" ht="15" customHeight="1" x14ac:dyDescent="0.25">
      <c r="A992" s="40"/>
      <c r="B992" s="9"/>
      <c r="C992" s="9"/>
      <c r="D992" s="9"/>
      <c r="E992" s="9"/>
      <c r="F992" s="9"/>
      <c r="G992" s="9"/>
      <c r="H992" s="8"/>
      <c r="I992" s="8"/>
      <c r="J992" s="8"/>
      <c r="K992" s="8"/>
    </row>
    <row r="993" spans="1:11" ht="15" customHeight="1" x14ac:dyDescent="0.25">
      <c r="A993" s="40"/>
      <c r="B993" s="9"/>
      <c r="C993" s="9"/>
      <c r="D993" s="9"/>
      <c r="E993" s="9"/>
      <c r="F993" s="9"/>
      <c r="G993" s="9"/>
      <c r="H993" s="8"/>
      <c r="I993" s="8"/>
      <c r="J993" s="8"/>
      <c r="K993" s="8"/>
    </row>
    <row r="994" spans="1:11" ht="15" customHeight="1" x14ac:dyDescent="0.25">
      <c r="A994" s="40"/>
      <c r="B994" s="9"/>
      <c r="C994" s="9"/>
      <c r="D994" s="9"/>
      <c r="E994" s="9"/>
      <c r="F994" s="9"/>
      <c r="G994" s="9"/>
      <c r="H994" s="8"/>
      <c r="I994" s="8"/>
      <c r="J994" s="8"/>
      <c r="K994" s="8"/>
    </row>
    <row r="995" spans="1:11" ht="15" customHeight="1" x14ac:dyDescent="0.25">
      <c r="A995" s="40"/>
      <c r="B995" s="9"/>
      <c r="C995" s="9"/>
      <c r="D995" s="9"/>
      <c r="E995" s="9"/>
      <c r="F995" s="9"/>
      <c r="G995" s="9"/>
      <c r="H995" s="8"/>
      <c r="I995" s="8"/>
      <c r="J995" s="8"/>
      <c r="K995" s="8"/>
    </row>
    <row r="996" spans="1:11" ht="15" customHeight="1" x14ac:dyDescent="0.25">
      <c r="A996" s="40"/>
      <c r="B996" s="9"/>
      <c r="C996" s="9"/>
      <c r="D996" s="9"/>
      <c r="E996" s="9"/>
      <c r="F996" s="9"/>
      <c r="G996" s="9"/>
      <c r="H996" s="8"/>
      <c r="I996" s="8"/>
      <c r="J996" s="8"/>
      <c r="K996" s="8"/>
    </row>
    <row r="997" spans="1:11" ht="15" customHeight="1" x14ac:dyDescent="0.25">
      <c r="A997" s="40"/>
      <c r="B997" s="9"/>
      <c r="C997" s="9"/>
      <c r="D997" s="9"/>
      <c r="E997" s="9"/>
      <c r="F997" s="9"/>
      <c r="G997" s="9"/>
      <c r="H997" s="8"/>
      <c r="I997" s="8"/>
      <c r="J997" s="8"/>
      <c r="K997" s="8"/>
    </row>
    <row r="998" spans="1:11" ht="15" customHeight="1" x14ac:dyDescent="0.25">
      <c r="A998" s="40"/>
      <c r="B998" s="9"/>
      <c r="C998" s="9"/>
      <c r="D998" s="9"/>
      <c r="E998" s="9"/>
      <c r="F998" s="9"/>
      <c r="G998" s="9"/>
      <c r="H998" s="8"/>
      <c r="I998" s="8"/>
      <c r="J998" s="8"/>
      <c r="K998" s="8"/>
    </row>
    <row r="999" spans="1:11" ht="15" customHeight="1" x14ac:dyDescent="0.25">
      <c r="A999" s="40"/>
      <c r="B999" s="9"/>
      <c r="C999" s="9"/>
      <c r="D999" s="9"/>
      <c r="E999" s="9"/>
      <c r="F999" s="9"/>
      <c r="G999" s="9"/>
      <c r="H999" s="8"/>
      <c r="I999" s="8"/>
      <c r="J999" s="8"/>
      <c r="K999" s="8"/>
    </row>
    <row r="1000" spans="1:11" ht="15" customHeight="1" x14ac:dyDescent="0.25">
      <c r="A1000" s="40"/>
      <c r="B1000" s="9"/>
      <c r="C1000" s="9"/>
      <c r="D1000" s="9"/>
      <c r="E1000" s="9"/>
      <c r="F1000" s="9"/>
      <c r="G1000" s="9"/>
      <c r="H1000" s="8"/>
      <c r="I1000" s="8"/>
      <c r="J1000" s="8"/>
      <c r="K1000" s="8"/>
    </row>
    <row r="1001" spans="1:11" ht="15" customHeight="1" x14ac:dyDescent="0.25">
      <c r="A1001" s="40"/>
      <c r="B1001" s="9"/>
      <c r="C1001" s="9"/>
      <c r="D1001" s="9"/>
      <c r="E1001" s="9"/>
      <c r="F1001" s="9"/>
      <c r="G1001" s="9"/>
      <c r="H1001" s="8"/>
      <c r="I1001" s="8"/>
      <c r="J1001" s="8"/>
      <c r="K1001" s="8"/>
    </row>
    <row r="1002" spans="1:11" ht="15" customHeight="1" x14ac:dyDescent="0.25">
      <c r="A1002" s="40"/>
      <c r="B1002" s="9"/>
      <c r="C1002" s="9"/>
      <c r="D1002" s="9"/>
      <c r="E1002" s="9"/>
      <c r="F1002" s="9"/>
      <c r="G1002" s="9"/>
      <c r="H1002" s="8"/>
      <c r="I1002" s="8"/>
      <c r="J1002" s="8"/>
      <c r="K1002" s="8"/>
    </row>
    <row r="1003" spans="1:11" ht="15" customHeight="1" x14ac:dyDescent="0.25">
      <c r="A1003" s="40"/>
      <c r="B1003" s="9"/>
      <c r="C1003" s="9"/>
      <c r="D1003" s="9"/>
      <c r="E1003" s="9"/>
      <c r="F1003" s="9"/>
      <c r="G1003" s="9"/>
      <c r="H1003" s="8"/>
      <c r="I1003" s="8"/>
      <c r="J1003" s="8"/>
      <c r="K1003" s="8"/>
    </row>
    <row r="1004" spans="1:11" ht="15" customHeight="1" x14ac:dyDescent="0.25">
      <c r="A1004" s="40"/>
      <c r="B1004" s="9"/>
      <c r="C1004" s="9"/>
      <c r="D1004" s="9"/>
      <c r="E1004" s="9"/>
      <c r="F1004" s="9"/>
      <c r="G1004" s="9"/>
      <c r="H1004" s="8"/>
      <c r="I1004" s="8"/>
      <c r="J1004" s="8"/>
      <c r="K1004" s="8"/>
    </row>
    <row r="1005" spans="1:11" ht="15" customHeight="1" x14ac:dyDescent="0.25">
      <c r="A1005" s="40"/>
      <c r="B1005" s="9"/>
      <c r="C1005" s="9"/>
      <c r="D1005" s="9"/>
      <c r="E1005" s="9"/>
      <c r="F1005" s="9"/>
      <c r="G1005" s="9"/>
      <c r="H1005" s="8"/>
      <c r="I1005" s="8"/>
      <c r="J1005" s="8"/>
      <c r="K1005" s="8"/>
    </row>
    <row r="1006" spans="1:11" ht="15" customHeight="1" x14ac:dyDescent="0.25">
      <c r="A1006" s="40"/>
      <c r="B1006" s="9"/>
      <c r="C1006" s="9"/>
      <c r="D1006" s="9"/>
      <c r="E1006" s="9"/>
      <c r="F1006" s="9"/>
      <c r="G1006" s="9"/>
      <c r="H1006" s="8"/>
      <c r="I1006" s="8"/>
      <c r="J1006" s="8"/>
      <c r="K1006" s="8"/>
    </row>
    <row r="1007" spans="1:11" ht="15" customHeight="1" x14ac:dyDescent="0.25">
      <c r="A1007" s="40"/>
      <c r="B1007" s="9"/>
      <c r="C1007" s="9"/>
      <c r="D1007" s="9"/>
      <c r="E1007" s="9"/>
      <c r="F1007" s="9"/>
      <c r="G1007" s="9"/>
      <c r="H1007" s="8"/>
      <c r="I1007" s="8"/>
      <c r="J1007" s="8"/>
      <c r="K1007" s="8"/>
    </row>
    <row r="1008" spans="1:11" ht="15" customHeight="1" x14ac:dyDescent="0.25">
      <c r="A1008" s="40"/>
      <c r="B1008" s="9"/>
      <c r="C1008" s="9"/>
      <c r="D1008" s="9"/>
      <c r="E1008" s="9"/>
      <c r="F1008" s="9"/>
      <c r="G1008" s="9"/>
      <c r="H1008" s="8"/>
      <c r="I1008" s="8"/>
      <c r="J1008" s="8"/>
      <c r="K1008" s="8"/>
    </row>
    <row r="1009" spans="1:11" ht="15" customHeight="1" x14ac:dyDescent="0.25">
      <c r="A1009" s="40"/>
      <c r="B1009" s="9"/>
      <c r="C1009" s="9"/>
      <c r="D1009" s="9"/>
      <c r="E1009" s="9"/>
      <c r="F1009" s="9"/>
      <c r="G1009" s="9"/>
      <c r="H1009" s="8"/>
      <c r="I1009" s="8"/>
      <c r="J1009" s="8"/>
      <c r="K1009" s="8"/>
    </row>
    <row r="1010" spans="1:11" ht="15" customHeight="1" x14ac:dyDescent="0.25">
      <c r="A1010" s="40"/>
      <c r="B1010" s="9"/>
      <c r="C1010" s="9"/>
      <c r="D1010" s="9"/>
      <c r="E1010" s="9"/>
      <c r="F1010" s="9"/>
      <c r="G1010" s="9"/>
      <c r="H1010" s="8"/>
      <c r="I1010" s="8"/>
      <c r="J1010" s="8"/>
      <c r="K1010" s="8"/>
    </row>
    <row r="1011" spans="1:11" ht="15" customHeight="1" x14ac:dyDescent="0.25">
      <c r="A1011" s="40"/>
      <c r="B1011" s="9"/>
      <c r="C1011" s="9"/>
      <c r="D1011" s="9"/>
      <c r="E1011" s="9"/>
      <c r="F1011" s="9"/>
      <c r="G1011" s="9"/>
      <c r="H1011" s="8"/>
      <c r="I1011" s="8"/>
      <c r="J1011" s="8"/>
      <c r="K1011" s="8"/>
    </row>
    <row r="1012" spans="1:11" ht="15" customHeight="1" x14ac:dyDescent="0.25">
      <c r="A1012" s="40"/>
      <c r="B1012" s="9"/>
      <c r="C1012" s="9"/>
      <c r="D1012" s="9"/>
      <c r="E1012" s="9"/>
      <c r="F1012" s="9"/>
      <c r="G1012" s="9"/>
      <c r="H1012" s="8"/>
      <c r="I1012" s="8"/>
      <c r="J1012" s="8"/>
      <c r="K1012" s="8"/>
    </row>
    <row r="1013" spans="1:11" ht="15" customHeight="1" x14ac:dyDescent="0.25">
      <c r="A1013" s="40"/>
      <c r="B1013" s="9"/>
      <c r="C1013" s="9"/>
      <c r="D1013" s="9"/>
      <c r="E1013" s="9"/>
      <c r="F1013" s="9"/>
      <c r="G1013" s="9"/>
      <c r="H1013" s="8"/>
      <c r="I1013" s="8"/>
      <c r="J1013" s="8"/>
      <c r="K1013" s="8"/>
    </row>
    <row r="1014" spans="1:11" ht="15" customHeight="1" x14ac:dyDescent="0.25">
      <c r="A1014" s="40"/>
      <c r="B1014" s="9"/>
      <c r="C1014" s="9"/>
      <c r="D1014" s="9"/>
      <c r="E1014" s="9"/>
      <c r="F1014" s="9"/>
      <c r="G1014" s="9"/>
      <c r="H1014" s="8"/>
      <c r="I1014" s="8"/>
      <c r="J1014" s="8"/>
      <c r="K1014" s="8"/>
    </row>
    <row r="1015" spans="1:11" ht="15" customHeight="1" x14ac:dyDescent="0.25">
      <c r="A1015" s="40"/>
      <c r="B1015" s="9"/>
      <c r="C1015" s="9"/>
      <c r="D1015" s="9"/>
      <c r="E1015" s="9"/>
      <c r="F1015" s="9"/>
      <c r="G1015" s="9"/>
      <c r="H1015" s="8"/>
      <c r="I1015" s="8"/>
      <c r="J1015" s="8"/>
      <c r="K1015" s="8"/>
    </row>
    <row r="1016" spans="1:11" ht="15" customHeight="1" x14ac:dyDescent="0.25">
      <c r="A1016" s="40"/>
      <c r="B1016" s="9"/>
      <c r="C1016" s="9"/>
      <c r="D1016" s="9"/>
      <c r="E1016" s="9"/>
      <c r="F1016" s="9"/>
      <c r="G1016" s="9"/>
      <c r="H1016" s="8"/>
      <c r="I1016" s="8"/>
      <c r="J1016" s="8"/>
      <c r="K1016" s="8"/>
    </row>
    <row r="1017" spans="1:11" ht="15" customHeight="1" x14ac:dyDescent="0.25">
      <c r="A1017" s="40"/>
      <c r="B1017" s="9"/>
      <c r="C1017" s="9"/>
      <c r="D1017" s="9"/>
      <c r="E1017" s="9"/>
      <c r="F1017" s="9"/>
      <c r="G1017" s="9"/>
      <c r="H1017" s="8"/>
      <c r="I1017" s="8"/>
      <c r="J1017" s="8"/>
      <c r="K1017" s="8"/>
    </row>
    <row r="1018" spans="1:11" ht="15" customHeight="1" x14ac:dyDescent="0.25">
      <c r="A1018" s="40"/>
      <c r="B1018" s="9"/>
      <c r="C1018" s="9"/>
      <c r="D1018" s="9"/>
      <c r="E1018" s="9"/>
      <c r="F1018" s="9"/>
      <c r="G1018" s="9"/>
      <c r="H1018" s="8"/>
      <c r="I1018" s="8"/>
      <c r="J1018" s="8"/>
      <c r="K1018" s="8"/>
    </row>
    <row r="1019" spans="1:11" ht="15" customHeight="1" x14ac:dyDescent="0.25">
      <c r="A1019" s="40"/>
      <c r="B1019" s="9"/>
      <c r="C1019" s="9"/>
      <c r="D1019" s="9"/>
      <c r="E1019" s="9"/>
      <c r="F1019" s="9"/>
      <c r="G1019" s="9"/>
      <c r="H1019" s="8"/>
      <c r="I1019" s="8"/>
      <c r="J1019" s="8"/>
      <c r="K1019" s="8"/>
    </row>
    <row r="1020" spans="1:11" ht="15" customHeight="1" x14ac:dyDescent="0.25">
      <c r="A1020" s="40"/>
      <c r="B1020" s="9"/>
      <c r="C1020" s="9"/>
      <c r="D1020" s="9"/>
      <c r="E1020" s="9"/>
      <c r="F1020" s="9"/>
      <c r="G1020" s="9"/>
      <c r="H1020" s="8"/>
      <c r="I1020" s="8"/>
      <c r="J1020" s="8"/>
      <c r="K1020" s="8"/>
    </row>
    <row r="1021" spans="1:11" ht="15" customHeight="1" x14ac:dyDescent="0.25">
      <c r="A1021" s="40"/>
      <c r="B1021" s="9"/>
      <c r="C1021" s="9"/>
      <c r="D1021" s="9"/>
      <c r="E1021" s="9"/>
      <c r="F1021" s="9"/>
      <c r="G1021" s="9"/>
      <c r="H1021" s="8"/>
      <c r="I1021" s="8"/>
      <c r="J1021" s="8"/>
      <c r="K1021" s="8"/>
    </row>
    <row r="1022" spans="1:11" ht="15.75" customHeight="1" x14ac:dyDescent="0.25">
      <c r="A1022" s="40"/>
      <c r="B1022" s="9"/>
      <c r="C1022" s="9"/>
      <c r="D1022" s="9"/>
      <c r="E1022" s="9"/>
      <c r="F1022" s="9"/>
      <c r="G1022" s="9"/>
      <c r="H1022" s="8"/>
      <c r="I1022" s="8"/>
      <c r="J1022" s="8"/>
      <c r="K1022" s="8"/>
    </row>
    <row r="1023" spans="1:11" ht="15" customHeight="1" x14ac:dyDescent="0.25">
      <c r="A1023" s="40"/>
      <c r="B1023" s="9"/>
      <c r="C1023" s="9"/>
      <c r="D1023" s="9"/>
      <c r="E1023" s="9"/>
      <c r="F1023" s="9"/>
      <c r="G1023" s="9"/>
      <c r="H1023" s="8"/>
      <c r="I1023" s="8"/>
      <c r="J1023" s="8"/>
      <c r="K1023" s="8"/>
    </row>
    <row r="1024" spans="1:11" ht="15" customHeight="1" x14ac:dyDescent="0.25">
      <c r="A1024" s="40"/>
      <c r="B1024" s="9"/>
      <c r="C1024" s="9"/>
      <c r="D1024" s="9"/>
      <c r="E1024" s="9"/>
      <c r="F1024" s="9"/>
      <c r="G1024" s="9"/>
      <c r="H1024" s="8"/>
      <c r="I1024" s="8"/>
      <c r="J1024" s="8"/>
      <c r="K1024" s="8"/>
    </row>
    <row r="1025" spans="1:11" ht="15" customHeight="1" x14ac:dyDescent="0.25">
      <c r="A1025" s="40"/>
      <c r="B1025" s="9"/>
      <c r="C1025" s="9"/>
      <c r="D1025" s="9"/>
      <c r="E1025" s="9"/>
      <c r="F1025" s="9"/>
      <c r="G1025" s="9"/>
      <c r="H1025" s="8"/>
      <c r="I1025" s="8"/>
      <c r="J1025" s="8"/>
      <c r="K1025" s="8"/>
    </row>
    <row r="1026" spans="1:11" ht="15" customHeight="1" x14ac:dyDescent="0.25">
      <c r="A1026" s="40"/>
      <c r="B1026" s="9"/>
      <c r="C1026" s="9"/>
      <c r="D1026" s="9"/>
      <c r="E1026" s="9"/>
      <c r="F1026" s="9"/>
      <c r="G1026" s="9"/>
      <c r="H1026" s="8"/>
      <c r="I1026" s="8"/>
      <c r="J1026" s="8"/>
      <c r="K1026" s="8"/>
    </row>
    <row r="1027" spans="1:11" ht="15" customHeight="1" x14ac:dyDescent="0.25">
      <c r="A1027" s="40"/>
      <c r="B1027" s="9"/>
      <c r="C1027" s="9"/>
      <c r="D1027" s="9"/>
      <c r="E1027" s="9"/>
      <c r="F1027" s="9"/>
      <c r="G1027" s="9"/>
      <c r="H1027" s="8"/>
      <c r="I1027" s="8"/>
      <c r="J1027" s="8"/>
      <c r="K1027" s="8"/>
    </row>
    <row r="1028" spans="1:11" ht="15" customHeight="1" x14ac:dyDescent="0.25">
      <c r="A1028" s="40"/>
      <c r="B1028" s="9"/>
      <c r="C1028" s="9"/>
      <c r="D1028" s="9"/>
      <c r="E1028" s="9"/>
      <c r="F1028" s="9"/>
      <c r="G1028" s="9"/>
      <c r="H1028" s="8"/>
      <c r="I1028" s="8"/>
      <c r="J1028" s="8"/>
      <c r="K1028" s="8"/>
    </row>
    <row r="1029" spans="1:11" ht="15" customHeight="1" x14ac:dyDescent="0.25">
      <c r="A1029" s="40"/>
      <c r="B1029" s="9"/>
      <c r="C1029" s="9"/>
      <c r="D1029" s="9"/>
      <c r="E1029" s="9"/>
      <c r="F1029" s="9"/>
      <c r="G1029" s="9"/>
      <c r="H1029" s="8"/>
      <c r="I1029" s="8"/>
      <c r="J1029" s="8"/>
      <c r="K1029" s="8"/>
    </row>
    <row r="1030" spans="1:11" ht="15" customHeight="1" x14ac:dyDescent="0.25">
      <c r="A1030" s="40"/>
      <c r="B1030" s="9"/>
      <c r="C1030" s="9"/>
      <c r="D1030" s="9"/>
      <c r="E1030" s="9"/>
      <c r="F1030" s="9"/>
      <c r="G1030" s="9"/>
      <c r="H1030" s="8"/>
      <c r="I1030" s="8"/>
      <c r="J1030" s="8"/>
      <c r="K1030" s="8"/>
    </row>
    <row r="1031" spans="1:11" ht="15" customHeight="1" x14ac:dyDescent="0.25">
      <c r="A1031" s="40"/>
      <c r="B1031" s="9"/>
      <c r="C1031" s="9"/>
      <c r="D1031" s="9"/>
      <c r="E1031" s="9"/>
      <c r="F1031" s="9"/>
      <c r="G1031" s="9"/>
      <c r="H1031" s="8"/>
      <c r="I1031" s="8"/>
      <c r="J1031" s="8"/>
      <c r="K1031" s="8"/>
    </row>
    <row r="1032" spans="1:11" ht="15" customHeight="1" x14ac:dyDescent="0.25">
      <c r="A1032" s="40"/>
      <c r="B1032" s="9"/>
      <c r="C1032" s="9"/>
      <c r="D1032" s="9"/>
      <c r="E1032" s="9"/>
      <c r="F1032" s="9"/>
      <c r="G1032" s="9"/>
      <c r="H1032" s="8"/>
      <c r="I1032" s="8"/>
      <c r="J1032" s="8"/>
      <c r="K1032" s="8"/>
    </row>
    <row r="1033" spans="1:11" ht="15" customHeight="1" x14ac:dyDescent="0.25">
      <c r="A1033" s="40"/>
      <c r="B1033" s="9"/>
      <c r="C1033" s="9"/>
      <c r="D1033" s="9"/>
      <c r="E1033" s="9"/>
      <c r="F1033" s="9"/>
      <c r="G1033" s="9"/>
      <c r="H1033" s="8"/>
      <c r="I1033" s="8"/>
      <c r="J1033" s="8"/>
      <c r="K1033" s="8"/>
    </row>
    <row r="1034" spans="1:11" ht="15" customHeight="1" x14ac:dyDescent="0.25">
      <c r="A1034" s="40"/>
      <c r="B1034" s="9"/>
      <c r="C1034" s="9"/>
      <c r="D1034" s="9"/>
      <c r="E1034" s="9"/>
      <c r="F1034" s="9"/>
      <c r="G1034" s="9"/>
      <c r="H1034" s="8"/>
      <c r="I1034" s="8"/>
      <c r="J1034" s="8"/>
      <c r="K1034" s="8"/>
    </row>
    <row r="1035" spans="1:11" ht="15" customHeight="1" x14ac:dyDescent="0.25">
      <c r="A1035" s="40"/>
      <c r="B1035" s="9"/>
      <c r="C1035" s="9"/>
      <c r="D1035" s="9"/>
      <c r="E1035" s="9"/>
      <c r="F1035" s="9"/>
      <c r="G1035" s="9"/>
      <c r="H1035" s="8"/>
      <c r="I1035" s="8"/>
      <c r="J1035" s="8"/>
      <c r="K1035" s="8"/>
    </row>
    <row r="1036" spans="1:11" ht="15" customHeight="1" x14ac:dyDescent="0.25">
      <c r="A1036" s="40"/>
      <c r="B1036" s="9"/>
      <c r="C1036" s="9"/>
      <c r="D1036" s="9"/>
      <c r="E1036" s="9"/>
      <c r="F1036" s="9"/>
      <c r="G1036" s="9"/>
      <c r="H1036" s="8"/>
      <c r="I1036" s="8"/>
      <c r="J1036" s="8"/>
      <c r="K1036" s="8"/>
    </row>
    <row r="1037" spans="1:11" ht="15" customHeight="1" x14ac:dyDescent="0.25">
      <c r="A1037" s="40"/>
      <c r="B1037" s="9"/>
      <c r="C1037" s="9"/>
      <c r="D1037" s="9"/>
      <c r="E1037" s="9"/>
      <c r="F1037" s="9"/>
      <c r="G1037" s="9"/>
      <c r="H1037" s="8"/>
      <c r="I1037" s="8"/>
      <c r="J1037" s="8"/>
      <c r="K1037" s="8"/>
    </row>
    <row r="1038" spans="1:11" ht="15" customHeight="1" x14ac:dyDescent="0.25">
      <c r="A1038" s="40"/>
      <c r="B1038" s="9"/>
      <c r="C1038" s="9"/>
      <c r="D1038" s="9"/>
      <c r="E1038" s="9"/>
      <c r="F1038" s="9"/>
      <c r="G1038" s="9"/>
      <c r="H1038" s="8"/>
      <c r="I1038" s="8"/>
      <c r="J1038" s="8"/>
      <c r="K1038" s="8"/>
    </row>
    <row r="1039" spans="1:11" ht="15" customHeight="1" x14ac:dyDescent="0.25">
      <c r="A1039" s="40"/>
      <c r="B1039" s="9"/>
      <c r="C1039" s="9"/>
      <c r="D1039" s="9"/>
      <c r="E1039" s="9"/>
      <c r="F1039" s="9"/>
      <c r="G1039" s="9"/>
      <c r="H1039" s="8"/>
      <c r="I1039" s="8"/>
      <c r="J1039" s="8"/>
      <c r="K1039" s="8"/>
    </row>
    <row r="1040" spans="1:11" ht="15" customHeight="1" x14ac:dyDescent="0.25">
      <c r="A1040" s="40"/>
      <c r="B1040" s="9"/>
      <c r="C1040" s="9"/>
      <c r="D1040" s="9"/>
      <c r="E1040" s="9"/>
      <c r="F1040" s="9"/>
      <c r="G1040" s="9"/>
      <c r="H1040" s="8"/>
      <c r="I1040" s="8"/>
      <c r="J1040" s="8"/>
      <c r="K1040" s="8"/>
    </row>
    <row r="1041" spans="1:11" ht="15" customHeight="1" x14ac:dyDescent="0.25">
      <c r="A1041" s="40"/>
      <c r="B1041" s="9"/>
      <c r="C1041" s="9"/>
      <c r="D1041" s="9"/>
      <c r="E1041" s="9"/>
      <c r="F1041" s="9"/>
      <c r="G1041" s="9"/>
      <c r="H1041" s="8"/>
      <c r="I1041" s="8"/>
      <c r="J1041" s="8"/>
      <c r="K1041" s="8"/>
    </row>
    <row r="1042" spans="1:11" ht="15" customHeight="1" x14ac:dyDescent="0.25">
      <c r="A1042" s="40"/>
      <c r="B1042" s="9"/>
      <c r="C1042" s="9"/>
      <c r="D1042" s="9"/>
      <c r="E1042" s="9"/>
      <c r="F1042" s="9"/>
      <c r="G1042" s="9"/>
      <c r="H1042" s="8"/>
      <c r="I1042" s="8"/>
      <c r="J1042" s="8"/>
      <c r="K1042" s="8"/>
    </row>
    <row r="1043" spans="1:11" ht="15" customHeight="1" x14ac:dyDescent="0.25">
      <c r="A1043" s="40"/>
      <c r="B1043" s="9"/>
      <c r="C1043" s="9"/>
      <c r="D1043" s="9"/>
      <c r="E1043" s="9"/>
      <c r="F1043" s="9"/>
      <c r="G1043" s="9"/>
      <c r="H1043" s="8"/>
      <c r="I1043" s="8"/>
      <c r="J1043" s="8"/>
      <c r="K1043" s="8"/>
    </row>
    <row r="1044" spans="1:11" ht="15" customHeight="1" x14ac:dyDescent="0.25">
      <c r="A1044" s="40"/>
      <c r="B1044" s="9"/>
      <c r="C1044" s="9"/>
      <c r="D1044" s="9"/>
      <c r="E1044" s="9"/>
      <c r="F1044" s="9"/>
      <c r="G1044" s="9"/>
      <c r="H1044" s="8"/>
      <c r="I1044" s="8"/>
      <c r="J1044" s="8"/>
      <c r="K1044" s="8"/>
    </row>
    <row r="1045" spans="1:11" ht="15" customHeight="1" x14ac:dyDescent="0.25">
      <c r="A1045" s="40"/>
      <c r="B1045" s="9"/>
      <c r="C1045" s="9"/>
      <c r="D1045" s="9"/>
      <c r="E1045" s="9"/>
      <c r="F1045" s="9"/>
      <c r="G1045" s="9"/>
      <c r="H1045" s="8"/>
      <c r="I1045" s="8"/>
      <c r="J1045" s="8"/>
      <c r="K1045" s="8"/>
    </row>
    <row r="1046" spans="1:11" ht="15" customHeight="1" x14ac:dyDescent="0.25">
      <c r="A1046" s="40"/>
      <c r="B1046" s="9"/>
      <c r="C1046" s="9"/>
      <c r="D1046" s="9"/>
      <c r="E1046" s="9"/>
      <c r="F1046" s="9"/>
      <c r="G1046" s="9"/>
      <c r="H1046" s="8"/>
      <c r="I1046" s="8"/>
      <c r="J1046" s="8"/>
      <c r="K1046" s="8"/>
    </row>
    <row r="1047" spans="1:11" ht="15" customHeight="1" x14ac:dyDescent="0.25">
      <c r="A1047" s="40"/>
      <c r="B1047" s="9"/>
      <c r="C1047" s="9"/>
      <c r="D1047" s="9"/>
      <c r="E1047" s="9"/>
      <c r="F1047" s="9"/>
      <c r="G1047" s="9"/>
      <c r="H1047" s="8"/>
      <c r="I1047" s="8"/>
      <c r="J1047" s="8"/>
      <c r="K1047" s="8"/>
    </row>
    <row r="1048" spans="1:11" ht="15" customHeight="1" x14ac:dyDescent="0.25">
      <c r="A1048" s="40"/>
      <c r="B1048" s="9"/>
      <c r="C1048" s="9"/>
      <c r="D1048" s="9"/>
      <c r="E1048" s="9"/>
      <c r="F1048" s="9"/>
      <c r="G1048" s="9"/>
      <c r="H1048" s="8"/>
      <c r="I1048" s="8"/>
      <c r="J1048" s="8"/>
      <c r="K1048" s="8"/>
    </row>
    <row r="1049" spans="1:11" ht="15" customHeight="1" x14ac:dyDescent="0.25">
      <c r="A1049" s="40"/>
      <c r="B1049" s="9"/>
      <c r="C1049" s="9"/>
      <c r="D1049" s="9"/>
      <c r="E1049" s="9"/>
      <c r="F1049" s="9"/>
      <c r="G1049" s="9"/>
      <c r="H1049" s="8"/>
      <c r="I1049" s="8"/>
      <c r="J1049" s="8"/>
      <c r="K1049" s="8"/>
    </row>
    <row r="1050" spans="1:11" ht="15" customHeight="1" x14ac:dyDescent="0.25">
      <c r="A1050" s="40"/>
      <c r="B1050" s="9"/>
      <c r="C1050" s="9"/>
      <c r="D1050" s="9"/>
      <c r="E1050" s="9"/>
      <c r="F1050" s="9"/>
      <c r="G1050" s="9"/>
      <c r="H1050" s="8"/>
      <c r="I1050" s="8"/>
      <c r="J1050" s="8"/>
      <c r="K1050" s="8"/>
    </row>
    <row r="1051" spans="1:11" ht="15" customHeight="1" x14ac:dyDescent="0.25">
      <c r="A1051" s="40"/>
      <c r="B1051" s="9"/>
      <c r="C1051" s="9"/>
      <c r="D1051" s="9"/>
      <c r="E1051" s="9"/>
      <c r="F1051" s="9"/>
      <c r="G1051" s="9"/>
      <c r="H1051" s="8"/>
      <c r="I1051" s="8"/>
      <c r="J1051" s="8"/>
      <c r="K1051" s="8"/>
    </row>
    <row r="1052" spans="1:11" ht="15" customHeight="1" x14ac:dyDescent="0.25">
      <c r="A1052" s="40"/>
      <c r="B1052" s="9"/>
      <c r="C1052" s="9"/>
      <c r="D1052" s="9"/>
      <c r="E1052" s="9"/>
      <c r="F1052" s="9"/>
      <c r="G1052" s="9"/>
      <c r="H1052" s="8"/>
      <c r="I1052" s="8"/>
      <c r="J1052" s="8"/>
      <c r="K1052" s="8"/>
    </row>
    <row r="1053" spans="1:11" ht="15" customHeight="1" x14ac:dyDescent="0.25">
      <c r="A1053" s="40"/>
      <c r="B1053" s="9"/>
      <c r="C1053" s="9"/>
      <c r="D1053" s="9"/>
      <c r="E1053" s="9"/>
      <c r="F1053" s="9"/>
      <c r="G1053" s="9"/>
      <c r="H1053" s="8"/>
      <c r="I1053" s="8"/>
      <c r="J1053" s="8"/>
      <c r="K1053" s="8"/>
    </row>
    <row r="1054" spans="1:11" ht="15" customHeight="1" x14ac:dyDescent="0.25">
      <c r="A1054" s="40"/>
      <c r="B1054" s="9"/>
      <c r="C1054" s="9"/>
      <c r="D1054" s="9"/>
      <c r="E1054" s="9"/>
      <c r="F1054" s="9"/>
      <c r="G1054" s="9"/>
      <c r="H1054" s="8"/>
      <c r="I1054" s="8"/>
      <c r="J1054" s="8"/>
      <c r="K1054" s="8"/>
    </row>
    <row r="1055" spans="1:11" ht="15" customHeight="1" x14ac:dyDescent="0.25">
      <c r="A1055" s="40"/>
      <c r="B1055" s="9"/>
      <c r="C1055" s="9"/>
      <c r="D1055" s="9"/>
      <c r="E1055" s="9"/>
      <c r="F1055" s="9"/>
      <c r="G1055" s="9"/>
      <c r="H1055" s="8"/>
      <c r="I1055" s="8"/>
      <c r="J1055" s="8"/>
      <c r="K1055" s="8"/>
    </row>
    <row r="1056" spans="1:11" ht="15" customHeight="1" x14ac:dyDescent="0.25">
      <c r="A1056" s="40"/>
      <c r="B1056" s="9"/>
      <c r="C1056" s="9"/>
      <c r="D1056" s="9"/>
      <c r="E1056" s="9"/>
      <c r="F1056" s="9"/>
      <c r="G1056" s="9"/>
      <c r="H1056" s="8"/>
      <c r="I1056" s="8"/>
      <c r="J1056" s="8"/>
      <c r="K1056" s="8"/>
    </row>
    <row r="1057" spans="1:11" ht="15" customHeight="1" x14ac:dyDescent="0.25">
      <c r="A1057" s="40"/>
      <c r="B1057" s="9"/>
      <c r="C1057" s="9"/>
      <c r="D1057" s="9"/>
      <c r="E1057" s="9"/>
      <c r="F1057" s="9"/>
      <c r="G1057" s="9"/>
      <c r="H1057" s="8"/>
      <c r="I1057" s="8"/>
      <c r="J1057" s="8"/>
      <c r="K1057" s="8"/>
    </row>
    <row r="1058" spans="1:11" ht="15" customHeight="1" x14ac:dyDescent="0.25">
      <c r="A1058" s="40"/>
      <c r="B1058" s="9"/>
      <c r="C1058" s="9"/>
      <c r="D1058" s="9"/>
      <c r="E1058" s="9"/>
      <c r="F1058" s="9"/>
      <c r="G1058" s="9"/>
      <c r="H1058" s="8"/>
      <c r="I1058" s="8"/>
      <c r="J1058" s="8"/>
      <c r="K1058" s="8"/>
    </row>
    <row r="1059" spans="1:11" ht="15" customHeight="1" x14ac:dyDescent="0.25">
      <c r="A1059" s="40"/>
      <c r="B1059" s="9"/>
      <c r="C1059" s="9"/>
      <c r="D1059" s="9"/>
      <c r="E1059" s="9"/>
      <c r="F1059" s="9"/>
      <c r="G1059" s="9"/>
      <c r="H1059" s="8"/>
      <c r="I1059" s="8"/>
      <c r="J1059" s="8"/>
      <c r="K1059" s="8"/>
    </row>
    <row r="1060" spans="1:11" ht="15" customHeight="1" x14ac:dyDescent="0.25">
      <c r="A1060" s="40"/>
      <c r="B1060" s="9"/>
      <c r="C1060" s="9"/>
      <c r="D1060" s="9"/>
      <c r="E1060" s="9"/>
      <c r="F1060" s="9"/>
      <c r="G1060" s="9"/>
      <c r="H1060" s="8"/>
      <c r="I1060" s="8"/>
      <c r="J1060" s="8"/>
      <c r="K1060" s="8"/>
    </row>
    <row r="1061" spans="1:11" ht="15" customHeight="1" x14ac:dyDescent="0.25">
      <c r="A1061" s="40"/>
      <c r="B1061" s="9"/>
      <c r="C1061" s="9"/>
      <c r="D1061" s="9"/>
      <c r="E1061" s="9"/>
      <c r="F1061" s="9"/>
      <c r="G1061" s="9"/>
      <c r="H1061" s="8"/>
      <c r="I1061" s="8"/>
      <c r="J1061" s="8"/>
      <c r="K1061" s="8"/>
    </row>
    <row r="1062" spans="1:11" ht="15" customHeight="1" x14ac:dyDescent="0.25">
      <c r="A1062" s="40"/>
      <c r="B1062" s="9"/>
      <c r="C1062" s="9"/>
      <c r="D1062" s="9"/>
      <c r="E1062" s="9"/>
      <c r="F1062" s="9"/>
      <c r="G1062" s="9"/>
      <c r="H1062" s="8"/>
      <c r="I1062" s="8"/>
      <c r="J1062" s="8"/>
      <c r="K1062" s="8"/>
    </row>
    <row r="1063" spans="1:11" ht="15" customHeight="1" x14ac:dyDescent="0.25">
      <c r="A1063" s="40"/>
      <c r="B1063" s="9"/>
      <c r="C1063" s="9"/>
      <c r="D1063" s="9"/>
      <c r="E1063" s="9"/>
      <c r="F1063" s="9"/>
      <c r="G1063" s="9"/>
      <c r="H1063" s="8"/>
      <c r="I1063" s="8"/>
      <c r="J1063" s="8"/>
      <c r="K1063" s="8"/>
    </row>
    <row r="1064" spans="1:11" ht="15" customHeight="1" x14ac:dyDescent="0.25">
      <c r="A1064" s="40"/>
      <c r="B1064" s="9"/>
      <c r="C1064" s="9"/>
      <c r="D1064" s="9"/>
      <c r="E1064" s="9"/>
      <c r="F1064" s="9"/>
      <c r="G1064" s="9"/>
      <c r="H1064" s="8"/>
      <c r="I1064" s="8"/>
      <c r="J1064" s="8"/>
      <c r="K1064" s="8"/>
    </row>
    <row r="1065" spans="1:11" ht="15" customHeight="1" x14ac:dyDescent="0.25">
      <c r="A1065" s="40"/>
      <c r="B1065" s="9"/>
      <c r="C1065" s="9"/>
      <c r="D1065" s="9"/>
      <c r="E1065" s="9"/>
      <c r="F1065" s="9"/>
      <c r="G1065" s="9"/>
      <c r="H1065" s="8"/>
      <c r="I1065" s="8"/>
      <c r="J1065" s="8"/>
      <c r="K1065" s="8"/>
    </row>
    <row r="1066" spans="1:11" ht="15" customHeight="1" x14ac:dyDescent="0.25">
      <c r="A1066" s="40"/>
      <c r="B1066" s="9"/>
      <c r="C1066" s="9"/>
      <c r="D1066" s="9"/>
      <c r="E1066" s="9"/>
      <c r="F1066" s="9"/>
      <c r="G1066" s="9"/>
      <c r="H1066" s="8"/>
      <c r="I1066" s="8"/>
      <c r="J1066" s="8"/>
      <c r="K1066" s="8"/>
    </row>
    <row r="1067" spans="1:11" ht="15" customHeight="1" x14ac:dyDescent="0.25">
      <c r="A1067" s="40"/>
      <c r="B1067" s="9"/>
      <c r="C1067" s="9"/>
      <c r="D1067" s="9"/>
      <c r="E1067" s="9"/>
      <c r="F1067" s="9"/>
      <c r="G1067" s="9"/>
      <c r="H1067" s="8"/>
      <c r="I1067" s="8"/>
      <c r="J1067" s="8"/>
      <c r="K1067" s="8"/>
    </row>
    <row r="1068" spans="1:11" ht="15" customHeight="1" x14ac:dyDescent="0.25">
      <c r="A1068" s="40"/>
      <c r="B1068" s="9"/>
      <c r="C1068" s="9"/>
      <c r="D1068" s="9"/>
      <c r="E1068" s="9"/>
      <c r="F1068" s="9"/>
      <c r="G1068" s="9"/>
      <c r="H1068" s="8"/>
      <c r="I1068" s="8"/>
      <c r="J1068" s="8"/>
      <c r="K1068" s="8"/>
    </row>
    <row r="1069" spans="1:11" ht="15" customHeight="1" x14ac:dyDescent="0.25">
      <c r="A1069" s="40"/>
      <c r="B1069" s="9"/>
      <c r="C1069" s="9"/>
      <c r="D1069" s="9"/>
      <c r="E1069" s="9"/>
      <c r="F1069" s="9"/>
      <c r="G1069" s="9"/>
      <c r="H1069" s="8"/>
      <c r="I1069" s="8"/>
      <c r="J1069" s="8"/>
      <c r="K1069" s="8"/>
    </row>
    <row r="1070" spans="1:11" ht="15" customHeight="1" x14ac:dyDescent="0.25">
      <c r="A1070" s="40"/>
      <c r="B1070" s="9"/>
      <c r="C1070" s="9"/>
      <c r="D1070" s="9"/>
      <c r="E1070" s="9"/>
      <c r="F1070" s="9"/>
      <c r="G1070" s="9"/>
      <c r="H1070" s="8"/>
      <c r="I1070" s="8"/>
      <c r="J1070" s="8"/>
      <c r="K1070" s="8"/>
    </row>
    <row r="1071" spans="1:11" ht="15" customHeight="1" x14ac:dyDescent="0.25">
      <c r="A1071" s="40"/>
      <c r="B1071" s="9"/>
      <c r="C1071" s="9"/>
      <c r="D1071" s="9"/>
      <c r="E1071" s="9"/>
      <c r="F1071" s="9"/>
      <c r="G1071" s="9"/>
      <c r="H1071" s="8"/>
      <c r="I1071" s="8"/>
      <c r="J1071" s="8"/>
      <c r="K1071" s="8"/>
    </row>
    <row r="1072" spans="1:11" ht="15" customHeight="1" x14ac:dyDescent="0.25">
      <c r="A1072" s="40"/>
      <c r="B1072" s="9"/>
      <c r="C1072" s="9"/>
      <c r="D1072" s="9"/>
      <c r="E1072" s="9"/>
      <c r="F1072" s="9"/>
      <c r="G1072" s="9"/>
      <c r="H1072" s="8"/>
      <c r="I1072" s="8"/>
      <c r="J1072" s="8"/>
      <c r="K1072" s="8"/>
    </row>
    <row r="1073" spans="1:11" ht="15" customHeight="1" x14ac:dyDescent="0.25">
      <c r="A1073" s="40"/>
      <c r="B1073" s="9"/>
      <c r="C1073" s="9"/>
      <c r="D1073" s="9"/>
      <c r="E1073" s="9"/>
      <c r="F1073" s="9"/>
      <c r="G1073" s="9"/>
      <c r="H1073" s="8"/>
      <c r="I1073" s="8"/>
      <c r="J1073" s="8"/>
      <c r="K1073" s="8"/>
    </row>
    <row r="1074" spans="1:11" ht="15" customHeight="1" x14ac:dyDescent="0.25">
      <c r="A1074" s="40"/>
      <c r="B1074" s="9"/>
      <c r="C1074" s="9"/>
      <c r="D1074" s="9"/>
      <c r="E1074" s="9"/>
      <c r="F1074" s="9"/>
      <c r="G1074" s="9"/>
      <c r="H1074" s="8"/>
      <c r="I1074" s="8"/>
      <c r="J1074" s="8"/>
      <c r="K1074" s="8"/>
    </row>
    <row r="1075" spans="1:11" ht="15" customHeight="1" x14ac:dyDescent="0.25">
      <c r="A1075" s="40"/>
      <c r="B1075" s="9"/>
      <c r="C1075" s="9"/>
      <c r="D1075" s="9"/>
      <c r="E1075" s="9"/>
      <c r="F1075" s="9"/>
      <c r="G1075" s="9"/>
      <c r="H1075" s="8"/>
      <c r="I1075" s="8"/>
      <c r="J1075" s="8"/>
      <c r="K1075" s="8"/>
    </row>
    <row r="1076" spans="1:11" ht="15" customHeight="1" x14ac:dyDescent="0.25">
      <c r="A1076" s="40"/>
      <c r="B1076" s="9"/>
      <c r="C1076" s="9"/>
      <c r="D1076" s="9"/>
      <c r="E1076" s="9"/>
      <c r="F1076" s="9"/>
      <c r="G1076" s="9"/>
      <c r="H1076" s="8"/>
      <c r="I1076" s="8"/>
      <c r="J1076" s="8"/>
      <c r="K1076" s="8"/>
    </row>
    <row r="1077" spans="1:11" ht="15" customHeight="1" x14ac:dyDescent="0.25">
      <c r="A1077" s="40"/>
      <c r="B1077" s="9"/>
      <c r="C1077" s="9"/>
      <c r="D1077" s="9"/>
      <c r="E1077" s="9"/>
      <c r="F1077" s="9"/>
      <c r="G1077" s="9"/>
      <c r="H1077" s="8"/>
      <c r="I1077" s="8"/>
      <c r="J1077" s="8"/>
      <c r="K1077" s="8"/>
    </row>
    <row r="1078" spans="1:11" ht="15" customHeight="1" x14ac:dyDescent="0.25">
      <c r="A1078" s="40"/>
      <c r="B1078" s="9"/>
      <c r="C1078" s="9"/>
      <c r="D1078" s="9"/>
      <c r="E1078" s="9"/>
      <c r="F1078" s="9"/>
      <c r="G1078" s="9"/>
      <c r="H1078" s="8"/>
      <c r="I1078" s="8"/>
      <c r="J1078" s="8"/>
      <c r="K1078" s="8"/>
    </row>
    <row r="1079" spans="1:11" ht="15" customHeight="1" x14ac:dyDescent="0.25">
      <c r="A1079" s="40"/>
      <c r="B1079" s="9"/>
      <c r="C1079" s="9"/>
      <c r="D1079" s="9"/>
      <c r="E1079" s="9"/>
      <c r="F1079" s="9"/>
      <c r="G1079" s="9"/>
      <c r="H1079" s="8"/>
      <c r="I1079" s="8"/>
      <c r="J1079" s="8"/>
      <c r="K1079" s="8"/>
    </row>
    <row r="1080" spans="1:11" ht="15" customHeight="1" x14ac:dyDescent="0.25">
      <c r="A1080" s="40"/>
      <c r="B1080" s="9"/>
      <c r="C1080" s="9"/>
      <c r="D1080" s="9"/>
      <c r="E1080" s="9"/>
      <c r="F1080" s="9"/>
      <c r="G1080" s="9"/>
      <c r="H1080" s="8"/>
      <c r="I1080" s="8"/>
      <c r="J1080" s="8"/>
      <c r="K1080" s="8"/>
    </row>
    <row r="1081" spans="1:11" ht="15" customHeight="1" x14ac:dyDescent="0.25">
      <c r="A1081" s="40"/>
      <c r="B1081" s="9"/>
      <c r="C1081" s="9"/>
      <c r="D1081" s="9"/>
      <c r="E1081" s="9"/>
      <c r="F1081" s="9"/>
      <c r="G1081" s="9"/>
      <c r="H1081" s="8"/>
      <c r="I1081" s="8"/>
      <c r="J1081" s="8"/>
      <c r="K1081" s="8"/>
    </row>
    <row r="1082" spans="1:11" ht="15" customHeight="1" x14ac:dyDescent="0.25">
      <c r="A1082" s="40"/>
      <c r="B1082" s="9"/>
      <c r="C1082" s="9"/>
      <c r="D1082" s="9"/>
      <c r="E1082" s="9"/>
      <c r="F1082" s="9"/>
      <c r="G1082" s="9"/>
      <c r="H1082" s="8"/>
      <c r="I1082" s="8"/>
      <c r="J1082" s="8"/>
      <c r="K1082" s="8"/>
    </row>
    <row r="1083" spans="1:11" ht="15" customHeight="1" x14ac:dyDescent="0.25">
      <c r="A1083" s="40"/>
      <c r="B1083" s="9"/>
      <c r="C1083" s="9"/>
      <c r="D1083" s="9"/>
      <c r="E1083" s="9"/>
      <c r="F1083" s="9"/>
      <c r="G1083" s="9"/>
      <c r="H1083" s="8"/>
      <c r="I1083" s="8"/>
      <c r="J1083" s="8"/>
      <c r="K1083" s="8"/>
    </row>
    <row r="1084" spans="1:11" ht="15" customHeight="1" x14ac:dyDescent="0.25">
      <c r="A1084" s="40"/>
      <c r="B1084" s="9"/>
      <c r="C1084" s="9"/>
      <c r="D1084" s="9"/>
      <c r="E1084" s="9"/>
      <c r="F1084" s="9"/>
      <c r="G1084" s="9"/>
      <c r="H1084" s="8"/>
      <c r="I1084" s="8"/>
      <c r="J1084" s="8"/>
      <c r="K1084" s="8"/>
    </row>
    <row r="1085" spans="1:11" ht="15" customHeight="1" x14ac:dyDescent="0.25">
      <c r="A1085" s="40"/>
      <c r="B1085" s="9"/>
      <c r="C1085" s="9"/>
      <c r="D1085" s="9"/>
      <c r="E1085" s="9"/>
      <c r="F1085" s="9"/>
      <c r="G1085" s="9"/>
      <c r="H1085" s="8"/>
      <c r="I1085" s="8"/>
      <c r="J1085" s="8"/>
      <c r="K1085" s="8"/>
    </row>
    <row r="1086" spans="1:11" ht="15" customHeight="1" x14ac:dyDescent="0.25">
      <c r="A1086" s="40"/>
      <c r="B1086" s="9"/>
      <c r="C1086" s="9"/>
      <c r="D1086" s="9"/>
      <c r="E1086" s="9"/>
      <c r="F1086" s="9"/>
      <c r="G1086" s="9"/>
      <c r="H1086" s="8"/>
      <c r="I1086" s="8"/>
      <c r="J1086" s="8"/>
      <c r="K1086" s="8"/>
    </row>
    <row r="1087" spans="1:11" ht="15" customHeight="1" x14ac:dyDescent="0.25">
      <c r="A1087" s="40"/>
      <c r="B1087" s="9"/>
      <c r="C1087" s="9"/>
      <c r="D1087" s="9"/>
      <c r="E1087" s="9"/>
      <c r="F1087" s="9"/>
      <c r="G1087" s="9"/>
      <c r="H1087" s="8"/>
      <c r="I1087" s="8"/>
      <c r="J1087" s="8"/>
      <c r="K1087" s="8"/>
    </row>
    <row r="1088" spans="1:11" ht="15" customHeight="1" x14ac:dyDescent="0.25">
      <c r="A1088" s="40"/>
      <c r="B1088" s="9"/>
      <c r="C1088" s="9"/>
      <c r="D1088" s="9"/>
      <c r="E1088" s="9"/>
      <c r="F1088" s="9"/>
      <c r="G1088" s="9"/>
      <c r="H1088" s="8"/>
      <c r="I1088" s="8"/>
      <c r="J1088" s="8"/>
      <c r="K1088" s="8"/>
    </row>
    <row r="1089" spans="1:11" ht="15" customHeight="1" x14ac:dyDescent="0.25">
      <c r="A1089" s="40"/>
      <c r="B1089" s="9"/>
      <c r="C1089" s="9"/>
      <c r="D1089" s="9"/>
      <c r="E1089" s="9"/>
      <c r="F1089" s="9"/>
      <c r="G1089" s="9"/>
      <c r="H1089" s="8"/>
      <c r="I1089" s="8"/>
      <c r="J1089" s="8"/>
      <c r="K1089" s="8"/>
    </row>
    <row r="1090" spans="1:11" ht="15" customHeight="1" x14ac:dyDescent="0.25">
      <c r="A1090" s="40"/>
      <c r="B1090" s="9"/>
      <c r="C1090" s="9"/>
      <c r="D1090" s="9"/>
      <c r="E1090" s="9"/>
      <c r="F1090" s="9"/>
      <c r="G1090" s="9"/>
      <c r="H1090" s="8"/>
      <c r="I1090" s="8"/>
      <c r="J1090" s="8"/>
      <c r="K1090" s="8"/>
    </row>
    <row r="1091" spans="1:11" ht="15" customHeight="1" x14ac:dyDescent="0.25">
      <c r="A1091" s="40"/>
      <c r="B1091" s="9"/>
      <c r="C1091" s="9"/>
      <c r="D1091" s="9"/>
      <c r="E1091" s="9"/>
      <c r="F1091" s="9"/>
      <c r="G1091" s="9"/>
      <c r="H1091" s="8"/>
      <c r="I1091" s="8"/>
      <c r="J1091" s="8"/>
      <c r="K1091" s="8"/>
    </row>
    <row r="1092" spans="1:11" ht="15" customHeight="1" x14ac:dyDescent="0.25">
      <c r="A1092" s="40"/>
      <c r="B1092" s="9"/>
      <c r="C1092" s="9"/>
      <c r="D1092" s="9"/>
      <c r="E1092" s="9"/>
      <c r="F1092" s="9"/>
      <c r="G1092" s="9"/>
      <c r="H1092" s="8"/>
      <c r="I1092" s="8"/>
      <c r="J1092" s="8"/>
      <c r="K1092" s="8"/>
    </row>
    <row r="1093" spans="1:11" ht="15" customHeight="1" x14ac:dyDescent="0.25">
      <c r="A1093" s="40"/>
      <c r="B1093" s="9"/>
      <c r="C1093" s="9"/>
      <c r="D1093" s="9"/>
      <c r="E1093" s="9"/>
      <c r="F1093" s="9"/>
      <c r="G1093" s="9"/>
      <c r="H1093" s="8"/>
      <c r="I1093" s="8"/>
      <c r="J1093" s="8"/>
      <c r="K1093" s="8"/>
    </row>
    <row r="1094" spans="1:11" ht="15" customHeight="1" x14ac:dyDescent="0.25">
      <c r="A1094" s="40"/>
      <c r="B1094" s="9"/>
      <c r="C1094" s="9"/>
      <c r="D1094" s="9"/>
      <c r="E1094" s="9"/>
      <c r="F1094" s="9"/>
      <c r="G1094" s="9"/>
      <c r="H1094" s="8"/>
      <c r="I1094" s="8"/>
      <c r="J1094" s="8"/>
      <c r="K1094" s="8"/>
    </row>
    <row r="1095" spans="1:11" ht="15" customHeight="1" x14ac:dyDescent="0.25">
      <c r="A1095" s="40"/>
      <c r="B1095" s="9"/>
      <c r="C1095" s="9"/>
      <c r="D1095" s="9"/>
      <c r="E1095" s="9"/>
      <c r="F1095" s="9"/>
      <c r="G1095" s="9"/>
      <c r="H1095" s="8"/>
      <c r="I1095" s="8"/>
      <c r="J1095" s="8"/>
      <c r="K1095" s="8"/>
    </row>
    <row r="1096" spans="1:11" ht="15" customHeight="1" x14ac:dyDescent="0.25">
      <c r="A1096" s="40"/>
      <c r="B1096" s="9"/>
      <c r="C1096" s="9"/>
      <c r="D1096" s="9"/>
      <c r="E1096" s="9"/>
      <c r="F1096" s="9"/>
      <c r="G1096" s="9"/>
      <c r="H1096" s="8"/>
      <c r="I1096" s="8"/>
      <c r="J1096" s="8"/>
      <c r="K1096" s="8"/>
    </row>
    <row r="1097" spans="1:11" ht="15" customHeight="1" x14ac:dyDescent="0.25">
      <c r="A1097" s="40"/>
      <c r="B1097" s="9"/>
      <c r="C1097" s="9"/>
      <c r="D1097" s="9"/>
      <c r="E1097" s="9"/>
      <c r="F1097" s="9"/>
      <c r="G1097" s="9"/>
      <c r="H1097" s="8"/>
      <c r="I1097" s="8"/>
      <c r="J1097" s="8"/>
      <c r="K1097" s="8"/>
    </row>
    <row r="1098" spans="1:11" ht="15" customHeight="1" x14ac:dyDescent="0.25">
      <c r="A1098" s="40"/>
      <c r="B1098" s="9"/>
      <c r="C1098" s="9"/>
      <c r="D1098" s="9"/>
      <c r="E1098" s="9"/>
      <c r="F1098" s="9"/>
      <c r="G1098" s="9"/>
      <c r="H1098" s="8"/>
      <c r="I1098" s="8"/>
      <c r="J1098" s="8"/>
      <c r="K1098" s="8"/>
    </row>
    <row r="1099" spans="1:11" ht="15" customHeight="1" x14ac:dyDescent="0.25">
      <c r="A1099" s="40"/>
      <c r="B1099" s="9"/>
      <c r="C1099" s="9"/>
      <c r="D1099" s="9"/>
      <c r="E1099" s="9"/>
      <c r="F1099" s="9"/>
      <c r="G1099" s="9"/>
      <c r="H1099" s="8"/>
      <c r="I1099" s="8"/>
      <c r="J1099" s="8"/>
      <c r="K1099" s="8"/>
    </row>
    <row r="1100" spans="1:11" ht="15" customHeight="1" x14ac:dyDescent="0.25">
      <c r="A1100" s="40"/>
      <c r="B1100" s="9"/>
      <c r="C1100" s="9"/>
      <c r="D1100" s="9"/>
      <c r="E1100" s="9"/>
      <c r="F1100" s="9"/>
      <c r="G1100" s="9"/>
      <c r="H1100" s="8"/>
      <c r="I1100" s="8"/>
      <c r="J1100" s="8"/>
      <c r="K1100" s="8"/>
    </row>
    <row r="1101" spans="1:11" ht="15" customHeight="1" x14ac:dyDescent="0.25">
      <c r="A1101" s="40"/>
      <c r="B1101" s="9"/>
      <c r="C1101" s="9"/>
      <c r="D1101" s="9"/>
      <c r="E1101" s="9"/>
      <c r="F1101" s="9"/>
      <c r="G1101" s="9"/>
      <c r="H1101" s="8"/>
      <c r="I1101" s="8"/>
      <c r="J1101" s="8"/>
      <c r="K1101" s="8"/>
    </row>
    <row r="1102" spans="1:11" ht="15" customHeight="1" x14ac:dyDescent="0.25">
      <c r="A1102" s="40"/>
      <c r="B1102" s="9"/>
      <c r="C1102" s="9"/>
      <c r="D1102" s="9"/>
      <c r="E1102" s="9"/>
      <c r="F1102" s="9"/>
      <c r="G1102" s="9"/>
      <c r="H1102" s="8"/>
      <c r="I1102" s="8"/>
      <c r="J1102" s="8"/>
      <c r="K1102" s="8"/>
    </row>
    <row r="1103" spans="1:11" ht="15" customHeight="1" x14ac:dyDescent="0.25">
      <c r="A1103" s="40"/>
      <c r="B1103" s="9"/>
      <c r="C1103" s="9"/>
      <c r="D1103" s="9"/>
      <c r="E1103" s="9"/>
      <c r="F1103" s="9"/>
      <c r="G1103" s="9"/>
      <c r="H1103" s="8"/>
      <c r="I1103" s="8"/>
      <c r="J1103" s="8"/>
      <c r="K1103" s="8"/>
    </row>
    <row r="1104" spans="1:11" ht="15" customHeight="1" x14ac:dyDescent="0.25">
      <c r="A1104" s="40"/>
      <c r="B1104" s="9"/>
      <c r="C1104" s="9"/>
      <c r="D1104" s="9"/>
      <c r="E1104" s="9"/>
      <c r="F1104" s="9"/>
      <c r="G1104" s="9"/>
      <c r="H1104" s="8"/>
      <c r="I1104" s="8"/>
      <c r="J1104" s="8"/>
      <c r="K1104" s="8"/>
    </row>
    <row r="1105" spans="1:11" ht="15" customHeight="1" x14ac:dyDescent="0.25">
      <c r="A1105" s="40"/>
      <c r="B1105" s="9"/>
      <c r="C1105" s="9"/>
      <c r="D1105" s="9"/>
      <c r="E1105" s="9"/>
      <c r="F1105" s="9"/>
      <c r="G1105" s="9"/>
      <c r="H1105" s="8"/>
      <c r="I1105" s="8"/>
      <c r="J1105" s="8"/>
      <c r="K1105" s="8"/>
    </row>
    <row r="1106" spans="1:11" ht="15" customHeight="1" x14ac:dyDescent="0.25">
      <c r="A1106" s="40"/>
      <c r="B1106" s="9"/>
      <c r="C1106" s="9"/>
      <c r="D1106" s="9"/>
      <c r="E1106" s="9"/>
      <c r="F1106" s="9"/>
      <c r="G1106" s="9"/>
      <c r="H1106" s="8"/>
      <c r="I1106" s="8"/>
      <c r="J1106" s="8"/>
      <c r="K1106" s="8"/>
    </row>
    <row r="1107" spans="1:11" ht="15" customHeight="1" x14ac:dyDescent="0.25">
      <c r="A1107" s="40"/>
      <c r="B1107" s="9"/>
      <c r="C1107" s="9"/>
      <c r="D1107" s="9"/>
      <c r="E1107" s="9"/>
      <c r="F1107" s="9"/>
      <c r="G1107" s="9"/>
      <c r="H1107" s="8"/>
      <c r="I1107" s="8"/>
      <c r="J1107" s="8"/>
      <c r="K1107" s="8"/>
    </row>
    <row r="1108" spans="1:11" ht="15" customHeight="1" x14ac:dyDescent="0.25">
      <c r="A1108" s="40"/>
      <c r="B1108" s="9"/>
      <c r="C1108" s="9"/>
      <c r="D1108" s="9"/>
      <c r="E1108" s="9"/>
      <c r="F1108" s="9"/>
      <c r="G1108" s="9"/>
      <c r="H1108" s="8"/>
      <c r="I1108" s="8"/>
      <c r="J1108" s="8"/>
      <c r="K1108" s="8"/>
    </row>
    <row r="1109" spans="1:11" ht="15" customHeight="1" x14ac:dyDescent="0.25">
      <c r="A1109" s="40"/>
      <c r="B1109" s="9"/>
      <c r="C1109" s="9"/>
      <c r="D1109" s="9"/>
      <c r="E1109" s="9"/>
      <c r="F1109" s="9"/>
      <c r="G1109" s="9"/>
      <c r="H1109" s="8"/>
      <c r="I1109" s="8"/>
      <c r="J1109" s="8"/>
      <c r="K1109" s="8"/>
    </row>
    <row r="1110" spans="1:11" ht="15" customHeight="1" x14ac:dyDescent="0.25">
      <c r="A1110" s="40"/>
      <c r="B1110" s="9"/>
      <c r="C1110" s="9"/>
      <c r="D1110" s="9"/>
      <c r="E1110" s="9"/>
      <c r="F1110" s="9"/>
      <c r="G1110" s="9"/>
      <c r="H1110" s="8"/>
      <c r="I1110" s="8"/>
      <c r="J1110" s="8"/>
      <c r="K1110" s="8"/>
    </row>
    <row r="1111" spans="1:11" ht="15" customHeight="1" x14ac:dyDescent="0.25">
      <c r="A1111" s="40"/>
      <c r="B1111" s="9"/>
      <c r="C1111" s="9"/>
      <c r="D1111" s="9"/>
      <c r="E1111" s="9"/>
      <c r="F1111" s="9"/>
      <c r="G1111" s="9"/>
      <c r="H1111" s="8"/>
      <c r="I1111" s="8"/>
      <c r="J1111" s="8"/>
      <c r="K1111" s="8"/>
    </row>
    <row r="1112" spans="1:11" ht="15" customHeight="1" x14ac:dyDescent="0.25">
      <c r="A1112" s="40"/>
      <c r="B1112" s="9"/>
      <c r="C1112" s="9"/>
      <c r="D1112" s="9"/>
      <c r="E1112" s="9"/>
      <c r="F1112" s="9"/>
      <c r="G1112" s="9"/>
      <c r="H1112" s="8"/>
      <c r="I1112" s="8"/>
      <c r="J1112" s="8"/>
      <c r="K1112" s="8"/>
    </row>
    <row r="1113" spans="1:11" ht="15" customHeight="1" x14ac:dyDescent="0.25">
      <c r="A1113" s="40"/>
      <c r="B1113" s="9"/>
      <c r="C1113" s="9"/>
      <c r="D1113" s="9"/>
      <c r="E1113" s="9"/>
      <c r="F1113" s="9"/>
      <c r="G1113" s="9"/>
      <c r="H1113" s="8"/>
      <c r="I1113" s="8"/>
      <c r="J1113" s="8"/>
      <c r="K1113" s="8"/>
    </row>
    <row r="1114" spans="1:11" ht="15" customHeight="1" x14ac:dyDescent="0.25">
      <c r="A1114" s="40"/>
      <c r="B1114" s="9"/>
      <c r="C1114" s="9"/>
      <c r="D1114" s="9"/>
      <c r="E1114" s="9"/>
      <c r="F1114" s="9"/>
      <c r="G1114" s="9"/>
      <c r="H1114" s="8"/>
      <c r="I1114" s="8"/>
      <c r="J1114" s="8"/>
      <c r="K1114" s="8"/>
    </row>
    <row r="1115" spans="1:11" ht="15" customHeight="1" x14ac:dyDescent="0.25">
      <c r="A1115" s="40"/>
      <c r="B1115" s="9"/>
      <c r="C1115" s="9"/>
      <c r="D1115" s="9"/>
      <c r="E1115" s="9"/>
      <c r="F1115" s="9"/>
      <c r="G1115" s="9"/>
      <c r="H1115" s="8"/>
      <c r="I1115" s="8"/>
      <c r="J1115" s="8"/>
      <c r="K1115" s="8"/>
    </row>
    <row r="1116" spans="1:11" ht="15" customHeight="1" x14ac:dyDescent="0.25">
      <c r="A1116" s="40"/>
      <c r="B1116" s="9"/>
      <c r="C1116" s="9"/>
      <c r="D1116" s="9"/>
      <c r="E1116" s="9"/>
      <c r="F1116" s="9"/>
      <c r="G1116" s="9"/>
      <c r="H1116" s="8"/>
      <c r="I1116" s="8"/>
      <c r="J1116" s="8"/>
      <c r="K1116" s="8"/>
    </row>
    <row r="1117" spans="1:11" ht="15" customHeight="1" x14ac:dyDescent="0.25">
      <c r="A1117" s="40"/>
      <c r="B1117" s="9"/>
      <c r="C1117" s="9"/>
      <c r="D1117" s="9"/>
      <c r="E1117" s="9"/>
      <c r="F1117" s="9"/>
      <c r="G1117" s="9"/>
      <c r="H1117" s="8"/>
      <c r="I1117" s="8"/>
      <c r="J1117" s="8"/>
      <c r="K1117" s="8"/>
    </row>
    <row r="1118" spans="1:11" ht="15" customHeight="1" x14ac:dyDescent="0.25">
      <c r="A1118" s="40"/>
      <c r="B1118" s="9"/>
      <c r="C1118" s="9"/>
      <c r="D1118" s="9"/>
      <c r="E1118" s="9"/>
      <c r="F1118" s="9"/>
      <c r="G1118" s="9"/>
      <c r="H1118" s="8"/>
      <c r="I1118" s="8"/>
      <c r="J1118" s="8"/>
      <c r="K1118" s="8"/>
    </row>
    <row r="1119" spans="1:11" ht="15" customHeight="1" x14ac:dyDescent="0.25">
      <c r="A1119" s="40"/>
      <c r="B1119" s="9"/>
      <c r="C1119" s="9"/>
      <c r="D1119" s="9"/>
      <c r="E1119" s="9"/>
      <c r="F1119" s="9"/>
      <c r="G1119" s="9"/>
      <c r="H1119" s="8"/>
      <c r="I1119" s="8"/>
      <c r="J1119" s="8"/>
      <c r="K1119" s="8"/>
    </row>
    <row r="1120" spans="1:11" ht="15" customHeight="1" x14ac:dyDescent="0.25">
      <c r="A1120" s="40"/>
      <c r="B1120" s="9"/>
      <c r="C1120" s="9"/>
      <c r="D1120" s="9"/>
      <c r="E1120" s="9"/>
      <c r="F1120" s="9"/>
      <c r="G1120" s="9"/>
      <c r="H1120" s="8"/>
      <c r="I1120" s="8"/>
      <c r="J1120" s="8"/>
      <c r="K1120" s="8"/>
    </row>
    <row r="1121" spans="1:11" ht="15" customHeight="1" x14ac:dyDescent="0.25">
      <c r="A1121" s="40"/>
      <c r="B1121" s="9"/>
      <c r="C1121" s="9"/>
      <c r="D1121" s="9"/>
      <c r="E1121" s="9"/>
      <c r="F1121" s="9"/>
      <c r="G1121" s="9"/>
      <c r="H1121" s="8"/>
      <c r="I1121" s="8"/>
      <c r="J1121" s="8"/>
      <c r="K1121" s="8"/>
    </row>
    <row r="1122" spans="1:11" ht="15" customHeight="1" x14ac:dyDescent="0.25">
      <c r="A1122" s="40"/>
      <c r="B1122" s="9"/>
      <c r="C1122" s="9"/>
      <c r="D1122" s="9"/>
      <c r="E1122" s="9"/>
      <c r="F1122" s="9"/>
      <c r="G1122" s="9"/>
      <c r="H1122" s="8"/>
      <c r="I1122" s="8"/>
      <c r="J1122" s="8"/>
      <c r="K1122" s="8"/>
    </row>
    <row r="1123" spans="1:11" ht="15" customHeight="1" x14ac:dyDescent="0.25">
      <c r="A1123" s="40"/>
      <c r="B1123" s="9"/>
      <c r="C1123" s="9"/>
      <c r="D1123" s="9"/>
      <c r="E1123" s="9"/>
      <c r="F1123" s="9"/>
      <c r="G1123" s="9"/>
      <c r="H1123" s="8"/>
      <c r="I1123" s="8"/>
      <c r="J1123" s="8"/>
      <c r="K1123" s="8"/>
    </row>
    <row r="1124" spans="1:11" ht="15" customHeight="1" x14ac:dyDescent="0.25">
      <c r="A1124" s="40"/>
      <c r="B1124" s="9"/>
      <c r="C1124" s="9"/>
      <c r="D1124" s="9"/>
      <c r="E1124" s="9"/>
      <c r="F1124" s="9"/>
      <c r="G1124" s="9"/>
      <c r="H1124" s="8"/>
      <c r="I1124" s="8"/>
      <c r="J1124" s="8"/>
      <c r="K1124" s="8"/>
    </row>
    <row r="1125" spans="1:11" ht="15" customHeight="1" x14ac:dyDescent="0.25">
      <c r="A1125" s="40"/>
      <c r="B1125" s="9"/>
      <c r="C1125" s="9"/>
      <c r="D1125" s="9"/>
      <c r="E1125" s="9"/>
      <c r="F1125" s="9"/>
      <c r="G1125" s="9"/>
      <c r="H1125" s="8"/>
      <c r="I1125" s="8"/>
      <c r="J1125" s="8"/>
      <c r="K1125" s="8"/>
    </row>
    <row r="1126" spans="1:11" ht="15" customHeight="1" x14ac:dyDescent="0.25">
      <c r="A1126" s="40"/>
      <c r="B1126" s="9"/>
      <c r="C1126" s="9"/>
      <c r="D1126" s="9"/>
      <c r="E1126" s="9"/>
      <c r="F1126" s="9"/>
      <c r="G1126" s="9"/>
      <c r="H1126" s="8"/>
      <c r="I1126" s="8"/>
      <c r="J1126" s="8"/>
      <c r="K1126" s="8"/>
    </row>
    <row r="1127" spans="1:11" ht="15" customHeight="1" x14ac:dyDescent="0.25">
      <c r="A1127" s="40"/>
      <c r="B1127" s="9"/>
      <c r="C1127" s="9"/>
      <c r="D1127" s="9"/>
      <c r="E1127" s="9"/>
      <c r="F1127" s="9"/>
      <c r="G1127" s="9"/>
      <c r="H1127" s="8"/>
      <c r="I1127" s="8"/>
      <c r="J1127" s="8"/>
      <c r="K1127" s="8"/>
    </row>
    <row r="1128" spans="1:11" ht="15" customHeight="1" x14ac:dyDescent="0.25">
      <c r="A1128" s="40"/>
      <c r="B1128" s="9"/>
      <c r="C1128" s="9"/>
      <c r="D1128" s="9"/>
      <c r="E1128" s="9"/>
      <c r="F1128" s="9"/>
      <c r="G1128" s="9"/>
      <c r="H1128" s="8"/>
      <c r="I1128" s="8"/>
      <c r="J1128" s="8"/>
      <c r="K1128" s="8"/>
    </row>
    <row r="1129" spans="1:11" ht="15" customHeight="1" x14ac:dyDescent="0.25">
      <c r="A1129" s="40"/>
      <c r="B1129" s="9"/>
      <c r="C1129" s="9"/>
      <c r="D1129" s="9"/>
      <c r="E1129" s="9"/>
      <c r="F1129" s="9"/>
      <c r="G1129" s="9"/>
      <c r="H1129" s="8"/>
      <c r="I1129" s="8"/>
      <c r="J1129" s="8"/>
      <c r="K1129" s="8"/>
    </row>
    <row r="1130" spans="1:11" ht="15" customHeight="1" x14ac:dyDescent="0.25">
      <c r="A1130" s="40"/>
      <c r="B1130" s="9"/>
      <c r="C1130" s="9"/>
      <c r="D1130" s="9"/>
      <c r="E1130" s="9"/>
      <c r="F1130" s="9"/>
      <c r="G1130" s="9"/>
      <c r="H1130" s="8"/>
      <c r="I1130" s="8"/>
      <c r="J1130" s="8"/>
      <c r="K1130" s="8"/>
    </row>
    <row r="1131" spans="1:11" ht="15" customHeight="1" x14ac:dyDescent="0.25">
      <c r="A1131" s="40"/>
      <c r="B1131" s="9"/>
      <c r="C1131" s="9"/>
      <c r="D1131" s="9"/>
      <c r="E1131" s="9"/>
      <c r="F1131" s="9"/>
      <c r="G1131" s="9"/>
      <c r="H1131" s="8"/>
      <c r="I1131" s="8"/>
      <c r="J1131" s="8"/>
      <c r="K1131" s="8"/>
    </row>
    <row r="1132" spans="1:11" ht="15" customHeight="1" x14ac:dyDescent="0.25">
      <c r="A1132" s="40"/>
      <c r="B1132" s="9"/>
      <c r="C1132" s="9"/>
      <c r="D1132" s="9"/>
      <c r="E1132" s="9"/>
      <c r="F1132" s="9"/>
      <c r="G1132" s="9"/>
      <c r="H1132" s="8"/>
      <c r="I1132" s="8"/>
      <c r="J1132" s="8"/>
      <c r="K1132" s="8"/>
    </row>
    <row r="1133" spans="1:11" ht="15" customHeight="1" x14ac:dyDescent="0.25">
      <c r="A1133" s="40"/>
      <c r="B1133" s="9"/>
      <c r="C1133" s="9"/>
      <c r="D1133" s="9"/>
      <c r="E1133" s="9"/>
      <c r="F1133" s="9"/>
      <c r="G1133" s="9"/>
      <c r="H1133" s="8"/>
      <c r="I1133" s="8"/>
      <c r="J1133" s="8"/>
      <c r="K1133" s="8"/>
    </row>
    <row r="1134" spans="1:11" ht="15" customHeight="1" x14ac:dyDescent="0.25">
      <c r="A1134" s="40"/>
      <c r="B1134" s="9"/>
      <c r="C1134" s="9"/>
      <c r="D1134" s="9"/>
      <c r="E1134" s="9"/>
      <c r="F1134" s="9"/>
      <c r="G1134" s="9"/>
      <c r="H1134" s="8"/>
      <c r="I1134" s="8"/>
      <c r="J1134" s="8"/>
      <c r="K1134" s="8"/>
    </row>
    <row r="1135" spans="1:11" ht="15" customHeight="1" x14ac:dyDescent="0.25">
      <c r="A1135" s="40"/>
      <c r="B1135" s="9"/>
      <c r="C1135" s="9"/>
      <c r="D1135" s="9"/>
      <c r="E1135" s="9"/>
      <c r="F1135" s="9"/>
      <c r="G1135" s="9"/>
      <c r="H1135" s="8"/>
      <c r="I1135" s="8"/>
      <c r="J1135" s="8"/>
      <c r="K1135" s="8"/>
    </row>
    <row r="1136" spans="1:11" ht="15" customHeight="1" x14ac:dyDescent="0.25">
      <c r="A1136" s="40"/>
      <c r="B1136" s="9"/>
      <c r="C1136" s="9"/>
      <c r="D1136" s="9"/>
      <c r="E1136" s="9"/>
      <c r="F1136" s="9"/>
      <c r="G1136" s="9"/>
      <c r="H1136" s="8"/>
      <c r="I1136" s="8"/>
      <c r="J1136" s="8"/>
      <c r="K1136" s="8"/>
    </row>
    <row r="1137" spans="1:11" ht="15" customHeight="1" x14ac:dyDescent="0.25">
      <c r="A1137" s="40"/>
      <c r="B1137" s="9"/>
      <c r="C1137" s="9"/>
      <c r="D1137" s="9"/>
      <c r="E1137" s="9"/>
      <c r="F1137" s="9"/>
      <c r="G1137" s="9"/>
      <c r="H1137" s="8"/>
      <c r="I1137" s="8"/>
      <c r="J1137" s="8"/>
      <c r="K1137" s="8"/>
    </row>
    <row r="1138" spans="1:11" ht="15" customHeight="1" x14ac:dyDescent="0.25">
      <c r="A1138" s="40"/>
      <c r="B1138" s="9"/>
      <c r="C1138" s="9"/>
      <c r="D1138" s="9"/>
      <c r="E1138" s="9"/>
      <c r="F1138" s="9"/>
      <c r="G1138" s="9"/>
      <c r="H1138" s="8"/>
      <c r="I1138" s="8"/>
      <c r="J1138" s="8"/>
      <c r="K1138" s="8"/>
    </row>
    <row r="1139" spans="1:11" ht="15" customHeight="1" x14ac:dyDescent="0.25">
      <c r="A1139" s="40"/>
      <c r="B1139" s="9"/>
      <c r="C1139" s="9"/>
      <c r="D1139" s="9"/>
      <c r="E1139" s="9"/>
      <c r="F1139" s="9"/>
      <c r="G1139" s="9"/>
      <c r="H1139" s="8"/>
      <c r="I1139" s="8"/>
      <c r="J1139" s="8"/>
      <c r="K1139" s="8"/>
    </row>
    <row r="1140" spans="1:11" ht="15" customHeight="1" x14ac:dyDescent="0.25">
      <c r="A1140" s="40"/>
      <c r="B1140" s="9"/>
      <c r="C1140" s="9"/>
      <c r="D1140" s="9"/>
      <c r="E1140" s="9"/>
      <c r="F1140" s="9"/>
      <c r="G1140" s="9"/>
      <c r="H1140" s="8"/>
      <c r="I1140" s="8"/>
      <c r="J1140" s="8"/>
      <c r="K1140" s="8"/>
    </row>
    <row r="1141" spans="1:11" ht="15" customHeight="1" x14ac:dyDescent="0.25">
      <c r="A1141" s="40"/>
      <c r="B1141" s="9"/>
      <c r="C1141" s="9"/>
      <c r="D1141" s="9"/>
      <c r="E1141" s="9"/>
      <c r="F1141" s="9"/>
      <c r="G1141" s="9"/>
      <c r="H1141" s="8"/>
      <c r="I1141" s="8"/>
      <c r="J1141" s="8"/>
      <c r="K1141" s="8"/>
    </row>
    <row r="1142" spans="1:11" ht="15" customHeight="1" x14ac:dyDescent="0.25">
      <c r="A1142" s="40"/>
      <c r="B1142" s="9"/>
      <c r="C1142" s="9"/>
      <c r="D1142" s="9"/>
      <c r="E1142" s="9"/>
      <c r="F1142" s="9"/>
      <c r="G1142" s="9"/>
      <c r="H1142" s="8"/>
      <c r="I1142" s="8"/>
      <c r="J1142" s="8"/>
      <c r="K1142" s="8"/>
    </row>
    <row r="1143" spans="1:11" ht="15" customHeight="1" x14ac:dyDescent="0.25">
      <c r="A1143" s="40"/>
      <c r="B1143" s="9"/>
      <c r="C1143" s="9"/>
      <c r="D1143" s="9"/>
      <c r="E1143" s="9"/>
      <c r="F1143" s="9"/>
      <c r="G1143" s="9"/>
      <c r="H1143" s="8"/>
      <c r="I1143" s="8"/>
      <c r="J1143" s="8"/>
      <c r="K1143" s="8"/>
    </row>
    <row r="1144" spans="1:11" ht="15" customHeight="1" x14ac:dyDescent="0.25">
      <c r="A1144" s="40"/>
      <c r="B1144" s="9"/>
      <c r="C1144" s="9"/>
      <c r="D1144" s="9"/>
      <c r="E1144" s="9"/>
      <c r="F1144" s="9"/>
      <c r="G1144" s="9"/>
      <c r="H1144" s="8"/>
      <c r="I1144" s="8"/>
      <c r="J1144" s="8"/>
      <c r="K1144" s="8"/>
    </row>
    <row r="1145" spans="1:11" ht="15" customHeight="1" x14ac:dyDescent="0.25">
      <c r="A1145" s="40"/>
      <c r="B1145" s="9"/>
      <c r="C1145" s="9"/>
      <c r="D1145" s="9"/>
      <c r="E1145" s="9"/>
      <c r="F1145" s="9"/>
      <c r="G1145" s="9"/>
      <c r="H1145" s="8"/>
      <c r="I1145" s="8"/>
      <c r="J1145" s="8"/>
      <c r="K1145" s="8"/>
    </row>
    <row r="1146" spans="1:11" ht="15" customHeight="1" x14ac:dyDescent="0.25">
      <c r="A1146" s="40"/>
      <c r="B1146" s="9"/>
      <c r="C1146" s="9"/>
      <c r="D1146" s="9"/>
      <c r="E1146" s="9"/>
      <c r="F1146" s="9"/>
      <c r="G1146" s="9"/>
      <c r="H1146" s="8"/>
      <c r="I1146" s="8"/>
      <c r="J1146" s="8"/>
      <c r="K1146" s="8"/>
    </row>
    <row r="1147" spans="1:11" ht="15" customHeight="1" x14ac:dyDescent="0.25">
      <c r="A1147" s="40"/>
      <c r="B1147" s="9"/>
      <c r="C1147" s="9"/>
      <c r="D1147" s="9"/>
      <c r="E1147" s="9"/>
      <c r="F1147" s="9"/>
      <c r="G1147" s="9"/>
      <c r="H1147" s="8"/>
      <c r="I1147" s="8"/>
      <c r="J1147" s="8"/>
      <c r="K1147" s="8"/>
    </row>
    <row r="1148" spans="1:11" ht="15" customHeight="1" x14ac:dyDescent="0.25">
      <c r="A1148" s="40"/>
      <c r="B1148" s="9"/>
      <c r="C1148" s="9"/>
      <c r="D1148" s="9"/>
      <c r="E1148" s="9"/>
      <c r="F1148" s="9"/>
      <c r="G1148" s="9"/>
      <c r="H1148" s="8"/>
      <c r="I1148" s="8"/>
      <c r="J1148" s="8"/>
      <c r="K1148" s="8"/>
    </row>
    <row r="1149" spans="1:11" ht="15" customHeight="1" x14ac:dyDescent="0.25">
      <c r="A1149" s="40"/>
      <c r="B1149" s="9"/>
      <c r="C1149" s="9"/>
      <c r="D1149" s="9"/>
      <c r="E1149" s="9"/>
      <c r="F1149" s="9"/>
      <c r="G1149" s="9"/>
      <c r="H1149" s="8"/>
      <c r="I1149" s="8"/>
      <c r="J1149" s="8"/>
      <c r="K1149" s="8"/>
    </row>
    <row r="1150" spans="1:11" ht="15" customHeight="1" x14ac:dyDescent="0.25">
      <c r="A1150" s="40"/>
      <c r="B1150" s="9"/>
      <c r="C1150" s="9"/>
      <c r="D1150" s="9"/>
      <c r="E1150" s="9"/>
      <c r="F1150" s="9"/>
      <c r="G1150" s="9"/>
      <c r="H1150" s="8"/>
      <c r="I1150" s="8"/>
      <c r="J1150" s="8"/>
      <c r="K1150" s="8"/>
    </row>
    <row r="1151" spans="1:11" ht="15" customHeight="1" x14ac:dyDescent="0.25">
      <c r="A1151" s="40"/>
      <c r="B1151" s="9"/>
      <c r="C1151" s="9"/>
      <c r="D1151" s="9"/>
      <c r="E1151" s="9"/>
      <c r="F1151" s="9"/>
      <c r="G1151" s="9"/>
      <c r="H1151" s="8"/>
      <c r="I1151" s="8"/>
      <c r="J1151" s="8"/>
      <c r="K1151" s="8"/>
    </row>
    <row r="1152" spans="1:11" ht="15" customHeight="1" x14ac:dyDescent="0.25">
      <c r="A1152" s="40"/>
      <c r="B1152" s="9"/>
      <c r="C1152" s="9"/>
      <c r="D1152" s="9"/>
      <c r="E1152" s="9"/>
      <c r="F1152" s="9"/>
      <c r="G1152" s="9"/>
      <c r="H1152" s="8"/>
      <c r="I1152" s="8"/>
      <c r="J1152" s="8"/>
      <c r="K1152" s="8"/>
    </row>
    <row r="1153" spans="1:11" ht="15" customHeight="1" x14ac:dyDescent="0.25">
      <c r="A1153" s="40"/>
      <c r="B1153" s="9"/>
      <c r="C1153" s="9"/>
      <c r="D1153" s="9"/>
      <c r="E1153" s="9"/>
      <c r="F1153" s="9"/>
      <c r="G1153" s="9"/>
      <c r="H1153" s="8"/>
      <c r="I1153" s="8"/>
      <c r="J1153" s="8"/>
      <c r="K1153" s="8"/>
    </row>
    <row r="1154" spans="1:11" ht="15" customHeight="1" x14ac:dyDescent="0.25">
      <c r="A1154" s="40"/>
      <c r="B1154" s="9"/>
      <c r="C1154" s="9"/>
      <c r="D1154" s="9"/>
      <c r="E1154" s="9"/>
      <c r="F1154" s="9"/>
      <c r="G1154" s="9"/>
      <c r="H1154" s="8"/>
      <c r="I1154" s="8"/>
      <c r="J1154" s="8"/>
      <c r="K1154" s="8"/>
    </row>
    <row r="1155" spans="1:11" ht="15" customHeight="1" x14ac:dyDescent="0.25">
      <c r="A1155" s="40"/>
      <c r="B1155" s="9"/>
      <c r="C1155" s="9"/>
      <c r="D1155" s="9"/>
      <c r="E1155" s="9"/>
      <c r="F1155" s="9"/>
      <c r="G1155" s="9"/>
      <c r="H1155" s="8"/>
      <c r="I1155" s="8"/>
      <c r="J1155" s="8"/>
      <c r="K1155" s="8"/>
    </row>
    <row r="1156" spans="1:11" ht="15" customHeight="1" x14ac:dyDescent="0.25">
      <c r="A1156" s="40"/>
      <c r="B1156" s="9"/>
      <c r="C1156" s="9"/>
      <c r="D1156" s="9"/>
      <c r="E1156" s="9"/>
      <c r="F1156" s="9"/>
      <c r="G1156" s="9"/>
      <c r="H1156" s="8"/>
      <c r="I1156" s="8"/>
      <c r="J1156" s="8"/>
      <c r="K1156" s="8"/>
    </row>
    <row r="1157" spans="1:11" ht="15" customHeight="1" x14ac:dyDescent="0.25">
      <c r="A1157" s="40"/>
      <c r="B1157" s="9"/>
      <c r="C1157" s="9"/>
      <c r="D1157" s="9"/>
      <c r="E1157" s="9"/>
      <c r="F1157" s="9"/>
      <c r="G1157" s="9"/>
      <c r="H1157" s="8"/>
      <c r="I1157" s="8"/>
      <c r="J1157" s="8"/>
      <c r="K1157" s="8"/>
    </row>
    <row r="1158" spans="1:11" ht="15" customHeight="1" x14ac:dyDescent="0.25">
      <c r="A1158" s="40"/>
      <c r="B1158" s="9"/>
      <c r="C1158" s="9"/>
      <c r="D1158" s="9"/>
      <c r="E1158" s="9"/>
      <c r="F1158" s="9"/>
      <c r="G1158" s="9"/>
      <c r="H1158" s="8"/>
      <c r="I1158" s="8"/>
      <c r="J1158" s="8"/>
      <c r="K1158" s="8"/>
    </row>
    <row r="1159" spans="1:11" ht="15" customHeight="1" x14ac:dyDescent="0.25">
      <c r="A1159" s="40"/>
      <c r="B1159" s="9"/>
      <c r="C1159" s="9"/>
      <c r="D1159" s="9"/>
      <c r="E1159" s="9"/>
      <c r="F1159" s="9"/>
      <c r="G1159" s="9"/>
      <c r="H1159" s="8"/>
      <c r="I1159" s="8"/>
      <c r="J1159" s="8"/>
      <c r="K1159" s="8"/>
    </row>
    <row r="1160" spans="1:11" ht="15" customHeight="1" x14ac:dyDescent="0.25">
      <c r="A1160" s="40"/>
      <c r="B1160" s="9"/>
      <c r="C1160" s="9"/>
      <c r="D1160" s="9"/>
      <c r="E1160" s="9"/>
      <c r="F1160" s="9"/>
      <c r="G1160" s="9"/>
      <c r="H1160" s="8"/>
      <c r="I1160" s="8"/>
      <c r="J1160" s="8"/>
      <c r="K1160" s="8"/>
    </row>
    <row r="1161" spans="1:11" ht="15" customHeight="1" x14ac:dyDescent="0.25">
      <c r="A1161" s="40"/>
      <c r="B1161" s="9"/>
      <c r="C1161" s="9"/>
      <c r="D1161" s="9"/>
      <c r="E1161" s="9"/>
      <c r="F1161" s="9"/>
      <c r="G1161" s="9"/>
      <c r="H1161" s="8"/>
      <c r="I1161" s="8"/>
      <c r="J1161" s="8"/>
      <c r="K1161" s="8"/>
    </row>
    <row r="1162" spans="1:11" ht="15" customHeight="1" x14ac:dyDescent="0.25">
      <c r="A1162" s="40"/>
      <c r="B1162" s="9"/>
      <c r="C1162" s="9"/>
      <c r="D1162" s="9"/>
      <c r="E1162" s="9"/>
      <c r="F1162" s="9"/>
      <c r="G1162" s="9"/>
      <c r="H1162" s="8"/>
      <c r="I1162" s="8"/>
      <c r="J1162" s="8"/>
      <c r="K1162" s="8"/>
    </row>
    <row r="1163" spans="1:11" ht="15" customHeight="1" x14ac:dyDescent="0.25">
      <c r="A1163" s="40"/>
      <c r="B1163" s="9"/>
      <c r="C1163" s="9"/>
      <c r="D1163" s="9"/>
      <c r="E1163" s="9"/>
      <c r="F1163" s="9"/>
      <c r="G1163" s="9"/>
      <c r="H1163" s="8"/>
      <c r="I1163" s="8"/>
      <c r="J1163" s="8"/>
      <c r="K1163" s="8"/>
    </row>
    <row r="1164" spans="1:11" ht="15" customHeight="1" x14ac:dyDescent="0.25">
      <c r="A1164" s="40"/>
      <c r="B1164" s="9"/>
      <c r="C1164" s="9"/>
      <c r="D1164" s="9"/>
      <c r="E1164" s="9"/>
      <c r="F1164" s="9"/>
      <c r="G1164" s="9"/>
      <c r="H1164" s="8"/>
      <c r="I1164" s="8"/>
      <c r="J1164" s="8"/>
      <c r="K1164" s="8"/>
    </row>
    <row r="1165" spans="1:11" ht="15" customHeight="1" x14ac:dyDescent="0.25">
      <c r="A1165" s="40"/>
      <c r="B1165" s="9"/>
      <c r="C1165" s="9"/>
      <c r="D1165" s="9"/>
      <c r="E1165" s="9"/>
      <c r="F1165" s="9"/>
      <c r="G1165" s="9"/>
      <c r="H1165" s="8"/>
      <c r="I1165" s="8"/>
      <c r="J1165" s="8"/>
      <c r="K1165" s="8"/>
    </row>
    <row r="1166" spans="1:11" ht="15" customHeight="1" x14ac:dyDescent="0.25">
      <c r="A1166" s="40"/>
      <c r="B1166" s="9"/>
      <c r="C1166" s="9"/>
      <c r="D1166" s="9"/>
      <c r="E1166" s="9"/>
      <c r="F1166" s="9"/>
      <c r="G1166" s="9"/>
      <c r="H1166" s="8"/>
      <c r="I1166" s="8"/>
      <c r="J1166" s="8"/>
      <c r="K1166" s="8"/>
    </row>
    <row r="1167" spans="1:11" ht="15" customHeight="1" x14ac:dyDescent="0.25">
      <c r="A1167" s="40"/>
      <c r="B1167" s="9"/>
      <c r="C1167" s="9"/>
      <c r="D1167" s="9"/>
      <c r="E1167" s="9"/>
      <c r="F1167" s="9"/>
      <c r="G1167" s="9"/>
      <c r="H1167" s="8"/>
      <c r="I1167" s="8"/>
      <c r="J1167" s="8"/>
      <c r="K1167" s="8"/>
    </row>
    <row r="1168" spans="1:11" ht="15" customHeight="1" x14ac:dyDescent="0.25">
      <c r="A1168" s="40"/>
      <c r="B1168" s="9"/>
      <c r="C1168" s="9"/>
      <c r="D1168" s="9"/>
      <c r="E1168" s="9"/>
      <c r="F1168" s="9"/>
      <c r="G1168" s="9"/>
      <c r="H1168" s="8"/>
      <c r="I1168" s="8"/>
      <c r="J1168" s="8"/>
      <c r="K1168" s="8"/>
    </row>
    <row r="1169" spans="1:11" ht="15" customHeight="1" x14ac:dyDescent="0.25">
      <c r="A1169" s="40"/>
      <c r="B1169" s="9"/>
      <c r="C1169" s="9"/>
      <c r="D1169" s="9"/>
      <c r="E1169" s="9"/>
      <c r="F1169" s="9"/>
      <c r="G1169" s="9"/>
      <c r="H1169" s="8"/>
      <c r="I1169" s="8"/>
      <c r="J1169" s="8"/>
      <c r="K1169" s="8"/>
    </row>
    <row r="1170" spans="1:11" ht="15" customHeight="1" x14ac:dyDescent="0.25">
      <c r="A1170" s="40"/>
      <c r="B1170" s="9"/>
      <c r="C1170" s="9"/>
      <c r="D1170" s="9"/>
      <c r="E1170" s="9"/>
      <c r="F1170" s="9"/>
      <c r="G1170" s="9"/>
      <c r="H1170" s="8"/>
      <c r="I1170" s="8"/>
      <c r="J1170" s="8"/>
      <c r="K1170" s="8"/>
    </row>
    <row r="1171" spans="1:11" ht="15" customHeight="1" x14ac:dyDescent="0.25">
      <c r="A1171" s="40"/>
      <c r="B1171" s="9"/>
      <c r="C1171" s="9"/>
      <c r="D1171" s="9"/>
      <c r="E1171" s="9"/>
      <c r="F1171" s="9"/>
      <c r="G1171" s="9"/>
      <c r="H1171" s="8"/>
      <c r="I1171" s="8"/>
      <c r="J1171" s="8"/>
      <c r="K1171" s="8"/>
    </row>
    <row r="1172" spans="1:11" ht="15" customHeight="1" x14ac:dyDescent="0.25">
      <c r="A1172" s="40"/>
      <c r="B1172" s="9"/>
      <c r="C1172" s="9"/>
      <c r="D1172" s="9"/>
      <c r="E1172" s="9"/>
      <c r="F1172" s="9"/>
      <c r="G1172" s="9"/>
      <c r="H1172" s="8"/>
      <c r="I1172" s="8"/>
      <c r="J1172" s="8"/>
      <c r="K1172" s="8"/>
    </row>
    <row r="1173" spans="1:11" ht="15" customHeight="1" x14ac:dyDescent="0.25">
      <c r="A1173" s="40"/>
      <c r="B1173" s="9"/>
      <c r="C1173" s="9"/>
      <c r="D1173" s="9"/>
      <c r="E1173" s="9"/>
      <c r="F1173" s="9"/>
      <c r="G1173" s="9"/>
      <c r="H1173" s="8"/>
      <c r="I1173" s="8"/>
      <c r="J1173" s="8"/>
      <c r="K1173" s="8"/>
    </row>
    <row r="1174" spans="1:11" ht="15" customHeight="1" x14ac:dyDescent="0.25">
      <c r="A1174" s="40"/>
      <c r="B1174" s="9"/>
      <c r="C1174" s="9"/>
      <c r="D1174" s="9"/>
      <c r="E1174" s="9"/>
      <c r="F1174" s="9"/>
      <c r="G1174" s="9"/>
      <c r="H1174" s="8"/>
      <c r="I1174" s="8"/>
      <c r="J1174" s="8"/>
      <c r="K1174" s="8"/>
    </row>
    <row r="1175" spans="1:11" ht="15" customHeight="1" x14ac:dyDescent="0.25">
      <c r="A1175" s="40"/>
      <c r="B1175" s="9"/>
      <c r="C1175" s="9"/>
      <c r="D1175" s="9"/>
      <c r="E1175" s="9"/>
      <c r="F1175" s="9"/>
      <c r="G1175" s="9"/>
      <c r="H1175" s="8"/>
      <c r="I1175" s="8"/>
      <c r="J1175" s="8"/>
      <c r="K1175" s="8"/>
    </row>
    <row r="1176" spans="1:11" ht="15" customHeight="1" x14ac:dyDescent="0.25">
      <c r="A1176" s="40"/>
      <c r="B1176" s="9"/>
      <c r="C1176" s="9"/>
      <c r="D1176" s="9"/>
      <c r="E1176" s="9"/>
      <c r="F1176" s="9"/>
      <c r="G1176" s="9"/>
      <c r="H1176" s="8"/>
      <c r="I1176" s="8"/>
      <c r="J1176" s="8"/>
      <c r="K1176" s="8"/>
    </row>
    <row r="1177" spans="1:11" ht="15" customHeight="1" x14ac:dyDescent="0.25">
      <c r="A1177" s="40"/>
      <c r="B1177" s="9"/>
      <c r="C1177" s="9"/>
      <c r="D1177" s="9"/>
      <c r="E1177" s="9"/>
      <c r="F1177" s="9"/>
      <c r="G1177" s="9"/>
      <c r="H1177" s="8"/>
      <c r="I1177" s="8"/>
      <c r="J1177" s="8"/>
      <c r="K1177" s="8"/>
    </row>
    <row r="1178" spans="1:11" ht="15" customHeight="1" x14ac:dyDescent="0.25">
      <c r="A1178" s="40"/>
      <c r="B1178" s="9"/>
      <c r="C1178" s="9"/>
      <c r="D1178" s="9"/>
      <c r="E1178" s="9"/>
      <c r="F1178" s="9"/>
      <c r="G1178" s="9"/>
      <c r="H1178" s="8"/>
      <c r="I1178" s="8"/>
      <c r="J1178" s="8"/>
      <c r="K1178" s="8"/>
    </row>
    <row r="1179" spans="1:11" ht="15" customHeight="1" x14ac:dyDescent="0.25">
      <c r="A1179" s="40"/>
      <c r="B1179" s="9"/>
      <c r="C1179" s="9"/>
      <c r="D1179" s="9"/>
      <c r="E1179" s="9"/>
      <c r="F1179" s="9"/>
      <c r="G1179" s="9"/>
      <c r="H1179" s="8"/>
      <c r="I1179" s="8"/>
      <c r="J1179" s="8"/>
      <c r="K1179" s="8"/>
    </row>
    <row r="1180" spans="1:11" ht="15" customHeight="1" x14ac:dyDescent="0.25">
      <c r="A1180" s="40"/>
      <c r="B1180" s="9"/>
      <c r="C1180" s="9"/>
      <c r="D1180" s="9"/>
      <c r="E1180" s="9"/>
      <c r="F1180" s="9"/>
      <c r="G1180" s="9"/>
      <c r="H1180" s="8"/>
      <c r="I1180" s="8"/>
      <c r="J1180" s="8"/>
      <c r="K1180" s="8"/>
    </row>
    <row r="1181" spans="1:11" ht="15" customHeight="1" x14ac:dyDescent="0.25">
      <c r="A1181" s="40"/>
      <c r="B1181" s="9"/>
      <c r="C1181" s="9"/>
      <c r="D1181" s="9"/>
      <c r="E1181" s="9"/>
      <c r="F1181" s="9"/>
      <c r="G1181" s="9"/>
      <c r="H1181" s="8"/>
      <c r="I1181" s="8"/>
      <c r="J1181" s="8"/>
      <c r="K1181" s="8"/>
    </row>
    <row r="1182" spans="1:11" ht="15" customHeight="1" x14ac:dyDescent="0.25">
      <c r="A1182" s="40"/>
      <c r="B1182" s="9"/>
      <c r="C1182" s="9"/>
      <c r="D1182" s="9"/>
      <c r="E1182" s="9"/>
      <c r="F1182" s="9"/>
      <c r="G1182" s="9"/>
      <c r="H1182" s="8"/>
      <c r="I1182" s="8"/>
      <c r="J1182" s="8"/>
      <c r="K1182" s="8"/>
    </row>
    <row r="1183" spans="1:11" ht="15" customHeight="1" x14ac:dyDescent="0.25">
      <c r="A1183" s="40"/>
      <c r="B1183" s="9"/>
      <c r="C1183" s="9"/>
      <c r="D1183" s="9"/>
      <c r="E1183" s="9"/>
      <c r="F1183" s="9"/>
      <c r="G1183" s="9"/>
      <c r="H1183" s="8"/>
      <c r="I1183" s="8"/>
      <c r="J1183" s="8"/>
      <c r="K1183" s="8"/>
    </row>
    <row r="1184" spans="1:11" ht="15" customHeight="1" x14ac:dyDescent="0.25">
      <c r="A1184" s="40"/>
      <c r="B1184" s="9"/>
      <c r="C1184" s="9"/>
      <c r="D1184" s="9"/>
      <c r="E1184" s="9"/>
      <c r="F1184" s="9"/>
      <c r="G1184" s="9"/>
      <c r="H1184" s="8"/>
      <c r="I1184" s="8"/>
      <c r="J1184" s="8"/>
      <c r="K1184" s="8"/>
    </row>
    <row r="1185" spans="1:11" ht="15" customHeight="1" x14ac:dyDescent="0.25">
      <c r="A1185" s="40"/>
      <c r="B1185" s="9"/>
      <c r="C1185" s="9"/>
      <c r="D1185" s="9"/>
      <c r="E1185" s="9"/>
      <c r="F1185" s="9"/>
      <c r="G1185" s="9"/>
      <c r="H1185" s="8"/>
      <c r="I1185" s="8"/>
      <c r="J1185" s="8"/>
      <c r="K1185" s="8"/>
    </row>
    <row r="1186" spans="1:11" ht="15" customHeight="1" x14ac:dyDescent="0.25">
      <c r="A1186" s="40"/>
      <c r="B1186" s="9"/>
      <c r="C1186" s="9"/>
      <c r="D1186" s="9"/>
      <c r="E1186" s="9"/>
      <c r="F1186" s="9"/>
      <c r="G1186" s="9"/>
      <c r="H1186" s="8"/>
      <c r="I1186" s="8"/>
      <c r="J1186" s="8"/>
      <c r="K1186" s="8"/>
    </row>
    <row r="1187" spans="1:11" ht="15" customHeight="1" x14ac:dyDescent="0.25">
      <c r="A1187" s="40"/>
      <c r="B1187" s="9"/>
      <c r="C1187" s="9"/>
      <c r="D1187" s="9"/>
      <c r="E1187" s="9"/>
      <c r="F1187" s="9"/>
      <c r="G1187" s="9"/>
      <c r="H1187" s="8"/>
      <c r="I1187" s="8"/>
      <c r="J1187" s="8"/>
      <c r="K1187" s="8"/>
    </row>
    <row r="1188" spans="1:11" ht="15" customHeight="1" x14ac:dyDescent="0.25">
      <c r="A1188" s="40"/>
      <c r="B1188" s="9"/>
      <c r="C1188" s="9"/>
      <c r="D1188" s="9"/>
      <c r="E1188" s="9"/>
      <c r="F1188" s="9"/>
      <c r="G1188" s="9"/>
      <c r="H1188" s="8"/>
      <c r="I1188" s="8"/>
      <c r="J1188" s="8"/>
      <c r="K1188" s="8"/>
    </row>
    <row r="1189" spans="1:11" ht="15" customHeight="1" x14ac:dyDescent="0.25">
      <c r="A1189" s="40"/>
      <c r="B1189" s="9"/>
      <c r="C1189" s="9"/>
      <c r="D1189" s="9"/>
      <c r="E1189" s="9"/>
      <c r="F1189" s="9"/>
      <c r="G1189" s="9"/>
      <c r="H1189" s="8"/>
      <c r="I1189" s="8"/>
      <c r="J1189" s="8"/>
      <c r="K1189" s="8"/>
    </row>
    <row r="1190" spans="1:11" ht="15" customHeight="1" x14ac:dyDescent="0.25">
      <c r="A1190" s="40"/>
      <c r="B1190" s="9"/>
      <c r="C1190" s="9"/>
      <c r="D1190" s="9"/>
      <c r="E1190" s="9"/>
      <c r="F1190" s="9"/>
      <c r="G1190" s="9"/>
      <c r="H1190" s="8"/>
      <c r="I1190" s="8"/>
      <c r="J1190" s="8"/>
      <c r="K1190" s="8"/>
    </row>
    <row r="1191" spans="1:11" ht="15" customHeight="1" x14ac:dyDescent="0.25">
      <c r="A1191" s="40"/>
      <c r="B1191" s="9"/>
      <c r="C1191" s="9"/>
      <c r="D1191" s="9"/>
      <c r="E1191" s="9"/>
      <c r="F1191" s="9"/>
      <c r="G1191" s="9"/>
      <c r="H1191" s="8"/>
      <c r="I1191" s="8"/>
      <c r="J1191" s="8"/>
      <c r="K1191" s="8"/>
    </row>
    <row r="1192" spans="1:11" ht="15" customHeight="1" x14ac:dyDescent="0.25">
      <c r="A1192" s="40"/>
      <c r="B1192" s="9"/>
      <c r="C1192" s="9"/>
      <c r="D1192" s="9"/>
      <c r="E1192" s="9"/>
      <c r="F1192" s="9"/>
      <c r="G1192" s="9"/>
      <c r="H1192" s="8"/>
      <c r="I1192" s="8"/>
      <c r="J1192" s="8"/>
      <c r="K1192" s="8"/>
    </row>
    <row r="1193" spans="1:11" ht="15" customHeight="1" x14ac:dyDescent="0.25">
      <c r="A1193" s="40"/>
      <c r="B1193" s="9"/>
      <c r="C1193" s="9"/>
      <c r="D1193" s="9"/>
      <c r="E1193" s="9"/>
      <c r="F1193" s="9"/>
      <c r="G1193" s="9"/>
      <c r="H1193" s="8"/>
      <c r="I1193" s="8"/>
      <c r="J1193" s="8"/>
      <c r="K1193" s="8"/>
    </row>
    <row r="1194" spans="1:11" ht="15" customHeight="1" x14ac:dyDescent="0.25">
      <c r="A1194" s="40"/>
      <c r="B1194" s="9"/>
      <c r="C1194" s="9"/>
      <c r="D1194" s="9"/>
      <c r="E1194" s="9"/>
      <c r="F1194" s="9"/>
      <c r="G1194" s="9"/>
      <c r="H1194" s="8"/>
      <c r="I1194" s="8"/>
      <c r="J1194" s="8"/>
      <c r="K1194" s="8"/>
    </row>
    <row r="1195" spans="1:11" ht="15" customHeight="1" x14ac:dyDescent="0.25">
      <c r="A1195" s="40"/>
      <c r="B1195" s="9"/>
      <c r="C1195" s="9"/>
      <c r="D1195" s="9"/>
      <c r="E1195" s="9"/>
      <c r="F1195" s="9"/>
      <c r="G1195" s="9"/>
      <c r="H1195" s="8"/>
      <c r="I1195" s="8"/>
      <c r="J1195" s="8"/>
      <c r="K1195" s="8"/>
    </row>
    <row r="1196" spans="1:11" ht="15" customHeight="1" x14ac:dyDescent="0.25">
      <c r="A1196" s="40"/>
      <c r="B1196" s="9"/>
      <c r="C1196" s="9"/>
      <c r="D1196" s="9"/>
      <c r="E1196" s="9"/>
      <c r="F1196" s="9"/>
      <c r="G1196" s="9"/>
      <c r="H1196" s="8"/>
      <c r="I1196" s="8"/>
      <c r="J1196" s="8"/>
      <c r="K1196" s="8"/>
    </row>
    <row r="1197" spans="1:11" ht="15" customHeight="1" x14ac:dyDescent="0.25">
      <c r="A1197" s="40"/>
      <c r="B1197" s="9"/>
      <c r="C1197" s="9"/>
      <c r="D1197" s="9"/>
      <c r="E1197" s="9"/>
      <c r="F1197" s="9"/>
      <c r="G1197" s="9"/>
      <c r="H1197" s="8"/>
      <c r="I1197" s="8"/>
      <c r="J1197" s="8"/>
      <c r="K1197" s="8"/>
    </row>
    <row r="1198" spans="1:11" ht="15" customHeight="1" x14ac:dyDescent="0.25">
      <c r="A1198" s="40"/>
      <c r="B1198" s="9"/>
      <c r="C1198" s="9"/>
      <c r="D1198" s="9"/>
      <c r="E1198" s="9"/>
      <c r="F1198" s="9"/>
      <c r="G1198" s="9"/>
      <c r="H1198" s="8"/>
      <c r="I1198" s="8"/>
      <c r="J1198" s="8"/>
      <c r="K1198" s="8"/>
    </row>
    <row r="1199" spans="1:11" ht="15" customHeight="1" x14ac:dyDescent="0.25">
      <c r="A1199" s="40"/>
      <c r="B1199" s="9"/>
      <c r="C1199" s="9"/>
      <c r="D1199" s="9"/>
      <c r="E1199" s="9"/>
      <c r="F1199" s="9"/>
      <c r="G1199" s="9"/>
      <c r="H1199" s="8"/>
      <c r="I1199" s="8"/>
      <c r="J1199" s="8"/>
      <c r="K1199" s="8"/>
    </row>
    <row r="1200" spans="1:11" ht="15" customHeight="1" x14ac:dyDescent="0.25">
      <c r="A1200" s="40"/>
      <c r="B1200" s="9"/>
      <c r="C1200" s="9"/>
      <c r="D1200" s="9"/>
      <c r="E1200" s="9"/>
      <c r="F1200" s="9"/>
      <c r="G1200" s="9"/>
      <c r="H1200" s="8"/>
      <c r="I1200" s="8"/>
      <c r="J1200" s="8"/>
      <c r="K1200" s="8"/>
    </row>
    <row r="1201" spans="1:11" ht="15" customHeight="1" x14ac:dyDescent="0.25">
      <c r="A1201" s="40"/>
      <c r="B1201" s="9"/>
      <c r="C1201" s="9"/>
      <c r="D1201" s="9"/>
      <c r="E1201" s="9"/>
      <c r="F1201" s="9"/>
      <c r="G1201" s="9"/>
      <c r="H1201" s="8"/>
      <c r="I1201" s="8"/>
      <c r="J1201" s="8"/>
      <c r="K1201" s="8"/>
    </row>
    <row r="1202" spans="1:11" ht="15" customHeight="1" x14ac:dyDescent="0.25">
      <c r="A1202" s="40"/>
      <c r="B1202" s="9"/>
      <c r="C1202" s="9"/>
      <c r="D1202" s="9"/>
      <c r="E1202" s="9"/>
      <c r="F1202" s="9"/>
      <c r="G1202" s="9"/>
      <c r="H1202" s="8"/>
      <c r="I1202" s="8"/>
      <c r="J1202" s="8"/>
      <c r="K1202" s="8"/>
    </row>
    <row r="1203" spans="1:11" ht="15" customHeight="1" x14ac:dyDescent="0.25">
      <c r="A1203" s="40"/>
      <c r="B1203" s="9"/>
      <c r="C1203" s="9"/>
      <c r="D1203" s="9"/>
      <c r="E1203" s="9"/>
      <c r="F1203" s="9"/>
      <c r="G1203" s="9"/>
      <c r="H1203" s="8"/>
      <c r="I1203" s="8"/>
      <c r="J1203" s="8"/>
      <c r="K1203" s="8"/>
    </row>
    <row r="1204" spans="1:11" ht="15" customHeight="1" x14ac:dyDescent="0.25">
      <c r="A1204" s="40"/>
      <c r="B1204" s="9"/>
      <c r="C1204" s="9"/>
      <c r="D1204" s="9"/>
      <c r="E1204" s="9"/>
      <c r="F1204" s="9"/>
      <c r="G1204" s="9"/>
      <c r="H1204" s="8"/>
      <c r="I1204" s="8"/>
      <c r="J1204" s="8"/>
      <c r="K1204" s="8"/>
    </row>
    <row r="1205" spans="1:11" ht="15" customHeight="1" x14ac:dyDescent="0.25">
      <c r="A1205" s="40"/>
      <c r="B1205" s="9"/>
      <c r="C1205" s="9"/>
      <c r="D1205" s="9"/>
      <c r="E1205" s="9"/>
      <c r="F1205" s="9"/>
      <c r="G1205" s="9"/>
      <c r="H1205" s="8"/>
      <c r="I1205" s="8"/>
      <c r="J1205" s="8"/>
      <c r="K1205" s="8"/>
    </row>
    <row r="1206" spans="1:11" ht="15" customHeight="1" x14ac:dyDescent="0.25">
      <c r="A1206" s="40"/>
      <c r="B1206" s="9"/>
      <c r="C1206" s="9"/>
      <c r="D1206" s="9"/>
      <c r="E1206" s="9"/>
      <c r="F1206" s="9"/>
      <c r="G1206" s="9"/>
      <c r="H1206" s="8"/>
      <c r="I1206" s="8"/>
      <c r="J1206" s="8"/>
      <c r="K1206" s="8"/>
    </row>
    <row r="1207" spans="1:11" ht="15" customHeight="1" x14ac:dyDescent="0.25">
      <c r="A1207" s="40"/>
      <c r="B1207" s="9"/>
      <c r="C1207" s="9"/>
      <c r="D1207" s="9"/>
      <c r="E1207" s="9"/>
      <c r="F1207" s="9"/>
      <c r="G1207" s="9"/>
      <c r="H1207" s="8"/>
      <c r="I1207" s="8"/>
      <c r="J1207" s="8"/>
      <c r="K1207" s="8"/>
    </row>
    <row r="1208" spans="1:11" ht="15" customHeight="1" x14ac:dyDescent="0.25">
      <c r="A1208" s="40"/>
      <c r="B1208" s="9"/>
      <c r="C1208" s="9"/>
      <c r="D1208" s="9"/>
      <c r="E1208" s="9"/>
      <c r="F1208" s="9"/>
      <c r="G1208" s="9"/>
      <c r="H1208" s="8"/>
      <c r="I1208" s="8"/>
      <c r="J1208" s="8"/>
      <c r="K1208" s="8"/>
    </row>
    <row r="1209" spans="1:11" ht="15" customHeight="1" x14ac:dyDescent="0.25">
      <c r="A1209" s="40"/>
      <c r="B1209" s="9"/>
      <c r="C1209" s="9"/>
      <c r="D1209" s="9"/>
      <c r="E1209" s="9"/>
      <c r="F1209" s="9"/>
      <c r="G1209" s="9"/>
      <c r="H1209" s="8"/>
      <c r="I1209" s="8"/>
      <c r="J1209" s="8"/>
      <c r="K1209" s="8"/>
    </row>
    <row r="1210" spans="1:11" ht="15" customHeight="1" x14ac:dyDescent="0.25">
      <c r="A1210" s="40"/>
      <c r="B1210" s="9"/>
      <c r="C1210" s="9"/>
      <c r="D1210" s="9"/>
      <c r="E1210" s="9"/>
      <c r="F1210" s="9"/>
      <c r="G1210" s="9"/>
      <c r="H1210" s="8"/>
      <c r="I1210" s="8"/>
      <c r="J1210" s="8"/>
      <c r="K1210" s="8"/>
    </row>
    <row r="1211" spans="1:11" ht="15" customHeight="1" x14ac:dyDescent="0.25">
      <c r="A1211" s="40"/>
      <c r="B1211" s="9"/>
      <c r="C1211" s="9"/>
      <c r="D1211" s="9"/>
      <c r="E1211" s="9"/>
      <c r="F1211" s="9"/>
      <c r="G1211" s="9"/>
      <c r="H1211" s="8"/>
      <c r="I1211" s="8"/>
      <c r="J1211" s="8"/>
      <c r="K1211" s="8"/>
    </row>
    <row r="1212" spans="1:11" ht="15" customHeight="1" x14ac:dyDescent="0.25">
      <c r="A1212" s="40"/>
      <c r="B1212" s="9"/>
      <c r="C1212" s="9"/>
      <c r="D1212" s="9"/>
      <c r="E1212" s="9"/>
      <c r="F1212" s="9"/>
      <c r="G1212" s="9"/>
      <c r="H1212" s="8"/>
      <c r="I1212" s="8"/>
      <c r="J1212" s="8"/>
      <c r="K1212" s="8"/>
    </row>
    <row r="1213" spans="1:11" ht="15" customHeight="1" x14ac:dyDescent="0.25">
      <c r="A1213" s="40"/>
      <c r="B1213" s="9"/>
      <c r="C1213" s="9"/>
      <c r="D1213" s="9"/>
      <c r="E1213" s="9"/>
      <c r="F1213" s="9"/>
      <c r="G1213" s="9"/>
      <c r="H1213" s="8"/>
      <c r="I1213" s="8"/>
      <c r="J1213" s="8"/>
      <c r="K1213" s="8"/>
    </row>
    <row r="1214" spans="1:11" ht="15" customHeight="1" x14ac:dyDescent="0.25">
      <c r="A1214" s="40"/>
      <c r="B1214" s="9"/>
      <c r="C1214" s="9"/>
      <c r="D1214" s="9"/>
      <c r="E1214" s="9"/>
      <c r="F1214" s="9"/>
      <c r="G1214" s="9"/>
      <c r="H1214" s="8"/>
      <c r="I1214" s="8"/>
      <c r="J1214" s="8"/>
      <c r="K1214" s="8"/>
    </row>
    <row r="1215" spans="1:11" ht="15" customHeight="1" x14ac:dyDescent="0.25">
      <c r="A1215" s="40"/>
      <c r="B1215" s="9"/>
      <c r="C1215" s="9"/>
      <c r="D1215" s="9"/>
      <c r="E1215" s="9"/>
      <c r="F1215" s="9"/>
      <c r="G1215" s="9"/>
      <c r="H1215" s="8"/>
      <c r="I1215" s="8"/>
      <c r="J1215" s="8"/>
      <c r="K1215" s="8"/>
    </row>
    <row r="1216" spans="1:11" ht="15" customHeight="1" x14ac:dyDescent="0.25">
      <c r="A1216" s="40"/>
      <c r="B1216" s="9"/>
      <c r="C1216" s="9"/>
      <c r="D1216" s="9"/>
      <c r="E1216" s="9"/>
      <c r="F1216" s="9"/>
      <c r="G1216" s="9"/>
      <c r="H1216" s="8"/>
      <c r="I1216" s="8"/>
      <c r="J1216" s="8"/>
      <c r="K1216" s="8"/>
    </row>
    <row r="1217" spans="1:11" ht="15" customHeight="1" x14ac:dyDescent="0.25">
      <c r="A1217" s="40"/>
      <c r="B1217" s="9"/>
      <c r="C1217" s="9"/>
      <c r="D1217" s="9"/>
      <c r="E1217" s="9"/>
      <c r="F1217" s="9"/>
      <c r="G1217" s="9"/>
      <c r="H1217" s="8"/>
      <c r="I1217" s="8"/>
      <c r="J1217" s="8"/>
      <c r="K1217" s="8"/>
    </row>
    <row r="1218" spans="1:11" ht="15" customHeight="1" x14ac:dyDescent="0.25">
      <c r="A1218" s="40"/>
      <c r="B1218" s="9"/>
      <c r="C1218" s="9"/>
      <c r="D1218" s="9"/>
      <c r="E1218" s="9"/>
      <c r="F1218" s="9"/>
      <c r="G1218" s="9"/>
      <c r="H1218" s="8"/>
      <c r="I1218" s="8"/>
      <c r="J1218" s="8"/>
      <c r="K1218" s="8"/>
    </row>
    <row r="1219" spans="1:11" ht="15" customHeight="1" x14ac:dyDescent="0.25">
      <c r="A1219" s="40"/>
      <c r="B1219" s="9"/>
      <c r="C1219" s="9"/>
      <c r="D1219" s="9"/>
      <c r="E1219" s="9"/>
      <c r="F1219" s="9"/>
      <c r="G1219" s="9"/>
      <c r="H1219" s="8"/>
      <c r="I1219" s="8"/>
      <c r="J1219" s="8"/>
      <c r="K1219" s="8"/>
    </row>
    <row r="1220" spans="1:11" ht="15" customHeight="1" x14ac:dyDescent="0.25">
      <c r="A1220" s="40"/>
      <c r="B1220" s="9"/>
      <c r="C1220" s="9"/>
      <c r="D1220" s="9"/>
      <c r="E1220" s="9"/>
      <c r="F1220" s="9"/>
      <c r="G1220" s="9"/>
      <c r="H1220" s="8"/>
      <c r="I1220" s="8"/>
      <c r="J1220" s="8"/>
      <c r="K1220" s="8"/>
    </row>
    <row r="1221" spans="1:11" ht="15" customHeight="1" x14ac:dyDescent="0.25">
      <c r="A1221" s="40"/>
      <c r="B1221" s="9"/>
      <c r="C1221" s="9"/>
      <c r="D1221" s="9"/>
      <c r="E1221" s="9"/>
      <c r="F1221" s="9"/>
      <c r="G1221" s="9"/>
      <c r="H1221" s="8"/>
      <c r="I1221" s="8"/>
      <c r="J1221" s="8"/>
      <c r="K1221" s="8"/>
    </row>
    <row r="1222" spans="1:11" ht="15" customHeight="1" x14ac:dyDescent="0.25">
      <c r="A1222" s="40"/>
      <c r="B1222" s="9"/>
      <c r="C1222" s="9"/>
      <c r="D1222" s="9"/>
      <c r="E1222" s="9"/>
      <c r="F1222" s="9"/>
      <c r="G1222" s="9"/>
      <c r="H1222" s="8"/>
      <c r="I1222" s="8"/>
      <c r="J1222" s="8"/>
      <c r="K1222" s="8"/>
    </row>
    <row r="1223" spans="1:11" ht="15" customHeight="1" x14ac:dyDescent="0.25">
      <c r="A1223" s="40"/>
      <c r="B1223" s="9"/>
      <c r="C1223" s="9"/>
      <c r="D1223" s="9"/>
      <c r="E1223" s="9"/>
      <c r="F1223" s="9"/>
      <c r="G1223" s="9"/>
      <c r="H1223" s="8"/>
      <c r="I1223" s="8"/>
      <c r="J1223" s="8"/>
      <c r="K1223" s="8"/>
    </row>
    <row r="1224" spans="1:11" ht="15" customHeight="1" x14ac:dyDescent="0.25">
      <c r="A1224" s="40"/>
      <c r="B1224" s="9"/>
      <c r="C1224" s="9"/>
      <c r="D1224" s="9"/>
      <c r="E1224" s="9"/>
      <c r="F1224" s="9"/>
      <c r="G1224" s="9"/>
      <c r="H1224" s="8"/>
      <c r="I1224" s="8"/>
      <c r="J1224" s="8"/>
      <c r="K1224" s="8"/>
    </row>
    <row r="1225" spans="1:11" ht="15" customHeight="1" x14ac:dyDescent="0.25">
      <c r="A1225" s="40"/>
      <c r="B1225" s="9"/>
      <c r="C1225" s="9"/>
      <c r="D1225" s="9"/>
      <c r="E1225" s="9"/>
      <c r="F1225" s="9"/>
      <c r="G1225" s="9"/>
      <c r="H1225" s="8"/>
      <c r="I1225" s="8"/>
      <c r="J1225" s="8"/>
      <c r="K1225" s="8"/>
    </row>
    <row r="1226" spans="1:11" ht="15" customHeight="1" x14ac:dyDescent="0.25">
      <c r="A1226" s="40"/>
      <c r="B1226" s="9"/>
      <c r="C1226" s="9"/>
      <c r="D1226" s="9"/>
      <c r="E1226" s="9"/>
      <c r="F1226" s="9"/>
      <c r="G1226" s="9"/>
      <c r="H1226" s="8"/>
      <c r="I1226" s="8"/>
      <c r="J1226" s="8"/>
      <c r="K1226" s="8"/>
    </row>
    <row r="1227" spans="1:11" ht="15" customHeight="1" x14ac:dyDescent="0.25">
      <c r="A1227" s="40"/>
      <c r="B1227" s="9"/>
      <c r="C1227" s="9"/>
      <c r="D1227" s="9"/>
      <c r="E1227" s="9"/>
      <c r="F1227" s="9"/>
      <c r="G1227" s="9"/>
      <c r="H1227" s="8"/>
      <c r="I1227" s="8"/>
      <c r="J1227" s="8"/>
      <c r="K1227" s="8"/>
    </row>
    <row r="1228" spans="1:11" ht="15" customHeight="1" x14ac:dyDescent="0.25">
      <c r="A1228" s="40"/>
      <c r="B1228" s="9"/>
      <c r="C1228" s="9"/>
      <c r="D1228" s="9"/>
      <c r="E1228" s="9"/>
      <c r="F1228" s="9"/>
      <c r="G1228" s="9"/>
      <c r="H1228" s="8"/>
      <c r="I1228" s="8"/>
      <c r="J1228" s="8"/>
      <c r="K1228" s="8"/>
    </row>
    <row r="1229" spans="1:11" ht="15" customHeight="1" x14ac:dyDescent="0.25">
      <c r="A1229" s="40"/>
      <c r="B1229" s="9"/>
      <c r="C1229" s="9"/>
      <c r="D1229" s="9"/>
      <c r="E1229" s="9"/>
      <c r="F1229" s="9"/>
      <c r="G1229" s="9"/>
      <c r="H1229" s="8"/>
      <c r="I1229" s="8"/>
      <c r="J1229" s="8"/>
      <c r="K1229" s="8"/>
    </row>
    <row r="1230" spans="1:11" ht="15" customHeight="1" x14ac:dyDescent="0.25">
      <c r="A1230" s="40"/>
      <c r="B1230" s="9"/>
      <c r="C1230" s="9"/>
      <c r="D1230" s="9"/>
      <c r="E1230" s="9"/>
      <c r="F1230" s="9"/>
      <c r="G1230" s="9"/>
      <c r="H1230" s="8"/>
      <c r="I1230" s="8"/>
      <c r="J1230" s="8"/>
      <c r="K1230" s="8"/>
    </row>
    <row r="1231" spans="1:11" ht="15" customHeight="1" x14ac:dyDescent="0.25">
      <c r="A1231" s="40"/>
      <c r="B1231" s="9"/>
      <c r="C1231" s="9"/>
      <c r="D1231" s="9"/>
      <c r="E1231" s="9"/>
      <c r="F1231" s="9"/>
      <c r="G1231" s="9"/>
      <c r="H1231" s="8"/>
      <c r="I1231" s="8"/>
      <c r="J1231" s="8"/>
      <c r="K1231" s="8"/>
    </row>
    <row r="1232" spans="1:11" ht="15" customHeight="1" x14ac:dyDescent="0.25">
      <c r="A1232" s="40"/>
      <c r="B1232" s="9"/>
      <c r="C1232" s="9"/>
      <c r="D1232" s="9"/>
      <c r="E1232" s="9"/>
      <c r="F1232" s="9"/>
      <c r="G1232" s="9"/>
      <c r="H1232" s="8"/>
      <c r="I1232" s="8"/>
      <c r="J1232" s="8"/>
      <c r="K1232" s="8"/>
    </row>
    <row r="1233" spans="1:11" ht="15" customHeight="1" x14ac:dyDescent="0.25">
      <c r="A1233" s="40"/>
      <c r="B1233" s="9"/>
      <c r="C1233" s="9"/>
      <c r="D1233" s="9"/>
      <c r="E1233" s="9"/>
      <c r="F1233" s="9"/>
      <c r="G1233" s="9"/>
      <c r="H1233" s="8"/>
      <c r="I1233" s="8"/>
      <c r="J1233" s="8"/>
      <c r="K1233" s="8"/>
    </row>
    <row r="1234" spans="1:11" ht="15" customHeight="1" x14ac:dyDescent="0.25">
      <c r="A1234" s="40"/>
      <c r="B1234" s="9"/>
      <c r="C1234" s="9"/>
      <c r="D1234" s="9"/>
      <c r="E1234" s="9"/>
      <c r="F1234" s="9"/>
      <c r="G1234" s="9"/>
      <c r="H1234" s="8"/>
      <c r="I1234" s="8"/>
      <c r="J1234" s="8"/>
      <c r="K1234" s="8"/>
    </row>
    <row r="1235" spans="1:11" ht="15" customHeight="1" x14ac:dyDescent="0.25">
      <c r="A1235" s="40"/>
      <c r="B1235" s="9"/>
      <c r="C1235" s="9"/>
      <c r="D1235" s="9"/>
      <c r="E1235" s="9"/>
      <c r="F1235" s="9"/>
      <c r="G1235" s="9"/>
      <c r="H1235" s="8"/>
      <c r="I1235" s="8"/>
      <c r="J1235" s="8"/>
      <c r="K1235" s="8"/>
    </row>
    <row r="1236" spans="1:11" ht="15" customHeight="1" x14ac:dyDescent="0.25">
      <c r="A1236" s="40"/>
      <c r="B1236" s="9"/>
      <c r="C1236" s="9"/>
      <c r="D1236" s="9"/>
      <c r="E1236" s="9"/>
      <c r="F1236" s="9"/>
      <c r="G1236" s="9"/>
      <c r="H1236" s="8"/>
      <c r="I1236" s="8"/>
      <c r="J1236" s="8"/>
      <c r="K1236" s="8"/>
    </row>
    <row r="1237" spans="1:11" ht="15" customHeight="1" x14ac:dyDescent="0.25">
      <c r="A1237" s="40"/>
      <c r="B1237" s="9"/>
      <c r="C1237" s="9"/>
      <c r="D1237" s="9"/>
      <c r="E1237" s="9"/>
      <c r="F1237" s="9"/>
      <c r="G1237" s="9"/>
      <c r="H1237" s="8"/>
      <c r="I1237" s="8"/>
      <c r="J1237" s="8"/>
      <c r="K1237" s="8"/>
    </row>
    <row r="1238" spans="1:11" ht="15" customHeight="1" x14ac:dyDescent="0.25">
      <c r="A1238" s="40"/>
      <c r="B1238" s="9"/>
      <c r="C1238" s="9"/>
      <c r="D1238" s="9"/>
      <c r="E1238" s="9"/>
      <c r="F1238" s="9"/>
      <c r="G1238" s="9"/>
      <c r="H1238" s="8"/>
      <c r="I1238" s="8"/>
      <c r="J1238" s="8"/>
      <c r="K1238" s="8"/>
    </row>
    <row r="1239" spans="1:11" ht="15" customHeight="1" x14ac:dyDescent="0.25">
      <c r="A1239" s="40"/>
      <c r="B1239" s="9"/>
      <c r="C1239" s="9"/>
      <c r="D1239" s="9"/>
      <c r="E1239" s="9"/>
      <c r="F1239" s="9"/>
      <c r="G1239" s="9"/>
      <c r="H1239" s="8"/>
      <c r="I1239" s="8"/>
      <c r="J1239" s="8"/>
      <c r="K1239" s="8"/>
    </row>
    <row r="1240" spans="1:11" ht="15" customHeight="1" x14ac:dyDescent="0.25">
      <c r="A1240" s="40"/>
      <c r="B1240" s="9"/>
      <c r="C1240" s="9"/>
      <c r="D1240" s="9"/>
      <c r="E1240" s="9"/>
      <c r="F1240" s="9"/>
      <c r="G1240" s="9"/>
      <c r="H1240" s="8"/>
      <c r="I1240" s="8"/>
      <c r="J1240" s="8"/>
      <c r="K1240" s="8"/>
    </row>
    <row r="1241" spans="1:11" ht="15" customHeight="1" x14ac:dyDescent="0.25">
      <c r="A1241" s="40"/>
      <c r="B1241" s="9"/>
      <c r="C1241" s="9"/>
      <c r="D1241" s="9"/>
      <c r="E1241" s="9"/>
      <c r="F1241" s="9"/>
      <c r="G1241" s="9"/>
      <c r="H1241" s="8"/>
      <c r="I1241" s="8"/>
      <c r="J1241" s="8"/>
      <c r="K1241" s="8"/>
    </row>
    <row r="1242" spans="1:11" ht="15" customHeight="1" x14ac:dyDescent="0.25">
      <c r="A1242" s="40"/>
      <c r="B1242" s="9"/>
      <c r="C1242" s="9"/>
      <c r="D1242" s="9"/>
      <c r="E1242" s="9"/>
      <c r="F1242" s="9"/>
      <c r="G1242" s="9"/>
      <c r="H1242" s="8"/>
      <c r="I1242" s="8"/>
      <c r="J1242" s="8"/>
      <c r="K1242" s="8"/>
    </row>
    <row r="1243" spans="1:11" ht="15" customHeight="1" x14ac:dyDescent="0.25">
      <c r="A1243" s="40"/>
      <c r="B1243" s="9"/>
      <c r="C1243" s="9"/>
      <c r="D1243" s="9"/>
      <c r="E1243" s="9"/>
      <c r="F1243" s="9"/>
      <c r="G1243" s="9"/>
      <c r="H1243" s="8"/>
      <c r="I1243" s="8"/>
      <c r="J1243" s="8"/>
      <c r="K1243" s="8"/>
    </row>
    <row r="1244" spans="1:11" ht="15" customHeight="1" x14ac:dyDescent="0.25">
      <c r="A1244" s="40"/>
      <c r="B1244" s="9"/>
      <c r="C1244" s="9"/>
      <c r="D1244" s="9"/>
      <c r="E1244" s="9"/>
      <c r="F1244" s="9"/>
      <c r="G1244" s="9"/>
      <c r="H1244" s="8"/>
      <c r="I1244" s="8"/>
      <c r="J1244" s="8"/>
      <c r="K1244" s="8"/>
    </row>
    <row r="1245" spans="1:11" ht="15" customHeight="1" x14ac:dyDescent="0.25">
      <c r="A1245" s="40"/>
      <c r="B1245" s="9"/>
      <c r="C1245" s="9"/>
      <c r="D1245" s="9"/>
      <c r="E1245" s="9"/>
      <c r="F1245" s="9"/>
      <c r="G1245" s="9"/>
      <c r="H1245" s="8"/>
      <c r="I1245" s="8"/>
      <c r="J1245" s="8"/>
      <c r="K1245" s="8"/>
    </row>
    <row r="1246" spans="1:11" ht="15" customHeight="1" x14ac:dyDescent="0.25">
      <c r="A1246" s="40"/>
      <c r="B1246" s="9"/>
      <c r="C1246" s="9"/>
      <c r="D1246" s="9"/>
      <c r="E1246" s="9"/>
      <c r="F1246" s="9"/>
      <c r="G1246" s="9"/>
      <c r="H1246" s="8"/>
      <c r="I1246" s="8"/>
      <c r="J1246" s="8"/>
      <c r="K1246" s="8"/>
    </row>
    <row r="1247" spans="1:11" ht="15" customHeight="1" x14ac:dyDescent="0.25">
      <c r="A1247" s="40"/>
      <c r="B1247" s="9"/>
      <c r="C1247" s="9"/>
      <c r="D1247" s="9"/>
      <c r="E1247" s="9"/>
      <c r="F1247" s="9"/>
      <c r="G1247" s="9"/>
      <c r="H1247" s="8"/>
      <c r="I1247" s="8"/>
      <c r="J1247" s="8"/>
      <c r="K1247" s="8"/>
    </row>
    <row r="1248" spans="1:11" ht="15" customHeight="1" x14ac:dyDescent="0.25">
      <c r="A1248" s="40"/>
      <c r="B1248" s="9"/>
      <c r="C1248" s="9"/>
      <c r="D1248" s="9"/>
      <c r="E1248" s="9"/>
      <c r="F1248" s="9"/>
      <c r="G1248" s="9"/>
      <c r="H1248" s="8"/>
      <c r="I1248" s="8"/>
      <c r="J1248" s="8"/>
      <c r="K1248" s="8"/>
    </row>
    <row r="1249" spans="1:11" ht="15" customHeight="1" x14ac:dyDescent="0.25">
      <c r="A1249" s="40"/>
      <c r="B1249" s="9"/>
      <c r="C1249" s="9"/>
      <c r="D1249" s="9"/>
      <c r="E1249" s="9"/>
      <c r="F1249" s="9"/>
      <c r="G1249" s="9"/>
      <c r="H1249" s="8"/>
      <c r="I1249" s="8"/>
      <c r="J1249" s="8"/>
      <c r="K1249" s="8"/>
    </row>
    <row r="1250" spans="1:11" ht="15" customHeight="1" x14ac:dyDescent="0.25">
      <c r="A1250" s="40"/>
      <c r="B1250" s="9"/>
      <c r="C1250" s="9"/>
      <c r="D1250" s="9"/>
      <c r="E1250" s="9"/>
      <c r="F1250" s="9"/>
      <c r="G1250" s="9"/>
      <c r="H1250" s="8"/>
      <c r="I1250" s="8"/>
      <c r="J1250" s="8"/>
      <c r="K1250" s="8"/>
    </row>
    <row r="1251" spans="1:11" ht="15" customHeight="1" x14ac:dyDescent="0.25">
      <c r="A1251" s="40"/>
      <c r="B1251" s="9"/>
      <c r="C1251" s="9"/>
      <c r="D1251" s="9"/>
      <c r="E1251" s="9"/>
      <c r="F1251" s="9"/>
      <c r="G1251" s="9"/>
      <c r="H1251" s="8"/>
      <c r="I1251" s="8"/>
      <c r="J1251" s="8"/>
      <c r="K1251" s="8"/>
    </row>
    <row r="1252" spans="1:11" ht="15" customHeight="1" x14ac:dyDescent="0.25">
      <c r="A1252" s="40"/>
      <c r="B1252" s="9"/>
      <c r="C1252" s="9"/>
      <c r="D1252" s="9"/>
      <c r="E1252" s="9"/>
      <c r="F1252" s="9"/>
      <c r="G1252" s="9"/>
      <c r="H1252" s="8"/>
      <c r="I1252" s="8"/>
      <c r="J1252" s="8"/>
      <c r="K1252" s="8"/>
    </row>
    <row r="1253" spans="1:11" ht="15" customHeight="1" x14ac:dyDescent="0.25">
      <c r="A1253" s="40"/>
      <c r="B1253" s="9"/>
      <c r="C1253" s="9"/>
      <c r="D1253" s="9"/>
      <c r="E1253" s="9"/>
      <c r="F1253" s="9"/>
      <c r="G1253" s="9"/>
      <c r="H1253" s="8"/>
      <c r="I1253" s="8"/>
      <c r="J1253" s="8"/>
      <c r="K1253" s="8"/>
    </row>
    <row r="1254" spans="1:11" ht="15" customHeight="1" x14ac:dyDescent="0.25">
      <c r="A1254" s="40"/>
      <c r="B1254" s="9"/>
      <c r="C1254" s="9"/>
      <c r="D1254" s="9"/>
      <c r="E1254" s="9"/>
      <c r="F1254" s="9"/>
      <c r="G1254" s="9"/>
      <c r="H1254" s="8"/>
      <c r="I1254" s="8"/>
      <c r="J1254" s="8"/>
      <c r="K1254" s="8"/>
    </row>
    <row r="1255" spans="1:11" ht="15" customHeight="1" x14ac:dyDescent="0.25">
      <c r="A1255" s="40"/>
      <c r="B1255" s="9"/>
      <c r="C1255" s="9"/>
      <c r="D1255" s="9"/>
      <c r="E1255" s="9"/>
      <c r="F1255" s="9"/>
      <c r="G1255" s="9"/>
      <c r="H1255" s="8"/>
      <c r="I1255" s="8"/>
      <c r="J1255" s="8"/>
      <c r="K1255" s="8"/>
    </row>
    <row r="1256" spans="1:11" ht="15" customHeight="1" x14ac:dyDescent="0.25">
      <c r="A1256" s="40"/>
      <c r="B1256" s="9"/>
      <c r="C1256" s="9"/>
      <c r="D1256" s="9"/>
      <c r="E1256" s="9"/>
      <c r="F1256" s="9"/>
      <c r="G1256" s="9"/>
      <c r="H1256" s="8"/>
      <c r="I1256" s="8"/>
      <c r="J1256" s="8"/>
      <c r="K1256" s="8"/>
    </row>
    <row r="1257" spans="1:11" ht="15" customHeight="1" x14ac:dyDescent="0.25">
      <c r="A1257" s="40"/>
      <c r="B1257" s="9"/>
      <c r="C1257" s="9"/>
      <c r="D1257" s="9"/>
      <c r="E1257" s="9"/>
      <c r="F1257" s="9"/>
      <c r="G1257" s="9"/>
      <c r="H1257" s="8"/>
      <c r="I1257" s="8"/>
      <c r="J1257" s="8"/>
      <c r="K1257" s="8"/>
    </row>
    <row r="1258" spans="1:11" ht="15" customHeight="1" x14ac:dyDescent="0.25">
      <c r="A1258" s="40"/>
      <c r="B1258" s="9"/>
      <c r="C1258" s="9"/>
      <c r="D1258" s="9"/>
      <c r="E1258" s="9"/>
      <c r="F1258" s="9"/>
      <c r="G1258" s="9"/>
      <c r="H1258" s="8"/>
      <c r="I1258" s="8"/>
      <c r="J1258" s="8"/>
      <c r="K1258" s="8"/>
    </row>
    <row r="1259" spans="1:11" ht="15" customHeight="1" x14ac:dyDescent="0.25">
      <c r="A1259" s="40"/>
      <c r="B1259" s="9"/>
      <c r="C1259" s="9"/>
      <c r="D1259" s="9"/>
      <c r="E1259" s="9"/>
      <c r="F1259" s="9"/>
      <c r="G1259" s="9"/>
      <c r="H1259" s="8"/>
      <c r="I1259" s="8"/>
      <c r="J1259" s="8"/>
      <c r="K1259" s="8"/>
    </row>
    <row r="1260" spans="1:11" ht="15" customHeight="1" x14ac:dyDescent="0.25">
      <c r="A1260" s="40"/>
      <c r="B1260" s="9"/>
      <c r="C1260" s="9"/>
      <c r="D1260" s="9"/>
      <c r="E1260" s="9"/>
      <c r="F1260" s="9"/>
      <c r="G1260" s="9"/>
      <c r="H1260" s="8"/>
      <c r="I1260" s="8"/>
      <c r="J1260" s="8"/>
      <c r="K1260" s="8"/>
    </row>
    <row r="1261" spans="1:11" ht="15" customHeight="1" x14ac:dyDescent="0.25">
      <c r="A1261" s="40"/>
      <c r="B1261" s="9"/>
      <c r="C1261" s="9"/>
      <c r="D1261" s="9"/>
      <c r="E1261" s="9"/>
      <c r="F1261" s="9"/>
      <c r="G1261" s="9"/>
      <c r="H1261" s="8"/>
      <c r="I1261" s="8"/>
      <c r="J1261" s="8"/>
      <c r="K1261" s="8"/>
    </row>
    <row r="1262" spans="1:11" ht="15" customHeight="1" x14ac:dyDescent="0.25">
      <c r="A1262" s="40"/>
      <c r="B1262" s="9"/>
      <c r="C1262" s="9"/>
      <c r="D1262" s="9"/>
      <c r="E1262" s="9"/>
      <c r="F1262" s="9"/>
      <c r="G1262" s="9"/>
      <c r="H1262" s="8"/>
      <c r="I1262" s="8"/>
      <c r="J1262" s="8"/>
      <c r="K1262" s="8"/>
    </row>
    <row r="1263" spans="1:11" ht="15" customHeight="1" x14ac:dyDescent="0.25">
      <c r="A1263" s="40"/>
      <c r="B1263" s="9"/>
      <c r="C1263" s="9"/>
      <c r="D1263" s="9"/>
      <c r="E1263" s="9"/>
      <c r="F1263" s="9"/>
      <c r="G1263" s="9"/>
      <c r="H1263" s="8"/>
      <c r="I1263" s="8"/>
      <c r="J1263" s="8"/>
      <c r="K1263" s="8"/>
    </row>
    <row r="1264" spans="1:11" ht="15" customHeight="1" x14ac:dyDescent="0.25">
      <c r="A1264" s="40"/>
      <c r="B1264" s="9"/>
      <c r="C1264" s="9"/>
      <c r="D1264" s="9"/>
      <c r="E1264" s="9"/>
      <c r="F1264" s="9"/>
      <c r="G1264" s="9"/>
      <c r="H1264" s="8"/>
      <c r="I1264" s="8"/>
      <c r="J1264" s="8"/>
      <c r="K1264" s="8"/>
    </row>
    <row r="1265" spans="1:11" ht="15" customHeight="1" x14ac:dyDescent="0.25">
      <c r="A1265" s="40"/>
      <c r="B1265" s="9"/>
      <c r="C1265" s="9"/>
      <c r="D1265" s="9"/>
      <c r="E1265" s="9"/>
      <c r="F1265" s="9"/>
      <c r="G1265" s="9"/>
      <c r="H1265" s="8"/>
      <c r="I1265" s="8"/>
      <c r="J1265" s="8"/>
      <c r="K1265" s="8"/>
    </row>
    <row r="1266" spans="1:11" ht="15" customHeight="1" x14ac:dyDescent="0.25">
      <c r="A1266" s="40"/>
      <c r="B1266" s="9"/>
      <c r="C1266" s="9"/>
      <c r="D1266" s="9"/>
      <c r="E1266" s="9"/>
      <c r="F1266" s="9"/>
      <c r="G1266" s="9"/>
      <c r="H1266" s="8"/>
      <c r="I1266" s="8"/>
      <c r="J1266" s="8"/>
      <c r="K1266" s="8"/>
    </row>
    <row r="1267" spans="1:11" ht="15" customHeight="1" x14ac:dyDescent="0.25">
      <c r="A1267" s="40"/>
      <c r="B1267" s="9"/>
      <c r="C1267" s="9"/>
      <c r="D1267" s="9"/>
      <c r="E1267" s="9"/>
      <c r="F1267" s="9"/>
      <c r="G1267" s="9"/>
      <c r="H1267" s="8"/>
      <c r="I1267" s="8"/>
      <c r="J1267" s="8"/>
      <c r="K1267" s="8"/>
    </row>
    <row r="1268" spans="1:11" ht="15" customHeight="1" x14ac:dyDescent="0.25">
      <c r="A1268" s="40"/>
      <c r="B1268" s="9"/>
      <c r="C1268" s="9"/>
      <c r="D1268" s="9"/>
      <c r="E1268" s="9"/>
      <c r="F1268" s="9"/>
      <c r="G1268" s="9"/>
      <c r="H1268" s="8"/>
      <c r="I1268" s="8"/>
      <c r="J1268" s="8"/>
      <c r="K1268" s="8"/>
    </row>
    <row r="1269" spans="1:11" ht="15" customHeight="1" x14ac:dyDescent="0.25">
      <c r="A1269" s="40"/>
      <c r="B1269" s="9"/>
      <c r="C1269" s="9"/>
      <c r="D1269" s="9"/>
      <c r="E1269" s="9"/>
      <c r="F1269" s="9"/>
      <c r="G1269" s="9"/>
      <c r="H1269" s="8"/>
      <c r="I1269" s="8"/>
      <c r="J1269" s="8"/>
      <c r="K1269" s="8"/>
    </row>
    <row r="1270" spans="1:11" ht="15" customHeight="1" x14ac:dyDescent="0.25">
      <c r="A1270" s="40"/>
      <c r="B1270" s="9"/>
      <c r="C1270" s="9"/>
      <c r="D1270" s="9"/>
      <c r="E1270" s="9"/>
      <c r="F1270" s="9"/>
      <c r="G1270" s="9"/>
      <c r="H1270" s="8"/>
      <c r="I1270" s="8"/>
      <c r="J1270" s="8"/>
      <c r="K1270" s="8"/>
    </row>
    <row r="1271" spans="1:11" ht="15" customHeight="1" x14ac:dyDescent="0.25">
      <c r="A1271" s="40"/>
      <c r="B1271" s="9"/>
      <c r="C1271" s="9"/>
      <c r="D1271" s="9"/>
      <c r="E1271" s="9"/>
      <c r="F1271" s="9"/>
      <c r="G1271" s="9"/>
      <c r="H1271" s="8"/>
      <c r="I1271" s="8"/>
      <c r="J1271" s="8"/>
      <c r="K1271" s="8"/>
    </row>
    <row r="1272" spans="1:11" ht="15" customHeight="1" x14ac:dyDescent="0.25">
      <c r="A1272" s="40"/>
      <c r="B1272" s="9"/>
      <c r="C1272" s="9"/>
      <c r="D1272" s="9"/>
      <c r="E1272" s="9"/>
      <c r="F1272" s="9"/>
      <c r="G1272" s="9"/>
      <c r="H1272" s="8"/>
      <c r="I1272" s="8"/>
      <c r="J1272" s="8"/>
      <c r="K1272" s="8"/>
    </row>
    <row r="1273" spans="1:11" ht="15" customHeight="1" x14ac:dyDescent="0.25">
      <c r="A1273" s="40"/>
      <c r="B1273" s="9"/>
      <c r="C1273" s="9"/>
      <c r="D1273" s="9"/>
      <c r="E1273" s="9"/>
      <c r="F1273" s="9"/>
      <c r="G1273" s="9"/>
      <c r="H1273" s="8"/>
      <c r="I1273" s="8"/>
      <c r="J1273" s="8"/>
      <c r="K1273" s="8"/>
    </row>
    <row r="1274" spans="1:11" ht="15" customHeight="1" x14ac:dyDescent="0.25">
      <c r="A1274" s="40"/>
      <c r="B1274" s="9"/>
      <c r="C1274" s="9"/>
      <c r="D1274" s="9"/>
      <c r="E1274" s="9"/>
      <c r="F1274" s="9"/>
      <c r="G1274" s="9"/>
      <c r="H1274" s="8"/>
      <c r="I1274" s="8"/>
      <c r="J1274" s="8"/>
      <c r="K1274" s="8"/>
    </row>
    <row r="1275" spans="1:11" ht="15" customHeight="1" x14ac:dyDescent="0.25">
      <c r="A1275" s="40"/>
      <c r="B1275" s="9"/>
      <c r="C1275" s="9"/>
      <c r="D1275" s="9"/>
      <c r="E1275" s="9"/>
      <c r="F1275" s="9"/>
      <c r="G1275" s="9"/>
      <c r="H1275" s="8"/>
      <c r="I1275" s="8"/>
      <c r="J1275" s="8"/>
      <c r="K1275" s="8"/>
    </row>
    <row r="1276" spans="1:11" ht="15" customHeight="1" x14ac:dyDescent="0.25">
      <c r="A1276" s="40"/>
      <c r="B1276" s="9"/>
      <c r="C1276" s="9"/>
      <c r="D1276" s="9"/>
      <c r="E1276" s="9"/>
      <c r="F1276" s="9"/>
      <c r="G1276" s="9"/>
      <c r="H1276" s="8"/>
      <c r="I1276" s="8"/>
      <c r="J1276" s="8"/>
      <c r="K1276" s="8"/>
    </row>
    <row r="1277" spans="1:11" ht="15" customHeight="1" x14ac:dyDescent="0.25">
      <c r="A1277" s="40"/>
      <c r="B1277" s="9"/>
      <c r="C1277" s="9"/>
      <c r="D1277" s="9"/>
      <c r="E1277" s="9"/>
      <c r="F1277" s="9"/>
      <c r="G1277" s="9"/>
      <c r="H1277" s="8"/>
      <c r="I1277" s="8"/>
      <c r="J1277" s="8"/>
      <c r="K1277" s="8"/>
    </row>
    <row r="1278" spans="1:11" ht="15" customHeight="1" x14ac:dyDescent="0.25">
      <c r="A1278" s="40"/>
      <c r="B1278" s="9"/>
      <c r="C1278" s="9"/>
      <c r="D1278" s="9"/>
      <c r="E1278" s="9"/>
      <c r="F1278" s="9"/>
      <c r="G1278" s="9"/>
      <c r="H1278" s="8"/>
      <c r="I1278" s="8"/>
      <c r="J1278" s="8"/>
      <c r="K1278" s="8"/>
    </row>
    <row r="1279" spans="1:11" ht="15" customHeight="1" x14ac:dyDescent="0.25">
      <c r="A1279" s="40"/>
      <c r="B1279" s="9"/>
      <c r="C1279" s="9"/>
      <c r="D1279" s="9"/>
      <c r="E1279" s="9"/>
      <c r="F1279" s="9"/>
      <c r="G1279" s="9"/>
      <c r="H1279" s="8"/>
      <c r="I1279" s="8"/>
      <c r="J1279" s="8"/>
      <c r="K1279" s="8"/>
    </row>
    <row r="1280" spans="1:11" ht="15" customHeight="1" x14ac:dyDescent="0.25">
      <c r="A1280" s="40"/>
      <c r="B1280" s="9"/>
      <c r="C1280" s="9"/>
      <c r="D1280" s="9"/>
      <c r="E1280" s="9"/>
      <c r="F1280" s="9"/>
      <c r="G1280" s="9"/>
      <c r="H1280" s="8"/>
      <c r="I1280" s="8"/>
      <c r="J1280" s="8"/>
      <c r="K1280" s="8"/>
    </row>
    <row r="1281" spans="1:11" ht="15" customHeight="1" x14ac:dyDescent="0.25">
      <c r="A1281" s="40"/>
      <c r="B1281" s="9"/>
      <c r="C1281" s="9"/>
      <c r="D1281" s="9"/>
      <c r="E1281" s="9"/>
      <c r="F1281" s="9"/>
      <c r="G1281" s="9"/>
      <c r="H1281" s="8"/>
      <c r="I1281" s="8"/>
      <c r="J1281" s="8"/>
      <c r="K1281" s="8"/>
    </row>
    <row r="1282" spans="1:11" ht="15" customHeight="1" x14ac:dyDescent="0.25">
      <c r="A1282" s="40"/>
      <c r="B1282" s="9"/>
      <c r="C1282" s="9"/>
      <c r="D1282" s="9"/>
      <c r="E1282" s="9"/>
      <c r="F1282" s="9"/>
      <c r="G1282" s="9"/>
      <c r="H1282" s="8"/>
      <c r="I1282" s="8"/>
      <c r="J1282" s="8"/>
      <c r="K1282" s="8"/>
    </row>
    <row r="1283" spans="1:11" ht="15" customHeight="1" x14ac:dyDescent="0.25">
      <c r="A1283" s="40"/>
      <c r="B1283" s="9"/>
      <c r="C1283" s="9"/>
      <c r="D1283" s="9"/>
      <c r="E1283" s="9"/>
      <c r="F1283" s="9"/>
      <c r="G1283" s="9"/>
      <c r="H1283" s="8"/>
      <c r="I1283" s="8"/>
      <c r="J1283" s="8"/>
      <c r="K1283" s="8"/>
    </row>
    <row r="1284" spans="1:11" ht="15" customHeight="1" x14ac:dyDescent="0.25">
      <c r="A1284" s="40"/>
      <c r="B1284" s="9"/>
      <c r="C1284" s="9"/>
      <c r="D1284" s="9"/>
      <c r="E1284" s="9"/>
      <c r="F1284" s="9"/>
      <c r="G1284" s="9"/>
      <c r="H1284" s="8"/>
      <c r="I1284" s="8"/>
      <c r="J1284" s="8"/>
      <c r="K1284" s="8"/>
    </row>
    <row r="1285" spans="1:11" ht="15" customHeight="1" x14ac:dyDescent="0.25">
      <c r="A1285" s="40"/>
      <c r="B1285" s="9"/>
      <c r="C1285" s="9"/>
      <c r="D1285" s="9"/>
      <c r="E1285" s="9"/>
      <c r="F1285" s="9"/>
      <c r="G1285" s="9"/>
      <c r="H1285" s="8"/>
      <c r="I1285" s="8"/>
      <c r="J1285" s="8"/>
      <c r="K1285" s="8"/>
    </row>
    <row r="1286" spans="1:11" ht="15" customHeight="1" x14ac:dyDescent="0.25">
      <c r="A1286" s="40"/>
      <c r="B1286" s="9"/>
      <c r="C1286" s="9"/>
      <c r="D1286" s="9"/>
      <c r="E1286" s="9"/>
      <c r="F1286" s="9"/>
      <c r="G1286" s="9"/>
      <c r="H1286" s="8"/>
      <c r="I1286" s="8"/>
      <c r="J1286" s="8"/>
      <c r="K1286" s="8"/>
    </row>
    <row r="1287" spans="1:11" ht="15" customHeight="1" x14ac:dyDescent="0.25">
      <c r="A1287" s="40"/>
      <c r="B1287" s="9"/>
      <c r="C1287" s="9"/>
      <c r="D1287" s="9"/>
      <c r="E1287" s="9"/>
      <c r="F1287" s="9"/>
      <c r="G1287" s="9"/>
      <c r="H1287" s="8"/>
      <c r="I1287" s="8"/>
      <c r="J1287" s="8"/>
      <c r="K1287" s="8"/>
    </row>
    <row r="1288" spans="1:11" ht="15" customHeight="1" x14ac:dyDescent="0.25">
      <c r="A1288" s="40"/>
      <c r="B1288" s="9"/>
      <c r="C1288" s="9"/>
      <c r="D1288" s="9"/>
      <c r="E1288" s="9"/>
      <c r="F1288" s="9"/>
      <c r="G1288" s="9"/>
      <c r="H1288" s="8"/>
      <c r="I1288" s="8"/>
      <c r="J1288" s="8"/>
      <c r="K1288" s="8"/>
    </row>
    <row r="1289" spans="1:11" ht="15" customHeight="1" x14ac:dyDescent="0.25">
      <c r="A1289" s="40"/>
      <c r="B1289" s="9"/>
      <c r="C1289" s="9"/>
      <c r="D1289" s="9"/>
      <c r="E1289" s="9"/>
      <c r="F1289" s="9"/>
      <c r="G1289" s="9"/>
      <c r="H1289" s="8"/>
      <c r="I1289" s="8"/>
      <c r="J1289" s="8"/>
      <c r="K1289" s="8"/>
    </row>
    <row r="1290" spans="1:11" ht="15" customHeight="1" x14ac:dyDescent="0.25">
      <c r="A1290" s="40"/>
      <c r="B1290" s="9"/>
      <c r="C1290" s="9"/>
      <c r="D1290" s="9"/>
      <c r="E1290" s="9"/>
      <c r="F1290" s="9"/>
      <c r="G1290" s="9"/>
      <c r="H1290" s="8"/>
      <c r="I1290" s="8"/>
      <c r="J1290" s="8"/>
      <c r="K1290" s="8"/>
    </row>
    <row r="1291" spans="1:11" ht="15" customHeight="1" x14ac:dyDescent="0.25">
      <c r="A1291" s="40"/>
      <c r="B1291" s="9"/>
      <c r="C1291" s="9"/>
      <c r="D1291" s="9"/>
      <c r="E1291" s="9"/>
      <c r="F1291" s="9"/>
      <c r="G1291" s="9"/>
      <c r="H1291" s="8"/>
      <c r="I1291" s="8"/>
      <c r="J1291" s="8"/>
      <c r="K1291" s="8"/>
    </row>
    <row r="1292" spans="1:11" ht="15" customHeight="1" x14ac:dyDescent="0.25">
      <c r="A1292" s="40"/>
      <c r="B1292" s="9"/>
      <c r="C1292" s="9"/>
      <c r="D1292" s="9"/>
      <c r="E1292" s="9"/>
      <c r="F1292" s="9"/>
      <c r="G1292" s="9"/>
      <c r="H1292" s="8"/>
      <c r="I1292" s="8"/>
      <c r="J1292" s="8"/>
      <c r="K1292" s="8"/>
    </row>
    <row r="1293" spans="1:11" ht="15" customHeight="1" x14ac:dyDescent="0.25">
      <c r="A1293" s="40"/>
      <c r="B1293" s="9"/>
      <c r="C1293" s="9"/>
      <c r="D1293" s="9"/>
      <c r="E1293" s="9"/>
      <c r="F1293" s="9"/>
      <c r="G1293" s="9"/>
      <c r="H1293" s="8"/>
      <c r="I1293" s="8"/>
      <c r="J1293" s="8"/>
      <c r="K1293" s="8"/>
    </row>
    <row r="1294" spans="1:11" ht="15" customHeight="1" x14ac:dyDescent="0.25">
      <c r="A1294" s="40"/>
      <c r="B1294" s="9"/>
      <c r="C1294" s="9"/>
      <c r="D1294" s="9"/>
      <c r="E1294" s="9"/>
      <c r="F1294" s="9"/>
      <c r="G1294" s="9"/>
      <c r="H1294" s="8"/>
      <c r="I1294" s="8"/>
      <c r="J1294" s="8"/>
      <c r="K1294" s="8"/>
    </row>
    <row r="1295" spans="1:11" ht="15" customHeight="1" x14ac:dyDescent="0.25">
      <c r="A1295" s="40"/>
      <c r="B1295" s="9"/>
      <c r="C1295" s="9"/>
      <c r="D1295" s="9"/>
      <c r="E1295" s="9"/>
      <c r="F1295" s="9"/>
      <c r="G1295" s="9"/>
      <c r="H1295" s="8"/>
      <c r="I1295" s="8"/>
      <c r="J1295" s="8"/>
      <c r="K1295" s="8"/>
    </row>
    <row r="1296" spans="1:11" ht="15" customHeight="1" x14ac:dyDescent="0.25">
      <c r="A1296" s="40"/>
      <c r="B1296" s="9"/>
      <c r="C1296" s="9"/>
      <c r="D1296" s="9"/>
      <c r="E1296" s="9"/>
      <c r="F1296" s="9"/>
      <c r="G1296" s="9"/>
      <c r="H1296" s="8"/>
      <c r="I1296" s="8"/>
      <c r="J1296" s="8"/>
      <c r="K1296" s="8"/>
    </row>
    <row r="1297" spans="1:11" ht="15" customHeight="1" x14ac:dyDescent="0.25">
      <c r="A1297" s="40"/>
      <c r="B1297" s="9"/>
      <c r="C1297" s="9"/>
      <c r="D1297" s="9"/>
      <c r="E1297" s="9"/>
      <c r="F1297" s="9"/>
      <c r="G1297" s="9"/>
      <c r="H1297" s="8"/>
      <c r="I1297" s="8"/>
      <c r="J1297" s="8"/>
      <c r="K1297" s="8"/>
    </row>
    <row r="1298" spans="1:11" ht="15" customHeight="1" x14ac:dyDescent="0.25">
      <c r="A1298" s="40"/>
      <c r="B1298" s="9"/>
      <c r="C1298" s="9"/>
      <c r="D1298" s="9"/>
      <c r="E1298" s="9"/>
      <c r="F1298" s="9"/>
      <c r="G1298" s="9"/>
      <c r="H1298" s="8"/>
      <c r="I1298" s="8"/>
      <c r="J1298" s="8"/>
      <c r="K1298" s="8"/>
    </row>
    <row r="1299" spans="1:11" ht="15" customHeight="1" x14ac:dyDescent="0.25">
      <c r="A1299" s="40"/>
      <c r="B1299" s="9"/>
      <c r="C1299" s="9"/>
      <c r="D1299" s="9"/>
      <c r="E1299" s="9"/>
      <c r="F1299" s="9"/>
      <c r="G1299" s="9"/>
      <c r="H1299" s="8"/>
      <c r="I1299" s="8"/>
      <c r="J1299" s="8"/>
      <c r="K1299" s="8"/>
    </row>
    <row r="1300" spans="1:11" ht="15" customHeight="1" x14ac:dyDescent="0.25">
      <c r="A1300" s="40"/>
      <c r="B1300" s="9"/>
      <c r="C1300" s="9"/>
      <c r="D1300" s="9"/>
      <c r="E1300" s="9"/>
      <c r="F1300" s="9"/>
      <c r="G1300" s="9"/>
      <c r="H1300" s="8"/>
      <c r="I1300" s="8"/>
      <c r="J1300" s="8"/>
      <c r="K1300" s="8"/>
    </row>
    <row r="1301" spans="1:11" ht="15" customHeight="1" x14ac:dyDescent="0.25">
      <c r="A1301" s="40"/>
      <c r="B1301" s="9"/>
      <c r="C1301" s="9"/>
      <c r="D1301" s="9"/>
      <c r="E1301" s="9"/>
      <c r="F1301" s="9"/>
      <c r="G1301" s="9"/>
      <c r="H1301" s="8"/>
      <c r="I1301" s="8"/>
      <c r="J1301" s="8"/>
      <c r="K1301" s="8"/>
    </row>
    <row r="1302" spans="1:11" ht="15" customHeight="1" x14ac:dyDescent="0.25">
      <c r="A1302" s="40"/>
      <c r="B1302" s="9"/>
      <c r="C1302" s="9"/>
      <c r="D1302" s="9"/>
      <c r="E1302" s="9"/>
      <c r="F1302" s="9"/>
      <c r="G1302" s="9"/>
      <c r="H1302" s="8"/>
      <c r="I1302" s="8"/>
      <c r="J1302" s="8"/>
      <c r="K1302" s="8"/>
    </row>
    <row r="1303" spans="1:11" ht="15" customHeight="1" x14ac:dyDescent="0.25">
      <c r="A1303" s="40"/>
      <c r="B1303" s="9"/>
      <c r="C1303" s="9"/>
      <c r="D1303" s="9"/>
      <c r="E1303" s="9"/>
      <c r="F1303" s="9"/>
      <c r="G1303" s="9"/>
      <c r="H1303" s="8"/>
      <c r="I1303" s="8"/>
      <c r="J1303" s="8"/>
      <c r="K1303" s="8"/>
    </row>
    <row r="1304" spans="1:11" ht="15" customHeight="1" x14ac:dyDescent="0.25">
      <c r="A1304" s="40"/>
      <c r="B1304" s="9"/>
      <c r="C1304" s="9"/>
      <c r="D1304" s="9"/>
      <c r="E1304" s="9"/>
      <c r="F1304" s="9"/>
      <c r="G1304" s="9"/>
      <c r="H1304" s="8"/>
      <c r="I1304" s="8"/>
      <c r="J1304" s="8"/>
      <c r="K1304" s="8"/>
    </row>
    <row r="1305" spans="1:11" ht="15" customHeight="1" x14ac:dyDescent="0.25">
      <c r="A1305" s="40"/>
      <c r="B1305" s="9"/>
      <c r="C1305" s="9"/>
      <c r="D1305" s="9"/>
      <c r="E1305" s="9"/>
      <c r="F1305" s="9"/>
      <c r="G1305" s="9"/>
      <c r="H1305" s="8"/>
      <c r="I1305" s="8"/>
      <c r="J1305" s="8"/>
      <c r="K1305" s="8"/>
    </row>
    <row r="1306" spans="1:11" ht="15" customHeight="1" x14ac:dyDescent="0.25">
      <c r="A1306" s="40"/>
      <c r="B1306" s="9"/>
      <c r="C1306" s="9"/>
      <c r="D1306" s="9"/>
      <c r="E1306" s="9"/>
      <c r="F1306" s="9"/>
      <c r="G1306" s="9"/>
      <c r="H1306" s="8"/>
      <c r="I1306" s="8"/>
      <c r="J1306" s="8"/>
      <c r="K1306" s="8"/>
    </row>
    <row r="1307" spans="1:11" ht="15" customHeight="1" x14ac:dyDescent="0.25">
      <c r="A1307" s="40"/>
      <c r="B1307" s="9"/>
      <c r="C1307" s="9"/>
      <c r="D1307" s="9"/>
      <c r="E1307" s="9"/>
      <c r="F1307" s="9"/>
      <c r="G1307" s="9"/>
      <c r="H1307" s="8"/>
      <c r="I1307" s="8"/>
      <c r="J1307" s="8"/>
      <c r="K1307" s="8"/>
    </row>
    <row r="1308" spans="1:11" ht="15" customHeight="1" x14ac:dyDescent="0.25">
      <c r="A1308" s="40"/>
      <c r="B1308" s="9"/>
      <c r="C1308" s="9"/>
      <c r="D1308" s="9"/>
      <c r="E1308" s="9"/>
      <c r="F1308" s="9"/>
      <c r="G1308" s="9"/>
      <c r="H1308" s="8"/>
      <c r="I1308" s="8"/>
      <c r="J1308" s="8"/>
      <c r="K1308" s="8"/>
    </row>
    <row r="1309" spans="1:11" ht="15" customHeight="1" x14ac:dyDescent="0.25">
      <c r="A1309" s="40"/>
      <c r="B1309" s="9"/>
      <c r="C1309" s="9"/>
      <c r="D1309" s="9"/>
      <c r="E1309" s="9"/>
      <c r="F1309" s="9"/>
      <c r="G1309" s="9"/>
      <c r="H1309" s="8"/>
      <c r="I1309" s="8"/>
      <c r="J1309" s="8"/>
      <c r="K1309" s="8"/>
    </row>
    <row r="1310" spans="1:11" ht="15" customHeight="1" x14ac:dyDescent="0.25">
      <c r="A1310" s="40"/>
      <c r="B1310" s="9"/>
      <c r="C1310" s="9"/>
      <c r="D1310" s="9"/>
      <c r="E1310" s="9"/>
      <c r="F1310" s="9"/>
      <c r="G1310" s="9"/>
      <c r="H1310" s="8"/>
      <c r="I1310" s="8"/>
      <c r="J1310" s="8"/>
      <c r="K1310" s="8"/>
    </row>
    <row r="1311" spans="1:11" ht="15" customHeight="1" x14ac:dyDescent="0.25">
      <c r="A1311" s="40"/>
      <c r="B1311" s="9"/>
      <c r="C1311" s="9"/>
      <c r="D1311" s="9"/>
      <c r="E1311" s="9"/>
      <c r="F1311" s="9"/>
      <c r="G1311" s="9"/>
      <c r="H1311" s="8"/>
      <c r="I1311" s="8"/>
      <c r="J1311" s="8"/>
      <c r="K1311" s="8"/>
    </row>
    <row r="1312" spans="1:11" ht="15" customHeight="1" x14ac:dyDescent="0.25">
      <c r="A1312" s="40"/>
      <c r="B1312" s="9"/>
      <c r="C1312" s="9"/>
      <c r="D1312" s="9"/>
      <c r="E1312" s="9"/>
      <c r="F1312" s="9"/>
      <c r="G1312" s="9"/>
      <c r="H1312" s="8"/>
      <c r="I1312" s="8"/>
      <c r="J1312" s="8"/>
      <c r="K1312" s="8"/>
    </row>
    <row r="1313" spans="1:11" ht="15" customHeight="1" x14ac:dyDescent="0.25">
      <c r="A1313" s="40"/>
      <c r="B1313" s="9"/>
      <c r="C1313" s="9"/>
      <c r="D1313" s="9"/>
      <c r="E1313" s="9"/>
      <c r="F1313" s="9"/>
      <c r="G1313" s="9"/>
      <c r="H1313" s="8"/>
      <c r="I1313" s="8"/>
      <c r="J1313" s="8"/>
      <c r="K1313" s="8"/>
    </row>
    <row r="1314" spans="1:11" ht="15" customHeight="1" x14ac:dyDescent="0.25">
      <c r="A1314" s="40"/>
      <c r="B1314" s="9"/>
      <c r="C1314" s="9"/>
      <c r="D1314" s="9"/>
      <c r="E1314" s="9"/>
      <c r="F1314" s="9"/>
      <c r="G1314" s="9"/>
      <c r="H1314" s="8"/>
      <c r="I1314" s="8"/>
      <c r="J1314" s="8"/>
      <c r="K1314" s="8"/>
    </row>
    <row r="1315" spans="1:11" ht="15" customHeight="1" x14ac:dyDescent="0.25">
      <c r="A1315" s="40"/>
      <c r="B1315" s="9"/>
      <c r="C1315" s="9"/>
      <c r="D1315" s="9"/>
      <c r="E1315" s="9"/>
      <c r="F1315" s="9"/>
      <c r="G1315" s="9"/>
      <c r="H1315" s="8"/>
      <c r="I1315" s="8"/>
      <c r="J1315" s="8"/>
      <c r="K1315" s="8"/>
    </row>
    <row r="1316" spans="1:11" ht="15" customHeight="1" x14ac:dyDescent="0.25">
      <c r="A1316" s="40"/>
      <c r="B1316" s="9"/>
      <c r="C1316" s="9"/>
      <c r="D1316" s="9"/>
      <c r="E1316" s="9"/>
      <c r="F1316" s="9"/>
      <c r="G1316" s="9"/>
      <c r="H1316" s="8"/>
      <c r="I1316" s="8"/>
      <c r="J1316" s="8"/>
      <c r="K1316" s="8"/>
    </row>
    <row r="1317" spans="1:11" ht="15" customHeight="1" x14ac:dyDescent="0.25">
      <c r="A1317" s="40"/>
      <c r="B1317" s="9"/>
      <c r="C1317" s="9"/>
      <c r="D1317" s="9"/>
      <c r="E1317" s="9"/>
      <c r="F1317" s="9"/>
      <c r="G1317" s="9"/>
      <c r="H1317" s="8"/>
      <c r="I1317" s="8"/>
      <c r="J1317" s="8"/>
      <c r="K1317" s="8"/>
    </row>
    <row r="1318" spans="1:11" ht="15" customHeight="1" x14ac:dyDescent="0.25">
      <c r="A1318" s="40"/>
      <c r="B1318" s="9"/>
      <c r="C1318" s="9"/>
      <c r="D1318" s="9"/>
      <c r="E1318" s="9"/>
      <c r="F1318" s="9"/>
      <c r="G1318" s="9"/>
      <c r="H1318" s="8"/>
      <c r="I1318" s="8"/>
      <c r="J1318" s="8"/>
      <c r="K1318" s="8"/>
    </row>
    <row r="1319" spans="1:11" ht="15" customHeight="1" x14ac:dyDescent="0.25">
      <c r="A1319" s="40"/>
      <c r="B1319" s="9"/>
      <c r="C1319" s="9"/>
      <c r="D1319" s="9"/>
      <c r="E1319" s="9"/>
      <c r="F1319" s="9"/>
      <c r="G1319" s="9"/>
      <c r="H1319" s="8"/>
      <c r="I1319" s="8"/>
      <c r="J1319" s="8"/>
      <c r="K1319" s="8"/>
    </row>
    <row r="1320" spans="1:11" ht="15" customHeight="1" x14ac:dyDescent="0.25">
      <c r="A1320" s="40"/>
      <c r="B1320" s="9"/>
      <c r="C1320" s="9"/>
      <c r="D1320" s="9"/>
      <c r="E1320" s="9"/>
      <c r="F1320" s="9"/>
      <c r="G1320" s="9"/>
      <c r="H1320" s="8"/>
      <c r="I1320" s="8"/>
      <c r="J1320" s="8"/>
      <c r="K1320" s="8"/>
    </row>
    <row r="1321" spans="1:11" ht="15" customHeight="1" x14ac:dyDescent="0.25">
      <c r="A1321" s="40"/>
      <c r="B1321" s="9"/>
      <c r="C1321" s="9"/>
      <c r="D1321" s="9"/>
      <c r="E1321" s="9"/>
      <c r="F1321" s="9"/>
      <c r="G1321" s="9"/>
      <c r="H1321" s="8"/>
      <c r="I1321" s="8"/>
      <c r="J1321" s="8"/>
      <c r="K1321" s="8"/>
    </row>
    <row r="1322" spans="1:11" ht="15" customHeight="1" x14ac:dyDescent="0.25">
      <c r="A1322" s="40"/>
      <c r="B1322" s="9"/>
      <c r="C1322" s="9"/>
      <c r="D1322" s="9"/>
      <c r="E1322" s="9"/>
      <c r="F1322" s="9"/>
      <c r="G1322" s="9"/>
      <c r="H1322" s="8"/>
      <c r="I1322" s="8"/>
      <c r="J1322" s="8"/>
      <c r="K1322" s="8"/>
    </row>
    <row r="1323" spans="1:11" ht="15" customHeight="1" x14ac:dyDescent="0.25">
      <c r="A1323" s="40"/>
      <c r="B1323" s="9"/>
      <c r="C1323" s="9"/>
      <c r="D1323" s="9"/>
      <c r="E1323" s="9"/>
      <c r="F1323" s="9"/>
      <c r="G1323" s="9"/>
      <c r="H1323" s="8"/>
      <c r="I1323" s="8"/>
      <c r="J1323" s="8"/>
      <c r="K1323" s="8"/>
    </row>
    <row r="1324" spans="1:11" ht="15" customHeight="1" x14ac:dyDescent="0.25">
      <c r="A1324" s="40"/>
      <c r="B1324" s="9"/>
      <c r="C1324" s="9"/>
      <c r="D1324" s="9"/>
      <c r="E1324" s="9"/>
      <c r="F1324" s="9"/>
      <c r="G1324" s="9"/>
      <c r="H1324" s="8"/>
      <c r="I1324" s="8"/>
      <c r="J1324" s="8"/>
      <c r="K1324" s="8"/>
    </row>
    <row r="1325" spans="1:11" ht="15" customHeight="1" x14ac:dyDescent="0.25">
      <c r="A1325" s="40"/>
      <c r="B1325" s="9"/>
      <c r="C1325" s="9"/>
      <c r="D1325" s="9"/>
      <c r="E1325" s="9"/>
      <c r="F1325" s="9"/>
      <c r="G1325" s="9"/>
      <c r="H1325" s="8"/>
      <c r="I1325" s="8"/>
      <c r="J1325" s="8"/>
      <c r="K1325" s="8"/>
    </row>
    <row r="1326" spans="1:11" ht="15" customHeight="1" x14ac:dyDescent="0.25">
      <c r="A1326" s="40"/>
      <c r="B1326" s="9"/>
      <c r="C1326" s="9"/>
      <c r="D1326" s="9"/>
      <c r="E1326" s="9"/>
      <c r="F1326" s="9"/>
      <c r="G1326" s="9"/>
      <c r="H1326" s="8"/>
      <c r="I1326" s="8"/>
      <c r="J1326" s="8"/>
      <c r="K1326" s="8"/>
    </row>
    <row r="1327" spans="1:11" ht="15" customHeight="1" x14ac:dyDescent="0.25">
      <c r="A1327" s="40"/>
      <c r="B1327" s="9"/>
      <c r="C1327" s="9"/>
      <c r="D1327" s="9"/>
      <c r="E1327" s="9"/>
      <c r="F1327" s="9"/>
      <c r="G1327" s="9"/>
      <c r="H1327" s="8"/>
      <c r="I1327" s="8"/>
      <c r="J1327" s="8"/>
      <c r="K1327" s="8"/>
    </row>
    <row r="1328" spans="1:11" ht="15" customHeight="1" x14ac:dyDescent="0.25">
      <c r="A1328" s="40"/>
      <c r="B1328" s="9"/>
      <c r="C1328" s="9"/>
      <c r="D1328" s="9"/>
      <c r="E1328" s="9"/>
      <c r="F1328" s="9"/>
      <c r="G1328" s="9"/>
      <c r="H1328" s="8"/>
      <c r="I1328" s="8"/>
      <c r="J1328" s="8"/>
      <c r="K1328" s="8"/>
    </row>
    <row r="1329" spans="1:11" ht="15" customHeight="1" x14ac:dyDescent="0.25">
      <c r="A1329" s="40"/>
      <c r="B1329" s="9"/>
      <c r="C1329" s="9"/>
      <c r="D1329" s="9"/>
      <c r="E1329" s="9"/>
      <c r="F1329" s="9"/>
      <c r="G1329" s="9"/>
      <c r="H1329" s="8"/>
      <c r="I1329" s="8"/>
      <c r="J1329" s="8"/>
      <c r="K1329" s="8"/>
    </row>
    <row r="1330" spans="1:11" ht="15" customHeight="1" x14ac:dyDescent="0.25">
      <c r="A1330" s="40"/>
      <c r="B1330" s="9"/>
      <c r="C1330" s="9"/>
      <c r="D1330" s="9"/>
      <c r="E1330" s="9"/>
      <c r="F1330" s="9"/>
      <c r="G1330" s="9"/>
      <c r="H1330" s="8"/>
      <c r="I1330" s="8"/>
      <c r="J1330" s="8"/>
      <c r="K1330" s="8"/>
    </row>
    <row r="1331" spans="1:11" ht="15" customHeight="1" x14ac:dyDescent="0.25">
      <c r="A1331" s="40"/>
      <c r="B1331" s="9"/>
      <c r="C1331" s="9"/>
      <c r="D1331" s="9"/>
      <c r="E1331" s="9"/>
      <c r="F1331" s="9"/>
      <c r="G1331" s="9"/>
      <c r="H1331" s="8"/>
      <c r="I1331" s="8"/>
      <c r="J1331" s="8"/>
      <c r="K1331" s="8"/>
    </row>
    <row r="1332" spans="1:11" ht="15" customHeight="1" x14ac:dyDescent="0.25">
      <c r="A1332" s="40"/>
      <c r="B1332" s="9"/>
      <c r="C1332" s="9"/>
      <c r="D1332" s="9"/>
      <c r="E1332" s="9"/>
      <c r="F1332" s="9"/>
      <c r="G1332" s="9"/>
      <c r="H1332" s="8"/>
      <c r="I1332" s="8"/>
      <c r="J1332" s="8"/>
      <c r="K1332" s="8"/>
    </row>
    <row r="1333" spans="1:11" ht="15" customHeight="1" x14ac:dyDescent="0.25">
      <c r="A1333" s="40"/>
      <c r="B1333" s="9"/>
      <c r="C1333" s="9"/>
      <c r="D1333" s="9"/>
      <c r="E1333" s="9"/>
      <c r="F1333" s="9"/>
      <c r="G1333" s="9"/>
      <c r="H1333" s="8"/>
      <c r="I1333" s="8"/>
      <c r="J1333" s="8"/>
      <c r="K1333" s="8"/>
    </row>
    <row r="1334" spans="1:11" ht="15" customHeight="1" x14ac:dyDescent="0.25">
      <c r="A1334" s="40"/>
      <c r="B1334" s="9"/>
      <c r="C1334" s="9"/>
      <c r="D1334" s="9"/>
      <c r="E1334" s="9"/>
      <c r="F1334" s="9"/>
      <c r="G1334" s="9"/>
      <c r="H1334" s="8"/>
      <c r="I1334" s="8"/>
      <c r="J1334" s="8"/>
      <c r="K1334" s="8"/>
    </row>
    <row r="1335" spans="1:11" ht="15" customHeight="1" x14ac:dyDescent="0.25">
      <c r="A1335" s="40"/>
      <c r="B1335" s="9"/>
      <c r="C1335" s="9"/>
      <c r="D1335" s="9"/>
      <c r="E1335" s="9"/>
      <c r="F1335" s="9"/>
      <c r="G1335" s="9"/>
      <c r="H1335" s="8"/>
      <c r="I1335" s="8"/>
      <c r="J1335" s="8"/>
      <c r="K1335" s="8"/>
    </row>
    <row r="1336" spans="1:11" ht="15" customHeight="1" x14ac:dyDescent="0.25">
      <c r="A1336" s="40"/>
      <c r="B1336" s="9"/>
      <c r="C1336" s="9"/>
      <c r="D1336" s="9"/>
      <c r="E1336" s="9"/>
      <c r="F1336" s="9"/>
      <c r="G1336" s="9"/>
      <c r="H1336" s="8"/>
      <c r="I1336" s="8"/>
      <c r="J1336" s="8"/>
      <c r="K1336" s="8"/>
    </row>
    <row r="1337" spans="1:11" ht="15" customHeight="1" x14ac:dyDescent="0.25">
      <c r="A1337" s="40"/>
      <c r="B1337" s="9"/>
      <c r="C1337" s="9"/>
      <c r="D1337" s="9"/>
      <c r="E1337" s="9"/>
      <c r="F1337" s="9"/>
      <c r="G1337" s="9"/>
      <c r="H1337" s="8"/>
      <c r="I1337" s="8"/>
      <c r="J1337" s="8"/>
      <c r="K1337" s="8"/>
    </row>
    <row r="1338" spans="1:11" ht="15" customHeight="1" x14ac:dyDescent="0.25">
      <c r="A1338" s="40"/>
      <c r="B1338" s="9"/>
      <c r="C1338" s="9"/>
      <c r="D1338" s="9"/>
      <c r="E1338" s="9"/>
      <c r="F1338" s="9"/>
      <c r="G1338" s="9"/>
      <c r="H1338" s="8"/>
      <c r="I1338" s="8"/>
      <c r="J1338" s="8"/>
      <c r="K1338" s="8"/>
    </row>
    <row r="1339" spans="1:11" ht="15" customHeight="1" x14ac:dyDescent="0.25">
      <c r="A1339" s="40"/>
      <c r="B1339" s="9"/>
      <c r="C1339" s="9"/>
      <c r="D1339" s="9"/>
      <c r="E1339" s="9"/>
      <c r="F1339" s="9"/>
      <c r="G1339" s="9"/>
      <c r="H1339" s="8"/>
      <c r="I1339" s="8"/>
      <c r="J1339" s="8"/>
      <c r="K1339" s="8"/>
    </row>
    <row r="1340" spans="1:11" ht="15" customHeight="1" x14ac:dyDescent="0.25">
      <c r="A1340" s="40"/>
      <c r="B1340" s="9"/>
      <c r="C1340" s="9"/>
      <c r="D1340" s="9"/>
      <c r="E1340" s="9"/>
      <c r="F1340" s="9"/>
      <c r="G1340" s="9"/>
      <c r="H1340" s="8"/>
      <c r="I1340" s="8"/>
      <c r="J1340" s="8"/>
      <c r="K1340" s="8"/>
    </row>
    <row r="1341" spans="1:11" ht="15" customHeight="1" x14ac:dyDescent="0.25">
      <c r="A1341" s="40"/>
      <c r="B1341" s="9"/>
      <c r="C1341" s="9"/>
      <c r="D1341" s="9"/>
      <c r="E1341" s="9"/>
      <c r="F1341" s="9"/>
      <c r="G1341" s="9"/>
      <c r="H1341" s="8"/>
      <c r="I1341" s="8"/>
      <c r="J1341" s="8"/>
      <c r="K1341" s="8"/>
    </row>
    <row r="1342" spans="1:11" ht="15" customHeight="1" x14ac:dyDescent="0.25">
      <c r="A1342" s="40"/>
      <c r="B1342" s="9"/>
      <c r="C1342" s="9"/>
      <c r="D1342" s="9"/>
      <c r="E1342" s="9"/>
      <c r="F1342" s="9"/>
      <c r="G1342" s="9"/>
      <c r="H1342" s="8"/>
      <c r="I1342" s="8"/>
      <c r="J1342" s="8"/>
      <c r="K1342" s="8"/>
    </row>
    <row r="1343" spans="1:11" ht="15" customHeight="1" x14ac:dyDescent="0.25">
      <c r="A1343" s="40"/>
      <c r="B1343" s="9"/>
      <c r="C1343" s="9"/>
      <c r="D1343" s="9"/>
      <c r="E1343" s="9"/>
      <c r="F1343" s="9"/>
      <c r="G1343" s="9"/>
      <c r="H1343" s="8"/>
      <c r="I1343" s="8"/>
      <c r="J1343" s="8"/>
      <c r="K1343" s="8"/>
    </row>
    <row r="1344" spans="1:11" ht="15" customHeight="1" x14ac:dyDescent="0.25">
      <c r="A1344" s="40"/>
      <c r="B1344" s="9"/>
      <c r="C1344" s="9"/>
      <c r="D1344" s="9"/>
      <c r="E1344" s="9"/>
      <c r="F1344" s="9"/>
      <c r="G1344" s="9"/>
      <c r="H1344" s="8"/>
      <c r="I1344" s="8"/>
      <c r="J1344" s="8"/>
      <c r="K1344" s="8"/>
    </row>
    <row r="1345" spans="1:11" ht="15" customHeight="1" x14ac:dyDescent="0.25">
      <c r="A1345" s="40"/>
      <c r="B1345" s="9"/>
      <c r="C1345" s="9"/>
      <c r="D1345" s="9"/>
      <c r="E1345" s="9"/>
      <c r="F1345" s="9"/>
      <c r="G1345" s="9"/>
      <c r="H1345" s="8"/>
      <c r="I1345" s="8"/>
      <c r="J1345" s="8"/>
      <c r="K1345" s="8"/>
    </row>
    <row r="1346" spans="1:11" ht="15" customHeight="1" x14ac:dyDescent="0.25">
      <c r="A1346" s="40"/>
      <c r="B1346" s="9"/>
      <c r="C1346" s="9"/>
      <c r="D1346" s="9"/>
      <c r="E1346" s="9"/>
      <c r="F1346" s="9"/>
      <c r="G1346" s="9"/>
      <c r="H1346" s="8"/>
      <c r="I1346" s="8"/>
      <c r="J1346" s="8"/>
      <c r="K1346" s="8"/>
    </row>
    <row r="1347" spans="1:11" ht="15" customHeight="1" x14ac:dyDescent="0.25">
      <c r="A1347" s="40"/>
      <c r="B1347" s="9"/>
      <c r="C1347" s="9"/>
      <c r="D1347" s="9"/>
      <c r="E1347" s="9"/>
      <c r="F1347" s="9"/>
      <c r="G1347" s="9"/>
      <c r="H1347" s="8"/>
      <c r="I1347" s="8"/>
      <c r="J1347" s="8"/>
      <c r="K1347" s="8"/>
    </row>
    <row r="1348" spans="1:11" ht="15" customHeight="1" x14ac:dyDescent="0.25">
      <c r="A1348" s="40"/>
      <c r="B1348" s="9"/>
      <c r="C1348" s="9"/>
      <c r="D1348" s="9"/>
      <c r="E1348" s="9"/>
      <c r="F1348" s="9"/>
      <c r="G1348" s="9"/>
      <c r="H1348" s="8"/>
      <c r="I1348" s="8"/>
      <c r="J1348" s="8"/>
      <c r="K1348" s="8"/>
    </row>
    <row r="1349" spans="1:11" ht="15" customHeight="1" x14ac:dyDescent="0.25">
      <c r="A1349" s="40"/>
      <c r="B1349" s="9"/>
      <c r="C1349" s="9"/>
      <c r="D1349" s="9"/>
      <c r="E1349" s="9"/>
      <c r="F1349" s="9"/>
      <c r="G1349" s="9"/>
      <c r="H1349" s="8"/>
      <c r="I1349" s="8"/>
      <c r="J1349" s="8"/>
      <c r="K1349" s="8"/>
    </row>
    <row r="1350" spans="1:11" ht="15" customHeight="1" x14ac:dyDescent="0.25">
      <c r="A1350" s="40"/>
      <c r="B1350" s="9"/>
      <c r="C1350" s="9"/>
      <c r="D1350" s="9"/>
      <c r="E1350" s="9"/>
      <c r="F1350" s="9"/>
      <c r="G1350" s="9"/>
      <c r="H1350" s="8"/>
      <c r="I1350" s="8"/>
      <c r="J1350" s="8"/>
      <c r="K1350" s="8"/>
    </row>
    <row r="1351" spans="1:11" ht="15" customHeight="1" x14ac:dyDescent="0.25">
      <c r="A1351" s="40"/>
      <c r="B1351" s="9"/>
      <c r="C1351" s="9"/>
      <c r="D1351" s="9"/>
      <c r="E1351" s="9"/>
      <c r="F1351" s="9"/>
      <c r="G1351" s="9"/>
      <c r="H1351" s="8"/>
      <c r="I1351" s="8"/>
      <c r="J1351" s="8"/>
      <c r="K1351" s="8"/>
    </row>
    <row r="1352" spans="1:11" ht="15" customHeight="1" x14ac:dyDescent="0.25">
      <c r="A1352" s="40"/>
      <c r="B1352" s="9"/>
      <c r="C1352" s="9"/>
      <c r="D1352" s="9"/>
      <c r="E1352" s="9"/>
      <c r="F1352" s="9"/>
      <c r="G1352" s="9"/>
      <c r="H1352" s="8"/>
      <c r="I1352" s="8"/>
      <c r="J1352" s="8"/>
      <c r="K1352" s="8"/>
    </row>
    <row r="1353" spans="1:11" ht="15" customHeight="1" x14ac:dyDescent="0.25">
      <c r="A1353" s="40"/>
      <c r="B1353" s="9"/>
      <c r="C1353" s="9"/>
      <c r="D1353" s="9"/>
      <c r="E1353" s="9"/>
      <c r="F1353" s="9"/>
      <c r="G1353" s="9"/>
      <c r="H1353" s="8"/>
      <c r="I1353" s="8"/>
      <c r="J1353" s="8"/>
      <c r="K1353" s="8"/>
    </row>
    <row r="1354" spans="1:11" ht="15" customHeight="1" x14ac:dyDescent="0.25">
      <c r="A1354" s="40"/>
      <c r="B1354" s="9"/>
      <c r="C1354" s="9"/>
      <c r="D1354" s="9"/>
      <c r="E1354" s="9"/>
      <c r="F1354" s="9"/>
      <c r="G1354" s="9"/>
      <c r="H1354" s="8"/>
      <c r="I1354" s="8"/>
      <c r="J1354" s="8"/>
      <c r="K1354" s="8"/>
    </row>
    <row r="1355" spans="1:11" ht="15" customHeight="1" x14ac:dyDescent="0.25">
      <c r="A1355" s="40"/>
      <c r="B1355" s="9"/>
      <c r="C1355" s="9"/>
      <c r="D1355" s="9"/>
      <c r="E1355" s="9"/>
      <c r="F1355" s="9"/>
      <c r="G1355" s="9"/>
      <c r="H1355" s="8"/>
      <c r="I1355" s="8"/>
      <c r="J1355" s="8"/>
      <c r="K1355" s="8"/>
    </row>
    <row r="1356" spans="1:11" ht="15" customHeight="1" x14ac:dyDescent="0.25">
      <c r="A1356" s="40"/>
      <c r="B1356" s="9"/>
      <c r="C1356" s="9"/>
      <c r="D1356" s="9"/>
      <c r="E1356" s="9"/>
      <c r="F1356" s="9"/>
      <c r="G1356" s="9"/>
      <c r="H1356" s="8"/>
      <c r="I1356" s="8"/>
      <c r="J1356" s="8"/>
      <c r="K1356" s="8"/>
    </row>
    <row r="1357" spans="1:11" ht="15" customHeight="1" x14ac:dyDescent="0.25">
      <c r="A1357" s="40"/>
      <c r="B1357" s="9"/>
      <c r="C1357" s="9"/>
      <c r="D1357" s="9"/>
      <c r="E1357" s="9"/>
      <c r="F1357" s="9"/>
      <c r="G1357" s="9"/>
      <c r="H1357" s="8"/>
      <c r="I1357" s="8"/>
      <c r="J1357" s="8"/>
      <c r="K1357" s="8"/>
    </row>
    <row r="1358" spans="1:11" ht="15" customHeight="1" x14ac:dyDescent="0.25">
      <c r="A1358" s="40"/>
      <c r="B1358" s="9"/>
      <c r="C1358" s="9"/>
      <c r="D1358" s="9"/>
      <c r="E1358" s="9"/>
      <c r="F1358" s="9"/>
      <c r="G1358" s="9"/>
      <c r="H1358" s="8"/>
      <c r="I1358" s="8"/>
      <c r="J1358" s="8"/>
      <c r="K1358" s="8"/>
    </row>
    <row r="1359" spans="1:11" ht="15" customHeight="1" x14ac:dyDescent="0.25">
      <c r="A1359" s="40"/>
      <c r="B1359" s="9"/>
      <c r="C1359" s="9"/>
      <c r="D1359" s="9"/>
      <c r="E1359" s="9"/>
      <c r="F1359" s="9"/>
      <c r="G1359" s="9"/>
      <c r="H1359" s="8"/>
      <c r="I1359" s="8"/>
      <c r="J1359" s="8"/>
      <c r="K1359" s="8"/>
    </row>
    <row r="1360" spans="1:11" ht="15" customHeight="1" x14ac:dyDescent="0.25">
      <c r="A1360" s="40"/>
      <c r="B1360" s="9"/>
      <c r="C1360" s="9"/>
      <c r="D1360" s="9"/>
      <c r="E1360" s="9"/>
      <c r="F1360" s="9"/>
      <c r="G1360" s="9"/>
      <c r="H1360" s="8"/>
      <c r="I1360" s="8"/>
      <c r="J1360" s="8"/>
      <c r="K1360" s="8"/>
    </row>
    <row r="1361" spans="1:11" ht="15" customHeight="1" x14ac:dyDescent="0.25">
      <c r="A1361" s="40"/>
      <c r="B1361" s="9"/>
      <c r="C1361" s="9"/>
      <c r="D1361" s="9"/>
      <c r="E1361" s="9"/>
      <c r="F1361" s="9"/>
      <c r="G1361" s="9"/>
      <c r="H1361" s="8"/>
      <c r="I1361" s="8"/>
      <c r="J1361" s="8"/>
      <c r="K1361" s="8"/>
    </row>
    <row r="1362" spans="1:11" ht="15" customHeight="1" x14ac:dyDescent="0.25">
      <c r="A1362" s="40"/>
      <c r="B1362" s="9"/>
      <c r="C1362" s="9"/>
      <c r="D1362" s="9"/>
      <c r="E1362" s="9"/>
      <c r="F1362" s="9"/>
      <c r="G1362" s="9"/>
      <c r="H1362" s="8"/>
      <c r="I1362" s="8"/>
      <c r="J1362" s="8"/>
      <c r="K1362" s="8"/>
    </row>
    <row r="1363" spans="1:11" ht="15" customHeight="1" x14ac:dyDescent="0.25">
      <c r="A1363" s="40"/>
      <c r="B1363" s="9"/>
      <c r="C1363" s="9"/>
      <c r="D1363" s="9"/>
      <c r="E1363" s="9"/>
      <c r="F1363" s="9"/>
      <c r="G1363" s="9"/>
      <c r="H1363" s="8"/>
      <c r="I1363" s="8"/>
      <c r="J1363" s="8"/>
      <c r="K1363" s="8"/>
    </row>
    <row r="1364" spans="1:11" ht="15" customHeight="1" x14ac:dyDescent="0.25">
      <c r="A1364" s="40"/>
      <c r="B1364" s="9"/>
      <c r="C1364" s="9"/>
      <c r="D1364" s="9"/>
      <c r="E1364" s="9"/>
      <c r="F1364" s="9"/>
      <c r="G1364" s="9"/>
      <c r="H1364" s="8"/>
      <c r="I1364" s="8"/>
      <c r="J1364" s="8"/>
      <c r="K1364" s="8"/>
    </row>
    <row r="1365" spans="1:11" ht="15" customHeight="1" x14ac:dyDescent="0.25">
      <c r="A1365" s="40"/>
      <c r="B1365" s="9"/>
      <c r="C1365" s="9"/>
      <c r="D1365" s="9"/>
      <c r="E1365" s="9"/>
      <c r="F1365" s="9"/>
      <c r="G1365" s="9"/>
      <c r="H1365" s="8"/>
      <c r="I1365" s="8"/>
      <c r="J1365" s="8"/>
      <c r="K1365" s="8"/>
    </row>
    <row r="1366" spans="1:11" ht="15" customHeight="1" x14ac:dyDescent="0.25">
      <c r="A1366" s="40"/>
      <c r="B1366" s="9"/>
      <c r="C1366" s="9"/>
      <c r="D1366" s="9"/>
      <c r="E1366" s="9"/>
      <c r="F1366" s="9"/>
      <c r="G1366" s="9"/>
      <c r="H1366" s="8"/>
      <c r="I1366" s="8"/>
      <c r="J1366" s="8"/>
      <c r="K1366" s="8"/>
    </row>
    <row r="1367" spans="1:11" ht="15" customHeight="1" x14ac:dyDescent="0.25">
      <c r="A1367" s="40"/>
      <c r="B1367" s="9"/>
      <c r="C1367" s="9"/>
      <c r="D1367" s="9"/>
      <c r="E1367" s="9"/>
      <c r="F1367" s="9"/>
      <c r="G1367" s="9"/>
      <c r="H1367" s="8"/>
      <c r="I1367" s="8"/>
      <c r="J1367" s="8"/>
      <c r="K1367" s="8"/>
    </row>
    <row r="1368" spans="1:11" ht="15" customHeight="1" x14ac:dyDescent="0.25">
      <c r="A1368" s="40"/>
      <c r="B1368" s="9"/>
      <c r="C1368" s="9"/>
      <c r="D1368" s="9"/>
      <c r="E1368" s="9"/>
      <c r="F1368" s="9"/>
      <c r="G1368" s="9"/>
      <c r="H1368" s="8"/>
      <c r="I1368" s="8"/>
      <c r="J1368" s="8"/>
      <c r="K1368" s="8"/>
    </row>
    <row r="1369" spans="1:11" ht="15" customHeight="1" x14ac:dyDescent="0.25">
      <c r="A1369" s="40"/>
      <c r="B1369" s="9"/>
      <c r="C1369" s="9"/>
      <c r="D1369" s="9"/>
      <c r="E1369" s="9"/>
      <c r="F1369" s="9"/>
      <c r="G1369" s="9"/>
      <c r="H1369" s="8"/>
      <c r="I1369" s="8"/>
      <c r="J1369" s="8"/>
      <c r="K1369" s="8"/>
    </row>
    <row r="1370" spans="1:11" ht="15" customHeight="1" x14ac:dyDescent="0.25">
      <c r="A1370" s="40"/>
      <c r="B1370" s="9"/>
      <c r="C1370" s="9"/>
      <c r="D1370" s="9"/>
      <c r="E1370" s="9"/>
      <c r="F1370" s="9"/>
      <c r="G1370" s="9"/>
      <c r="H1370" s="8"/>
      <c r="I1370" s="8"/>
      <c r="J1370" s="8"/>
      <c r="K1370" s="8"/>
    </row>
    <row r="1371" spans="1:11" ht="15" customHeight="1" x14ac:dyDescent="0.25">
      <c r="A1371" s="40"/>
      <c r="B1371" s="9"/>
      <c r="C1371" s="9"/>
      <c r="D1371" s="9"/>
      <c r="E1371" s="9"/>
      <c r="F1371" s="9"/>
      <c r="G1371" s="9"/>
      <c r="H1371" s="8"/>
      <c r="I1371" s="8"/>
      <c r="J1371" s="8"/>
      <c r="K1371" s="8"/>
    </row>
    <row r="1372" spans="1:11" ht="15" customHeight="1" x14ac:dyDescent="0.25">
      <c r="A1372" s="40"/>
      <c r="B1372" s="9"/>
      <c r="C1372" s="9"/>
      <c r="D1372" s="9"/>
      <c r="E1372" s="9"/>
      <c r="F1372" s="9"/>
      <c r="G1372" s="9"/>
      <c r="H1372" s="8"/>
      <c r="I1372" s="8"/>
      <c r="J1372" s="8"/>
      <c r="K1372" s="8"/>
    </row>
    <row r="1373" spans="1:11" ht="15" customHeight="1" x14ac:dyDescent="0.25">
      <c r="A1373" s="40"/>
      <c r="B1373" s="9"/>
      <c r="C1373" s="9"/>
      <c r="D1373" s="9"/>
      <c r="E1373" s="9"/>
      <c r="F1373" s="9"/>
      <c r="G1373" s="9"/>
      <c r="H1373" s="8"/>
      <c r="I1373" s="8"/>
      <c r="J1373" s="8"/>
      <c r="K1373" s="8"/>
    </row>
    <row r="1374" spans="1:11" ht="15" customHeight="1" x14ac:dyDescent="0.25">
      <c r="A1374" s="40"/>
      <c r="B1374" s="9"/>
      <c r="C1374" s="9"/>
      <c r="D1374" s="9"/>
      <c r="E1374" s="9"/>
      <c r="F1374" s="9"/>
      <c r="G1374" s="9"/>
      <c r="H1374" s="8"/>
      <c r="I1374" s="8"/>
      <c r="J1374" s="8"/>
      <c r="K1374" s="8"/>
    </row>
    <row r="1375" spans="1:11" ht="15" customHeight="1" x14ac:dyDescent="0.25">
      <c r="A1375" s="40"/>
      <c r="B1375" s="9"/>
      <c r="C1375" s="9"/>
      <c r="D1375" s="9"/>
      <c r="E1375" s="9"/>
      <c r="F1375" s="9"/>
      <c r="G1375" s="9"/>
      <c r="H1375" s="8"/>
      <c r="I1375" s="8"/>
      <c r="J1375" s="8"/>
      <c r="K1375" s="8"/>
    </row>
    <row r="1376" spans="1:11" ht="15" customHeight="1" x14ac:dyDescent="0.25">
      <c r="A1376" s="40"/>
      <c r="B1376" s="9"/>
      <c r="C1376" s="9"/>
      <c r="D1376" s="9"/>
      <c r="E1376" s="9"/>
      <c r="F1376" s="9"/>
      <c r="G1376" s="9"/>
      <c r="H1376" s="8"/>
      <c r="I1376" s="8"/>
      <c r="J1376" s="8"/>
      <c r="K1376" s="8"/>
    </row>
    <row r="1377" spans="1:11" ht="15" customHeight="1" x14ac:dyDescent="0.25">
      <c r="A1377" s="40"/>
      <c r="B1377" s="9"/>
      <c r="C1377" s="9"/>
      <c r="D1377" s="9"/>
      <c r="E1377" s="9"/>
      <c r="F1377" s="9"/>
      <c r="G1377" s="9"/>
      <c r="H1377" s="8"/>
      <c r="I1377" s="8"/>
      <c r="J1377" s="8"/>
      <c r="K1377" s="8"/>
    </row>
    <row r="1378" spans="1:11" ht="15" customHeight="1" x14ac:dyDescent="0.25">
      <c r="A1378" s="40"/>
      <c r="B1378" s="9"/>
      <c r="C1378" s="9"/>
      <c r="D1378" s="9"/>
      <c r="E1378" s="9"/>
      <c r="F1378" s="9"/>
      <c r="G1378" s="9"/>
      <c r="H1378" s="8"/>
      <c r="I1378" s="8"/>
      <c r="J1378" s="8"/>
      <c r="K1378" s="8"/>
    </row>
    <row r="1379" spans="1:11" ht="15" customHeight="1" x14ac:dyDescent="0.25">
      <c r="A1379" s="40"/>
      <c r="B1379" s="9"/>
      <c r="C1379" s="9"/>
      <c r="D1379" s="9"/>
      <c r="E1379" s="9"/>
      <c r="F1379" s="9"/>
      <c r="G1379" s="9"/>
      <c r="H1379" s="8"/>
      <c r="I1379" s="8"/>
      <c r="J1379" s="8"/>
      <c r="K1379" s="8"/>
    </row>
    <row r="1380" spans="1:11" ht="15" customHeight="1" x14ac:dyDescent="0.25">
      <c r="A1380" s="40"/>
      <c r="B1380" s="9"/>
      <c r="C1380" s="9"/>
      <c r="D1380" s="9"/>
      <c r="E1380" s="9"/>
      <c r="F1380" s="9"/>
      <c r="G1380" s="9"/>
      <c r="H1380" s="8"/>
      <c r="I1380" s="8"/>
      <c r="J1380" s="8"/>
      <c r="K1380" s="8"/>
    </row>
    <row r="1381" spans="1:11" ht="15" customHeight="1" x14ac:dyDescent="0.25">
      <c r="A1381" s="40"/>
      <c r="B1381" s="9"/>
      <c r="C1381" s="9"/>
      <c r="D1381" s="9"/>
      <c r="E1381" s="9"/>
      <c r="F1381" s="9"/>
      <c r="G1381" s="9"/>
      <c r="H1381" s="8"/>
      <c r="I1381" s="8"/>
      <c r="J1381" s="8"/>
      <c r="K1381" s="8"/>
    </row>
    <row r="1382" spans="1:11" ht="15" customHeight="1" x14ac:dyDescent="0.25">
      <c r="A1382" s="40"/>
      <c r="B1382" s="9"/>
      <c r="C1382" s="9"/>
      <c r="D1382" s="9"/>
      <c r="E1382" s="9"/>
      <c r="F1382" s="9"/>
      <c r="G1382" s="9"/>
      <c r="H1382" s="8"/>
      <c r="I1382" s="8"/>
      <c r="J1382" s="8"/>
      <c r="K1382" s="8"/>
    </row>
    <row r="1383" spans="1:11" ht="15" customHeight="1" x14ac:dyDescent="0.25">
      <c r="A1383" s="40"/>
      <c r="B1383" s="9"/>
      <c r="C1383" s="9"/>
      <c r="D1383" s="9"/>
      <c r="E1383" s="9"/>
      <c r="F1383" s="9"/>
      <c r="G1383" s="9"/>
      <c r="H1383" s="8"/>
      <c r="I1383" s="8"/>
      <c r="J1383" s="8"/>
      <c r="K1383" s="8"/>
    </row>
    <row r="1384" spans="1:11" ht="15" customHeight="1" x14ac:dyDescent="0.25">
      <c r="A1384" s="40"/>
      <c r="B1384" s="9"/>
      <c r="C1384" s="9"/>
      <c r="D1384" s="9"/>
      <c r="E1384" s="9"/>
      <c r="F1384" s="9"/>
      <c r="G1384" s="9"/>
      <c r="H1384" s="8"/>
      <c r="I1384" s="8"/>
      <c r="J1384" s="8"/>
      <c r="K1384" s="8"/>
    </row>
    <row r="1385" spans="1:11" ht="15" customHeight="1" x14ac:dyDescent="0.25">
      <c r="A1385" s="40"/>
      <c r="B1385" s="9"/>
      <c r="C1385" s="9"/>
      <c r="D1385" s="9"/>
      <c r="E1385" s="9"/>
      <c r="F1385" s="9"/>
      <c r="G1385" s="9"/>
      <c r="H1385" s="8"/>
      <c r="I1385" s="8"/>
      <c r="J1385" s="8"/>
      <c r="K1385" s="8"/>
    </row>
    <row r="1386" spans="1:11" ht="15" customHeight="1" x14ac:dyDescent="0.25">
      <c r="A1386" s="40"/>
      <c r="B1386" s="9"/>
      <c r="C1386" s="9"/>
      <c r="D1386" s="9"/>
      <c r="E1386" s="9"/>
      <c r="F1386" s="9"/>
      <c r="G1386" s="9"/>
      <c r="H1386" s="8"/>
      <c r="I1386" s="8"/>
      <c r="J1386" s="8"/>
      <c r="K1386" s="8"/>
    </row>
    <row r="1387" spans="1:11" ht="15" customHeight="1" x14ac:dyDescent="0.25">
      <c r="A1387" s="40"/>
      <c r="B1387" s="9"/>
      <c r="C1387" s="9"/>
      <c r="D1387" s="9"/>
      <c r="E1387" s="9"/>
      <c r="F1387" s="9"/>
      <c r="G1387" s="9"/>
      <c r="H1387" s="8"/>
      <c r="I1387" s="8"/>
      <c r="J1387" s="8"/>
      <c r="K1387" s="8"/>
    </row>
    <row r="1388" spans="1:11" ht="15" customHeight="1" x14ac:dyDescent="0.25">
      <c r="A1388" s="40"/>
      <c r="B1388" s="9"/>
      <c r="C1388" s="9"/>
      <c r="D1388" s="9"/>
      <c r="E1388" s="9"/>
      <c r="F1388" s="9"/>
      <c r="G1388" s="9"/>
      <c r="H1388" s="8"/>
      <c r="I1388" s="8"/>
      <c r="J1388" s="8"/>
      <c r="K1388" s="8"/>
    </row>
    <row r="1389" spans="1:11" ht="15" customHeight="1" x14ac:dyDescent="0.25">
      <c r="A1389" s="40"/>
      <c r="B1389" s="9"/>
      <c r="C1389" s="9"/>
      <c r="D1389" s="9"/>
      <c r="E1389" s="9"/>
      <c r="F1389" s="9"/>
      <c r="G1389" s="9"/>
      <c r="H1389" s="8"/>
      <c r="I1389" s="8"/>
      <c r="J1389" s="8"/>
      <c r="K1389" s="8"/>
    </row>
    <row r="1390" spans="1:11" ht="15" customHeight="1" x14ac:dyDescent="0.25">
      <c r="A1390" s="40"/>
      <c r="B1390" s="9"/>
      <c r="C1390" s="9"/>
      <c r="D1390" s="9"/>
      <c r="E1390" s="9"/>
      <c r="F1390" s="9"/>
      <c r="G1390" s="9"/>
      <c r="H1390" s="8"/>
      <c r="I1390" s="8"/>
      <c r="J1390" s="8"/>
      <c r="K1390" s="8"/>
    </row>
    <row r="1391" spans="1:11" ht="15" customHeight="1" x14ac:dyDescent="0.25">
      <c r="A1391" s="40"/>
      <c r="B1391" s="9"/>
      <c r="C1391" s="9"/>
      <c r="D1391" s="9"/>
      <c r="E1391" s="9"/>
      <c r="F1391" s="9"/>
      <c r="G1391" s="9"/>
      <c r="H1391" s="8"/>
      <c r="I1391" s="8"/>
      <c r="J1391" s="8"/>
      <c r="K1391" s="8"/>
    </row>
    <row r="1392" spans="1:11" ht="15" customHeight="1" x14ac:dyDescent="0.25">
      <c r="A1392" s="40"/>
      <c r="B1392" s="9"/>
      <c r="C1392" s="9"/>
      <c r="D1392" s="9"/>
      <c r="E1392" s="9"/>
      <c r="F1392" s="9"/>
      <c r="G1392" s="9"/>
      <c r="H1392" s="8"/>
      <c r="I1392" s="8"/>
      <c r="J1392" s="8"/>
      <c r="K1392" s="8"/>
    </row>
    <row r="1393" spans="1:11" ht="15" customHeight="1" x14ac:dyDescent="0.25">
      <c r="A1393" s="40"/>
      <c r="B1393" s="9"/>
      <c r="C1393" s="9"/>
      <c r="D1393" s="9"/>
      <c r="E1393" s="9"/>
      <c r="F1393" s="9"/>
      <c r="G1393" s="9"/>
      <c r="H1393" s="8"/>
      <c r="I1393" s="8"/>
      <c r="J1393" s="8"/>
      <c r="K1393" s="8"/>
    </row>
    <row r="1394" spans="1:11" ht="15" customHeight="1" x14ac:dyDescent="0.25">
      <c r="A1394" s="40"/>
      <c r="B1394" s="9"/>
      <c r="C1394" s="9"/>
      <c r="D1394" s="9"/>
      <c r="E1394" s="9"/>
      <c r="F1394" s="9"/>
      <c r="G1394" s="9"/>
      <c r="H1394" s="8"/>
      <c r="I1394" s="8"/>
      <c r="J1394" s="8"/>
      <c r="K1394" s="8"/>
    </row>
    <row r="1395" spans="1:11" ht="15" customHeight="1" x14ac:dyDescent="0.25">
      <c r="A1395" s="40"/>
      <c r="B1395" s="9"/>
      <c r="C1395" s="9"/>
      <c r="D1395" s="9"/>
      <c r="E1395" s="9"/>
      <c r="F1395" s="9"/>
      <c r="G1395" s="9"/>
      <c r="H1395" s="8"/>
      <c r="I1395" s="8"/>
      <c r="J1395" s="8"/>
      <c r="K1395" s="8"/>
    </row>
    <row r="1396" spans="1:11" ht="15" customHeight="1" x14ac:dyDescent="0.25">
      <c r="A1396" s="40"/>
      <c r="B1396" s="9"/>
      <c r="C1396" s="9"/>
      <c r="D1396" s="9"/>
      <c r="E1396" s="9"/>
      <c r="F1396" s="9"/>
      <c r="G1396" s="9"/>
      <c r="H1396" s="8"/>
      <c r="I1396" s="8"/>
      <c r="J1396" s="8"/>
      <c r="K1396" s="8"/>
    </row>
    <row r="1397" spans="1:11" ht="15" customHeight="1" x14ac:dyDescent="0.25">
      <c r="A1397" s="40"/>
      <c r="B1397" s="9"/>
      <c r="C1397" s="9"/>
      <c r="D1397" s="9"/>
      <c r="E1397" s="9"/>
      <c r="F1397" s="9"/>
      <c r="G1397" s="9"/>
      <c r="H1397" s="8"/>
      <c r="I1397" s="8"/>
      <c r="J1397" s="8"/>
      <c r="K1397" s="8"/>
    </row>
    <row r="1398" spans="1:11" ht="15" customHeight="1" x14ac:dyDescent="0.25">
      <c r="A1398" s="40"/>
      <c r="B1398" s="9"/>
      <c r="C1398" s="9"/>
      <c r="D1398" s="9"/>
      <c r="E1398" s="9"/>
      <c r="F1398" s="9"/>
      <c r="G1398" s="9"/>
      <c r="H1398" s="8"/>
      <c r="I1398" s="8"/>
      <c r="J1398" s="8"/>
      <c r="K1398" s="8"/>
    </row>
    <row r="1399" spans="1:11" ht="15" customHeight="1" x14ac:dyDescent="0.25">
      <c r="A1399" s="40"/>
      <c r="B1399" s="9"/>
      <c r="C1399" s="9"/>
      <c r="D1399" s="9"/>
      <c r="E1399" s="9"/>
      <c r="F1399" s="9"/>
      <c r="G1399" s="9"/>
      <c r="H1399" s="8"/>
      <c r="I1399" s="8"/>
      <c r="J1399" s="8"/>
      <c r="K1399" s="8"/>
    </row>
    <row r="1400" spans="1:11" ht="15" customHeight="1" x14ac:dyDescent="0.25">
      <c r="A1400" s="40"/>
      <c r="B1400" s="9"/>
      <c r="C1400" s="9"/>
      <c r="D1400" s="9"/>
      <c r="E1400" s="9"/>
      <c r="F1400" s="9"/>
      <c r="G1400" s="9"/>
      <c r="H1400" s="8"/>
      <c r="I1400" s="8"/>
      <c r="J1400" s="8"/>
      <c r="K1400" s="8"/>
    </row>
    <row r="1401" spans="1:11" ht="15" customHeight="1" x14ac:dyDescent="0.25">
      <c r="A1401" s="40"/>
      <c r="B1401" s="9"/>
      <c r="C1401" s="9"/>
      <c r="D1401" s="9"/>
      <c r="E1401" s="9"/>
      <c r="F1401" s="9"/>
      <c r="G1401" s="9"/>
      <c r="H1401" s="8"/>
      <c r="I1401" s="8"/>
      <c r="J1401" s="8"/>
      <c r="K1401" s="8"/>
    </row>
    <row r="1402" spans="1:11" ht="15" customHeight="1" x14ac:dyDescent="0.25">
      <c r="A1402" s="40"/>
      <c r="B1402" s="9"/>
      <c r="C1402" s="9"/>
      <c r="D1402" s="9"/>
      <c r="E1402" s="9"/>
      <c r="F1402" s="9"/>
      <c r="G1402" s="9"/>
      <c r="H1402" s="8"/>
      <c r="I1402" s="8"/>
      <c r="J1402" s="8"/>
      <c r="K1402" s="8"/>
    </row>
    <row r="1403" spans="1:11" ht="15" customHeight="1" x14ac:dyDescent="0.25">
      <c r="A1403" s="40"/>
      <c r="B1403" s="9"/>
      <c r="C1403" s="9"/>
      <c r="D1403" s="9"/>
      <c r="E1403" s="9"/>
      <c r="F1403" s="9"/>
      <c r="G1403" s="9"/>
      <c r="H1403" s="8"/>
      <c r="I1403" s="8"/>
      <c r="J1403" s="8"/>
      <c r="K1403" s="8"/>
    </row>
    <row r="1404" spans="1:11" ht="15" customHeight="1" x14ac:dyDescent="0.25">
      <c r="A1404" s="40"/>
      <c r="B1404" s="9"/>
      <c r="C1404" s="9"/>
      <c r="D1404" s="9"/>
      <c r="E1404" s="9"/>
      <c r="F1404" s="9"/>
      <c r="G1404" s="9"/>
      <c r="H1404" s="8"/>
      <c r="I1404" s="8"/>
      <c r="J1404" s="8"/>
      <c r="K1404" s="8"/>
    </row>
    <row r="1405" spans="1:11" ht="15" customHeight="1" x14ac:dyDescent="0.25">
      <c r="A1405" s="40"/>
      <c r="B1405" s="9"/>
      <c r="C1405" s="9"/>
      <c r="D1405" s="9"/>
      <c r="E1405" s="9"/>
      <c r="F1405" s="9"/>
      <c r="G1405" s="9"/>
      <c r="H1405" s="8"/>
      <c r="I1405" s="8"/>
      <c r="J1405" s="8"/>
      <c r="K1405" s="8"/>
    </row>
    <row r="1406" spans="1:11" ht="15" customHeight="1" x14ac:dyDescent="0.25">
      <c r="A1406" s="40"/>
      <c r="B1406" s="9"/>
      <c r="C1406" s="9"/>
      <c r="D1406" s="9"/>
      <c r="E1406" s="9"/>
      <c r="F1406" s="9"/>
      <c r="G1406" s="9"/>
      <c r="H1406" s="8"/>
      <c r="I1406" s="8"/>
      <c r="J1406" s="8"/>
      <c r="K1406" s="8"/>
    </row>
    <row r="1407" spans="1:11" ht="15" customHeight="1" x14ac:dyDescent="0.25">
      <c r="A1407" s="40"/>
      <c r="B1407" s="9"/>
      <c r="C1407" s="9"/>
      <c r="D1407" s="9"/>
      <c r="E1407" s="9"/>
      <c r="F1407" s="9"/>
      <c r="G1407" s="9"/>
      <c r="H1407" s="8"/>
      <c r="I1407" s="8"/>
      <c r="J1407" s="8"/>
      <c r="K1407" s="8"/>
    </row>
    <row r="1408" spans="1:11" ht="15" customHeight="1" x14ac:dyDescent="0.25">
      <c r="A1408" s="40"/>
      <c r="B1408" s="9"/>
      <c r="C1408" s="9"/>
      <c r="D1408" s="9"/>
      <c r="E1408" s="9"/>
      <c r="F1408" s="9"/>
      <c r="G1408" s="9"/>
      <c r="H1408" s="8"/>
      <c r="I1408" s="8"/>
      <c r="J1408" s="8"/>
      <c r="K1408" s="8"/>
    </row>
    <row r="1409" spans="1:11" ht="15" customHeight="1" x14ac:dyDescent="0.25">
      <c r="A1409" s="40"/>
      <c r="B1409" s="9"/>
      <c r="C1409" s="9"/>
      <c r="D1409" s="9"/>
      <c r="E1409" s="9"/>
      <c r="F1409" s="9"/>
      <c r="G1409" s="9"/>
      <c r="H1409" s="8"/>
      <c r="I1409" s="8"/>
      <c r="J1409" s="8"/>
      <c r="K1409" s="8"/>
    </row>
    <row r="1410" spans="1:11" ht="15" customHeight="1" x14ac:dyDescent="0.25">
      <c r="A1410" s="40"/>
      <c r="B1410" s="9"/>
      <c r="C1410" s="9"/>
      <c r="D1410" s="9"/>
      <c r="E1410" s="9"/>
      <c r="F1410" s="9"/>
      <c r="G1410" s="9"/>
      <c r="H1410" s="8"/>
      <c r="I1410" s="8"/>
      <c r="J1410" s="8"/>
      <c r="K1410" s="8"/>
    </row>
    <row r="1411" spans="1:11" ht="15" customHeight="1" x14ac:dyDescent="0.25">
      <c r="A1411" s="40"/>
      <c r="B1411" s="9"/>
      <c r="C1411" s="9"/>
      <c r="D1411" s="9"/>
      <c r="E1411" s="9"/>
      <c r="F1411" s="9"/>
      <c r="G1411" s="9"/>
      <c r="H1411" s="8"/>
      <c r="I1411" s="8"/>
      <c r="J1411" s="8"/>
      <c r="K1411" s="8"/>
    </row>
    <row r="1412" spans="1:11" ht="15" customHeight="1" x14ac:dyDescent="0.25">
      <c r="A1412" s="40"/>
      <c r="B1412" s="9"/>
      <c r="C1412" s="9"/>
      <c r="D1412" s="9"/>
      <c r="E1412" s="9"/>
      <c r="F1412" s="9"/>
      <c r="G1412" s="9"/>
      <c r="H1412" s="8"/>
      <c r="I1412" s="8"/>
      <c r="J1412" s="8"/>
      <c r="K1412" s="8"/>
    </row>
    <row r="1413" spans="1:11" ht="15" customHeight="1" x14ac:dyDescent="0.25">
      <c r="A1413" s="40"/>
      <c r="B1413" s="9"/>
      <c r="C1413" s="9"/>
      <c r="D1413" s="9"/>
      <c r="E1413" s="9"/>
      <c r="F1413" s="9"/>
      <c r="G1413" s="9"/>
      <c r="H1413" s="8"/>
      <c r="I1413" s="8"/>
      <c r="J1413" s="8"/>
      <c r="K1413" s="8"/>
    </row>
    <row r="1414" spans="1:11" ht="15" customHeight="1" x14ac:dyDescent="0.25">
      <c r="A1414" s="40"/>
      <c r="B1414" s="9"/>
      <c r="C1414" s="9"/>
      <c r="D1414" s="9"/>
      <c r="E1414" s="9"/>
      <c r="F1414" s="9"/>
      <c r="G1414" s="9"/>
      <c r="H1414" s="8"/>
      <c r="I1414" s="8"/>
      <c r="J1414" s="8"/>
      <c r="K1414" s="8"/>
    </row>
    <row r="1415" spans="1:11" ht="15" customHeight="1" x14ac:dyDescent="0.25">
      <c r="A1415" s="40"/>
      <c r="B1415" s="9"/>
      <c r="C1415" s="9"/>
      <c r="D1415" s="9"/>
      <c r="E1415" s="9"/>
      <c r="F1415" s="9"/>
      <c r="G1415" s="9"/>
      <c r="H1415" s="8"/>
      <c r="I1415" s="8"/>
      <c r="J1415" s="8"/>
      <c r="K1415" s="8"/>
    </row>
    <row r="1416" spans="1:11" ht="15" customHeight="1" x14ac:dyDescent="0.25">
      <c r="A1416" s="40"/>
      <c r="B1416" s="9"/>
      <c r="C1416" s="9"/>
      <c r="D1416" s="9"/>
      <c r="E1416" s="9"/>
      <c r="F1416" s="9"/>
      <c r="G1416" s="9"/>
      <c r="H1416" s="8"/>
      <c r="I1416" s="8"/>
      <c r="J1416" s="8"/>
      <c r="K1416" s="8"/>
    </row>
    <row r="1417" spans="1:11" ht="15" customHeight="1" x14ac:dyDescent="0.25">
      <c r="A1417" s="40"/>
      <c r="B1417" s="9"/>
      <c r="C1417" s="9"/>
      <c r="D1417" s="9"/>
      <c r="E1417" s="9"/>
      <c r="F1417" s="9"/>
      <c r="G1417" s="9"/>
      <c r="H1417" s="8"/>
      <c r="I1417" s="8"/>
      <c r="J1417" s="8"/>
      <c r="K1417" s="8"/>
    </row>
    <row r="1418" spans="1:11" ht="15" customHeight="1" x14ac:dyDescent="0.25">
      <c r="A1418" s="40"/>
      <c r="B1418" s="9"/>
      <c r="C1418" s="9"/>
      <c r="D1418" s="9"/>
      <c r="E1418" s="9"/>
      <c r="F1418" s="9"/>
      <c r="G1418" s="9"/>
      <c r="H1418" s="8"/>
      <c r="I1418" s="8"/>
      <c r="J1418" s="8"/>
      <c r="K1418" s="8"/>
    </row>
    <row r="1419" spans="1:11" ht="15" customHeight="1" x14ac:dyDescent="0.25">
      <c r="A1419" s="40"/>
      <c r="B1419" s="9"/>
      <c r="C1419" s="9"/>
      <c r="D1419" s="9"/>
      <c r="E1419" s="9"/>
      <c r="F1419" s="9"/>
      <c r="G1419" s="9"/>
      <c r="H1419" s="8"/>
      <c r="I1419" s="8"/>
      <c r="J1419" s="8"/>
      <c r="K1419" s="8"/>
    </row>
    <row r="1420" spans="1:11" ht="15" customHeight="1" x14ac:dyDescent="0.25">
      <c r="A1420" s="40"/>
      <c r="B1420" s="9"/>
      <c r="C1420" s="9"/>
      <c r="D1420" s="9"/>
      <c r="E1420" s="9"/>
      <c r="F1420" s="9"/>
      <c r="G1420" s="9"/>
      <c r="H1420" s="8"/>
      <c r="I1420" s="8"/>
      <c r="J1420" s="8"/>
      <c r="K1420" s="8"/>
    </row>
    <row r="1421" spans="1:11" ht="15" customHeight="1" x14ac:dyDescent="0.25">
      <c r="A1421" s="40"/>
      <c r="B1421" s="9"/>
      <c r="C1421" s="9"/>
      <c r="D1421" s="9"/>
      <c r="E1421" s="9"/>
      <c r="F1421" s="9"/>
      <c r="G1421" s="9"/>
      <c r="H1421" s="8"/>
      <c r="I1421" s="8"/>
      <c r="J1421" s="8"/>
      <c r="K1421" s="8"/>
    </row>
    <row r="1422" spans="1:11" ht="15" customHeight="1" x14ac:dyDescent="0.25">
      <c r="A1422" s="40"/>
      <c r="B1422" s="9"/>
      <c r="C1422" s="9"/>
      <c r="D1422" s="9"/>
      <c r="E1422" s="9"/>
      <c r="F1422" s="9"/>
      <c r="G1422" s="9"/>
      <c r="H1422" s="8"/>
      <c r="I1422" s="8"/>
      <c r="J1422" s="8"/>
      <c r="K1422" s="8"/>
    </row>
    <row r="1423" spans="1:11" ht="15" customHeight="1" x14ac:dyDescent="0.25">
      <c r="A1423" s="40"/>
      <c r="B1423" s="9"/>
      <c r="C1423" s="9"/>
      <c r="D1423" s="9"/>
      <c r="E1423" s="9"/>
      <c r="F1423" s="9"/>
      <c r="G1423" s="9"/>
      <c r="H1423" s="8"/>
      <c r="I1423" s="8"/>
      <c r="J1423" s="8"/>
      <c r="K1423" s="8"/>
    </row>
    <row r="1424" spans="1:11" ht="15" customHeight="1" x14ac:dyDescent="0.25">
      <c r="A1424" s="40"/>
      <c r="B1424" s="9"/>
      <c r="C1424" s="9"/>
      <c r="D1424" s="9"/>
      <c r="E1424" s="9"/>
      <c r="F1424" s="9"/>
      <c r="G1424" s="9"/>
      <c r="H1424" s="8"/>
      <c r="I1424" s="8"/>
      <c r="J1424" s="8"/>
      <c r="K1424" s="8"/>
    </row>
    <row r="1425" spans="1:11" ht="15" customHeight="1" x14ac:dyDescent="0.25">
      <c r="A1425" s="40"/>
      <c r="B1425" s="9"/>
      <c r="C1425" s="9"/>
      <c r="D1425" s="9"/>
      <c r="E1425" s="9"/>
      <c r="F1425" s="9"/>
      <c r="G1425" s="9"/>
      <c r="H1425" s="8"/>
      <c r="I1425" s="8"/>
      <c r="J1425" s="8"/>
      <c r="K1425" s="8"/>
    </row>
    <row r="1426" spans="1:11" ht="15" customHeight="1" x14ac:dyDescent="0.25">
      <c r="A1426" s="40"/>
      <c r="B1426" s="9"/>
      <c r="C1426" s="9"/>
      <c r="D1426" s="9"/>
      <c r="E1426" s="9"/>
      <c r="F1426" s="9"/>
      <c r="G1426" s="9"/>
      <c r="H1426" s="8"/>
      <c r="I1426" s="8"/>
      <c r="J1426" s="8"/>
      <c r="K1426" s="8"/>
    </row>
    <row r="1427" spans="1:11" ht="15" customHeight="1" x14ac:dyDescent="0.25">
      <c r="A1427" s="40"/>
      <c r="B1427" s="9"/>
      <c r="C1427" s="9"/>
      <c r="D1427" s="9"/>
      <c r="E1427" s="9"/>
      <c r="F1427" s="9"/>
      <c r="G1427" s="9"/>
      <c r="H1427" s="8"/>
      <c r="I1427" s="8"/>
      <c r="J1427" s="8"/>
      <c r="K1427" s="8"/>
    </row>
    <row r="1428" spans="1:11" ht="15" customHeight="1" x14ac:dyDescent="0.25">
      <c r="A1428" s="40"/>
      <c r="B1428" s="9"/>
      <c r="C1428" s="9"/>
      <c r="D1428" s="9"/>
      <c r="E1428" s="9"/>
      <c r="F1428" s="9"/>
      <c r="G1428" s="9"/>
      <c r="H1428" s="8"/>
      <c r="I1428" s="8"/>
      <c r="J1428" s="8"/>
      <c r="K1428" s="8"/>
    </row>
    <row r="1429" spans="1:11" ht="15" customHeight="1" x14ac:dyDescent="0.25">
      <c r="A1429" s="40"/>
      <c r="B1429" s="9"/>
      <c r="C1429" s="9"/>
      <c r="D1429" s="9"/>
      <c r="E1429" s="9"/>
      <c r="F1429" s="9"/>
      <c r="G1429" s="9"/>
      <c r="H1429" s="8"/>
      <c r="I1429" s="8"/>
      <c r="J1429" s="8"/>
      <c r="K1429" s="8"/>
    </row>
    <row r="1430" spans="1:11" ht="15" customHeight="1" x14ac:dyDescent="0.25">
      <c r="A1430" s="40"/>
      <c r="B1430" s="9"/>
      <c r="C1430" s="9"/>
      <c r="D1430" s="9"/>
      <c r="E1430" s="9"/>
      <c r="F1430" s="9"/>
      <c r="G1430" s="9"/>
      <c r="H1430" s="8"/>
      <c r="I1430" s="8"/>
      <c r="J1430" s="8"/>
      <c r="K1430" s="8"/>
    </row>
    <row r="1431" spans="1:11" ht="15" customHeight="1" x14ac:dyDescent="0.25">
      <c r="A1431" s="40"/>
      <c r="B1431" s="9"/>
      <c r="C1431" s="9"/>
      <c r="D1431" s="9"/>
      <c r="E1431" s="9"/>
      <c r="F1431" s="9"/>
      <c r="G1431" s="9"/>
      <c r="H1431" s="8"/>
      <c r="I1431" s="8"/>
      <c r="J1431" s="8"/>
      <c r="K1431" s="8"/>
    </row>
    <row r="1432" spans="1:11" ht="15" customHeight="1" x14ac:dyDescent="0.25">
      <c r="A1432" s="40"/>
      <c r="B1432" s="9"/>
      <c r="C1432" s="9"/>
      <c r="D1432" s="9"/>
      <c r="E1432" s="9"/>
      <c r="F1432" s="9"/>
      <c r="G1432" s="9"/>
      <c r="H1432" s="8"/>
      <c r="I1432" s="8"/>
      <c r="J1432" s="8"/>
      <c r="K1432" s="8"/>
    </row>
    <row r="1433" spans="1:11" ht="15" customHeight="1" x14ac:dyDescent="0.25">
      <c r="A1433" s="40"/>
      <c r="B1433" s="9"/>
      <c r="C1433" s="9"/>
      <c r="D1433" s="9"/>
      <c r="E1433" s="9"/>
      <c r="F1433" s="9"/>
      <c r="G1433" s="9"/>
      <c r="H1433" s="8"/>
      <c r="I1433" s="8"/>
      <c r="J1433" s="8"/>
      <c r="K1433" s="8"/>
    </row>
    <row r="1434" spans="1:11" ht="15" customHeight="1" x14ac:dyDescent="0.25">
      <c r="A1434" s="40"/>
      <c r="B1434" s="9"/>
      <c r="C1434" s="9"/>
      <c r="D1434" s="9"/>
      <c r="E1434" s="9"/>
      <c r="F1434" s="9"/>
      <c r="G1434" s="9"/>
      <c r="H1434" s="8"/>
      <c r="I1434" s="8"/>
      <c r="J1434" s="8"/>
      <c r="K1434" s="8"/>
    </row>
    <row r="1435" spans="1:11" ht="15" customHeight="1" x14ac:dyDescent="0.25">
      <c r="A1435" s="40"/>
      <c r="B1435" s="9"/>
      <c r="C1435" s="9"/>
      <c r="D1435" s="9"/>
      <c r="E1435" s="9"/>
      <c r="F1435" s="9"/>
      <c r="G1435" s="9"/>
      <c r="H1435" s="8"/>
      <c r="I1435" s="8"/>
      <c r="J1435" s="8"/>
      <c r="K1435" s="8"/>
    </row>
    <row r="1436" spans="1:11" ht="15" customHeight="1" x14ac:dyDescent="0.25">
      <c r="A1436" s="40"/>
      <c r="B1436" s="9"/>
      <c r="C1436" s="9"/>
      <c r="D1436" s="9"/>
      <c r="E1436" s="9"/>
      <c r="F1436" s="9"/>
      <c r="G1436" s="9"/>
      <c r="H1436" s="8"/>
      <c r="I1436" s="8"/>
      <c r="J1436" s="8"/>
      <c r="K1436" s="8"/>
    </row>
    <row r="1437" spans="1:11" ht="15" customHeight="1" x14ac:dyDescent="0.25">
      <c r="A1437" s="40"/>
      <c r="B1437" s="9"/>
      <c r="C1437" s="9"/>
      <c r="D1437" s="9"/>
      <c r="E1437" s="9"/>
      <c r="F1437" s="9"/>
      <c r="G1437" s="9"/>
      <c r="H1437" s="8"/>
      <c r="I1437" s="8"/>
      <c r="J1437" s="8"/>
      <c r="K1437" s="8"/>
    </row>
    <row r="1438" spans="1:11" ht="15" customHeight="1" x14ac:dyDescent="0.25">
      <c r="A1438" s="40"/>
      <c r="B1438" s="9"/>
      <c r="C1438" s="9"/>
      <c r="D1438" s="9"/>
      <c r="E1438" s="9"/>
      <c r="F1438" s="9"/>
      <c r="G1438" s="9"/>
      <c r="H1438" s="8"/>
      <c r="I1438" s="8"/>
      <c r="J1438" s="8"/>
      <c r="K1438" s="8"/>
    </row>
    <row r="1439" spans="1:11" ht="15" customHeight="1" x14ac:dyDescent="0.25">
      <c r="A1439" s="40"/>
      <c r="B1439" s="9"/>
      <c r="C1439" s="9"/>
      <c r="D1439" s="9"/>
      <c r="E1439" s="9"/>
      <c r="F1439" s="9"/>
      <c r="G1439" s="9"/>
      <c r="H1439" s="8"/>
      <c r="I1439" s="8"/>
      <c r="J1439" s="8"/>
      <c r="K1439" s="8"/>
    </row>
    <row r="1440" spans="1:11" ht="15" customHeight="1" x14ac:dyDescent="0.25">
      <c r="A1440" s="40"/>
      <c r="B1440" s="9"/>
      <c r="C1440" s="9"/>
      <c r="D1440" s="9"/>
      <c r="E1440" s="9"/>
      <c r="F1440" s="9"/>
      <c r="G1440" s="9"/>
      <c r="H1440" s="8"/>
      <c r="I1440" s="8"/>
      <c r="J1440" s="8"/>
      <c r="K1440" s="8"/>
    </row>
    <row r="1441" spans="1:11" ht="15" customHeight="1" x14ac:dyDescent="0.25">
      <c r="A1441" s="40"/>
      <c r="B1441" s="9"/>
      <c r="C1441" s="9"/>
      <c r="D1441" s="9"/>
      <c r="E1441" s="9"/>
      <c r="F1441" s="9"/>
      <c r="G1441" s="9"/>
      <c r="H1441" s="8"/>
      <c r="I1441" s="8"/>
      <c r="J1441" s="8"/>
      <c r="K1441" s="8"/>
    </row>
    <row r="1442" spans="1:11" ht="15" customHeight="1" x14ac:dyDescent="0.25">
      <c r="A1442" s="40"/>
      <c r="B1442" s="9"/>
      <c r="C1442" s="9"/>
      <c r="D1442" s="9"/>
      <c r="E1442" s="9"/>
      <c r="F1442" s="9"/>
      <c r="G1442" s="9"/>
      <c r="H1442" s="8"/>
      <c r="I1442" s="8"/>
      <c r="J1442" s="8"/>
      <c r="K1442" s="8"/>
    </row>
    <row r="1443" spans="1:11" ht="15" customHeight="1" x14ac:dyDescent="0.25">
      <c r="A1443" s="40"/>
      <c r="B1443" s="9"/>
      <c r="C1443" s="9"/>
      <c r="D1443" s="9"/>
      <c r="E1443" s="9"/>
      <c r="F1443" s="9"/>
      <c r="G1443" s="9"/>
      <c r="H1443" s="8"/>
      <c r="I1443" s="8"/>
      <c r="J1443" s="8"/>
      <c r="K1443" s="8"/>
    </row>
    <row r="1444" spans="1:11" ht="15" customHeight="1" x14ac:dyDescent="0.25">
      <c r="A1444" s="40"/>
      <c r="B1444" s="9"/>
      <c r="C1444" s="9"/>
      <c r="D1444" s="9"/>
      <c r="E1444" s="9"/>
      <c r="F1444" s="9"/>
      <c r="G1444" s="9"/>
      <c r="H1444" s="8"/>
      <c r="I1444" s="8"/>
      <c r="J1444" s="8"/>
      <c r="K1444" s="8"/>
    </row>
    <row r="1445" spans="1:11" ht="15" customHeight="1" x14ac:dyDescent="0.25">
      <c r="A1445" s="40"/>
      <c r="B1445" s="9"/>
      <c r="C1445" s="9"/>
      <c r="D1445" s="9"/>
      <c r="E1445" s="9"/>
      <c r="F1445" s="9"/>
      <c r="G1445" s="9"/>
      <c r="H1445" s="8"/>
      <c r="I1445" s="8"/>
      <c r="J1445" s="8"/>
      <c r="K1445" s="8"/>
    </row>
    <row r="1446" spans="1:11" ht="15" customHeight="1" x14ac:dyDescent="0.25">
      <c r="A1446" s="40"/>
      <c r="B1446" s="9"/>
      <c r="C1446" s="9"/>
      <c r="D1446" s="9"/>
      <c r="E1446" s="9"/>
      <c r="F1446" s="9"/>
      <c r="G1446" s="9"/>
      <c r="H1446" s="8"/>
      <c r="I1446" s="8"/>
      <c r="J1446" s="8"/>
      <c r="K1446" s="8"/>
    </row>
    <row r="1447" spans="1:11" ht="15" customHeight="1" x14ac:dyDescent="0.25">
      <c r="A1447" s="40"/>
      <c r="B1447" s="9"/>
      <c r="C1447" s="9"/>
      <c r="D1447" s="9"/>
      <c r="E1447" s="9"/>
      <c r="F1447" s="9"/>
      <c r="G1447" s="9"/>
      <c r="H1447" s="8"/>
      <c r="I1447" s="8"/>
      <c r="J1447" s="8"/>
      <c r="K1447" s="8"/>
    </row>
    <row r="1448" spans="1:11" ht="15" customHeight="1" x14ac:dyDescent="0.25">
      <c r="A1448" s="40"/>
      <c r="B1448" s="9"/>
      <c r="C1448" s="9"/>
      <c r="D1448" s="9"/>
      <c r="E1448" s="9"/>
      <c r="F1448" s="9"/>
      <c r="G1448" s="9"/>
      <c r="H1448" s="8"/>
      <c r="I1448" s="8"/>
      <c r="J1448" s="8"/>
      <c r="K1448" s="8"/>
    </row>
    <row r="1449" spans="1:11" ht="15" customHeight="1" x14ac:dyDescent="0.25">
      <c r="A1449" s="40"/>
      <c r="B1449" s="9"/>
      <c r="C1449" s="9"/>
      <c r="D1449" s="9"/>
      <c r="E1449" s="9"/>
      <c r="F1449" s="9"/>
      <c r="G1449" s="9"/>
      <c r="H1449" s="8"/>
      <c r="I1449" s="8"/>
      <c r="J1449" s="8"/>
      <c r="K1449" s="8"/>
    </row>
    <row r="1450" spans="1:11" ht="15" customHeight="1" x14ac:dyDescent="0.25">
      <c r="A1450" s="40"/>
      <c r="B1450" s="9"/>
      <c r="C1450" s="9"/>
      <c r="D1450" s="9"/>
      <c r="E1450" s="9"/>
      <c r="F1450" s="9"/>
      <c r="G1450" s="9"/>
      <c r="H1450" s="8"/>
      <c r="I1450" s="8"/>
      <c r="J1450" s="8"/>
      <c r="K1450" s="8"/>
    </row>
    <row r="1451" spans="1:11" ht="15" customHeight="1" x14ac:dyDescent="0.25">
      <c r="A1451" s="40"/>
      <c r="B1451" s="9"/>
      <c r="C1451" s="9"/>
      <c r="D1451" s="9"/>
      <c r="E1451" s="9"/>
      <c r="F1451" s="9"/>
      <c r="G1451" s="9"/>
      <c r="H1451" s="8"/>
      <c r="I1451" s="8"/>
      <c r="J1451" s="8"/>
      <c r="K1451" s="8"/>
    </row>
    <row r="1452" spans="1:11" ht="15" customHeight="1" x14ac:dyDescent="0.25">
      <c r="A1452" s="40"/>
      <c r="B1452" s="9"/>
      <c r="C1452" s="9"/>
      <c r="D1452" s="9"/>
      <c r="E1452" s="9"/>
      <c r="F1452" s="9"/>
      <c r="G1452" s="9"/>
      <c r="H1452" s="8"/>
      <c r="I1452" s="8"/>
      <c r="J1452" s="8"/>
      <c r="K1452" s="8"/>
    </row>
    <row r="1453" spans="1:11" ht="15" customHeight="1" x14ac:dyDescent="0.25">
      <c r="A1453" s="40"/>
      <c r="B1453" s="9"/>
      <c r="C1453" s="9"/>
      <c r="D1453" s="9"/>
      <c r="E1453" s="9"/>
      <c r="F1453" s="9"/>
      <c r="G1453" s="9"/>
      <c r="H1453" s="8"/>
      <c r="I1453" s="8"/>
      <c r="J1453" s="8"/>
      <c r="K1453" s="8"/>
    </row>
    <row r="1454" spans="1:11" ht="15" customHeight="1" x14ac:dyDescent="0.25">
      <c r="A1454" s="40"/>
      <c r="B1454" s="9"/>
      <c r="C1454" s="9"/>
      <c r="D1454" s="9"/>
      <c r="E1454" s="9"/>
      <c r="F1454" s="9"/>
      <c r="G1454" s="9"/>
      <c r="H1454" s="8"/>
      <c r="I1454" s="8"/>
      <c r="J1454" s="8"/>
      <c r="K1454" s="8"/>
    </row>
    <row r="1455" spans="1:11" ht="15" customHeight="1" x14ac:dyDescent="0.25">
      <c r="A1455" s="40"/>
      <c r="B1455" s="9"/>
      <c r="C1455" s="9"/>
      <c r="D1455" s="9"/>
      <c r="E1455" s="9"/>
      <c r="F1455" s="9"/>
      <c r="G1455" s="9"/>
      <c r="H1455" s="8"/>
      <c r="I1455" s="8"/>
      <c r="J1455" s="8"/>
      <c r="K1455" s="8"/>
    </row>
    <row r="1456" spans="1:11" ht="15" customHeight="1" x14ac:dyDescent="0.25">
      <c r="A1456" s="40"/>
      <c r="B1456" s="9"/>
      <c r="C1456" s="9"/>
      <c r="D1456" s="9"/>
      <c r="E1456" s="9"/>
      <c r="F1456" s="9"/>
      <c r="G1456" s="9"/>
      <c r="H1456" s="8"/>
      <c r="I1456" s="8"/>
      <c r="J1456" s="8"/>
      <c r="K1456" s="8"/>
    </row>
    <row r="1457" spans="1:11" ht="15" customHeight="1" x14ac:dyDescent="0.25">
      <c r="A1457" s="40"/>
      <c r="B1457" s="9"/>
      <c r="C1457" s="9"/>
      <c r="D1457" s="9"/>
      <c r="E1457" s="9"/>
      <c r="F1457" s="9"/>
      <c r="G1457" s="9"/>
      <c r="H1457" s="8"/>
      <c r="I1457" s="8"/>
      <c r="J1457" s="8"/>
      <c r="K1457" s="8"/>
    </row>
    <row r="1458" spans="1:11" ht="15" customHeight="1" x14ac:dyDescent="0.25">
      <c r="A1458" s="40"/>
      <c r="B1458" s="9"/>
      <c r="C1458" s="9"/>
      <c r="D1458" s="9"/>
      <c r="E1458" s="9"/>
      <c r="F1458" s="9"/>
      <c r="G1458" s="9"/>
      <c r="H1458" s="8"/>
      <c r="I1458" s="8"/>
      <c r="J1458" s="8"/>
      <c r="K1458" s="8"/>
    </row>
    <row r="1459" spans="1:11" ht="15" customHeight="1" x14ac:dyDescent="0.25">
      <c r="A1459" s="40"/>
      <c r="B1459" s="9"/>
      <c r="C1459" s="9"/>
      <c r="D1459" s="9"/>
      <c r="E1459" s="9"/>
      <c r="F1459" s="9"/>
      <c r="G1459" s="9"/>
      <c r="H1459" s="8"/>
      <c r="I1459" s="8"/>
      <c r="J1459" s="8"/>
      <c r="K1459" s="8"/>
    </row>
    <row r="1460" spans="1:11" ht="15" customHeight="1" x14ac:dyDescent="0.25">
      <c r="A1460" s="40"/>
      <c r="B1460" s="9"/>
      <c r="C1460" s="9"/>
      <c r="D1460" s="9"/>
      <c r="E1460" s="9"/>
      <c r="F1460" s="9"/>
      <c r="G1460" s="9"/>
      <c r="H1460" s="8"/>
      <c r="I1460" s="8"/>
      <c r="J1460" s="8"/>
      <c r="K1460" s="8"/>
    </row>
    <row r="1461" spans="1:11" ht="15" customHeight="1" x14ac:dyDescent="0.25">
      <c r="A1461" s="40"/>
      <c r="B1461" s="9"/>
      <c r="C1461" s="9"/>
      <c r="D1461" s="9"/>
      <c r="E1461" s="9"/>
      <c r="F1461" s="9"/>
      <c r="G1461" s="9"/>
      <c r="H1461" s="8"/>
      <c r="I1461" s="8"/>
      <c r="J1461" s="8"/>
      <c r="K1461" s="8"/>
    </row>
    <row r="1462" spans="1:11" ht="15" customHeight="1" x14ac:dyDescent="0.25">
      <c r="A1462" s="40"/>
      <c r="B1462" s="9"/>
      <c r="C1462" s="9"/>
      <c r="D1462" s="9"/>
      <c r="E1462" s="9"/>
      <c r="F1462" s="9"/>
      <c r="G1462" s="9"/>
      <c r="H1462" s="8"/>
      <c r="I1462" s="8"/>
      <c r="J1462" s="8"/>
      <c r="K1462" s="8"/>
    </row>
    <row r="1463" spans="1:11" ht="15" customHeight="1" x14ac:dyDescent="0.25">
      <c r="A1463" s="40"/>
      <c r="B1463" s="9"/>
      <c r="C1463" s="9"/>
      <c r="D1463" s="9"/>
      <c r="E1463" s="9"/>
      <c r="F1463" s="9"/>
      <c r="G1463" s="9"/>
      <c r="H1463" s="8"/>
      <c r="I1463" s="8"/>
      <c r="J1463" s="8"/>
      <c r="K1463" s="8"/>
    </row>
    <row r="1464" spans="1:11" ht="15" customHeight="1" x14ac:dyDescent="0.25">
      <c r="A1464" s="40"/>
      <c r="B1464" s="9"/>
      <c r="C1464" s="9"/>
      <c r="D1464" s="9"/>
      <c r="E1464" s="9"/>
      <c r="F1464" s="9"/>
      <c r="G1464" s="9"/>
      <c r="H1464" s="8"/>
      <c r="I1464" s="8"/>
      <c r="J1464" s="8"/>
      <c r="K1464" s="8"/>
    </row>
    <row r="1465" spans="1:11" ht="15" customHeight="1" x14ac:dyDescent="0.25">
      <c r="A1465" s="40"/>
      <c r="B1465" s="9"/>
      <c r="C1465" s="9"/>
      <c r="D1465" s="9"/>
      <c r="E1465" s="9"/>
      <c r="F1465" s="9"/>
      <c r="G1465" s="9"/>
      <c r="H1465" s="8"/>
      <c r="I1465" s="8"/>
      <c r="J1465" s="8"/>
      <c r="K1465" s="8"/>
    </row>
    <row r="1466" spans="1:11" ht="15" customHeight="1" x14ac:dyDescent="0.25">
      <c r="A1466" s="40"/>
      <c r="B1466" s="9"/>
      <c r="C1466" s="9"/>
      <c r="D1466" s="9"/>
      <c r="E1466" s="9"/>
      <c r="F1466" s="9"/>
      <c r="G1466" s="9"/>
      <c r="H1466" s="8"/>
      <c r="I1466" s="8"/>
      <c r="J1466" s="8"/>
      <c r="K1466" s="8"/>
    </row>
    <row r="1467" spans="1:11" ht="15" customHeight="1" x14ac:dyDescent="0.25">
      <c r="A1467" s="40"/>
      <c r="B1467" s="9"/>
      <c r="C1467" s="9"/>
      <c r="D1467" s="9"/>
      <c r="E1467" s="9"/>
      <c r="F1467" s="9"/>
      <c r="G1467" s="9"/>
      <c r="H1467" s="8"/>
      <c r="I1467" s="8"/>
      <c r="J1467" s="8"/>
      <c r="K1467" s="8"/>
    </row>
    <row r="1468" spans="1:11" ht="15" customHeight="1" x14ac:dyDescent="0.25">
      <c r="A1468" s="40"/>
      <c r="B1468" s="9"/>
      <c r="C1468" s="9"/>
      <c r="D1468" s="9"/>
      <c r="E1468" s="9"/>
      <c r="F1468" s="9"/>
      <c r="G1468" s="9"/>
      <c r="H1468" s="8"/>
      <c r="I1468" s="8"/>
      <c r="J1468" s="8"/>
      <c r="K1468" s="8"/>
    </row>
    <row r="1469" spans="1:11" ht="15" customHeight="1" x14ac:dyDescent="0.25">
      <c r="A1469" s="40"/>
      <c r="B1469" s="9"/>
      <c r="C1469" s="9"/>
      <c r="D1469" s="9"/>
      <c r="E1469" s="9"/>
      <c r="F1469" s="9"/>
      <c r="G1469" s="9"/>
      <c r="H1469" s="8"/>
      <c r="I1469" s="8"/>
      <c r="J1469" s="8"/>
      <c r="K1469" s="8"/>
    </row>
    <row r="1470" spans="1:11" ht="15" customHeight="1" x14ac:dyDescent="0.25">
      <c r="A1470" s="40"/>
      <c r="B1470" s="9"/>
      <c r="C1470" s="9"/>
      <c r="D1470" s="9"/>
      <c r="E1470" s="9"/>
      <c r="F1470" s="9"/>
      <c r="G1470" s="9"/>
      <c r="H1470" s="8"/>
      <c r="I1470" s="8"/>
      <c r="J1470" s="8"/>
      <c r="K1470" s="8"/>
    </row>
    <row r="1471" spans="1:11" ht="15" customHeight="1" x14ac:dyDescent="0.25">
      <c r="A1471" s="40"/>
      <c r="B1471" s="9"/>
      <c r="C1471" s="9"/>
      <c r="D1471" s="9"/>
      <c r="E1471" s="9"/>
      <c r="F1471" s="9"/>
      <c r="G1471" s="9"/>
      <c r="H1471" s="8"/>
      <c r="I1471" s="8"/>
      <c r="J1471" s="8"/>
      <c r="K1471" s="8"/>
    </row>
    <row r="1472" spans="1:11" ht="15" customHeight="1" x14ac:dyDescent="0.25">
      <c r="A1472" s="40"/>
      <c r="B1472" s="9"/>
      <c r="C1472" s="9"/>
      <c r="D1472" s="9"/>
      <c r="E1472" s="9"/>
      <c r="F1472" s="9"/>
      <c r="G1472" s="9"/>
      <c r="H1472" s="8"/>
      <c r="I1472" s="8"/>
      <c r="J1472" s="8"/>
      <c r="K1472" s="8"/>
    </row>
    <row r="1473" spans="1:11" ht="15" customHeight="1" x14ac:dyDescent="0.25">
      <c r="A1473" s="40"/>
      <c r="B1473" s="9"/>
      <c r="C1473" s="9"/>
      <c r="D1473" s="9"/>
      <c r="E1473" s="9"/>
      <c r="F1473" s="9"/>
      <c r="G1473" s="9"/>
      <c r="H1473" s="8"/>
      <c r="I1473" s="8"/>
      <c r="J1473" s="8"/>
      <c r="K1473" s="8"/>
    </row>
    <row r="1474" spans="1:11" ht="15" customHeight="1" x14ac:dyDescent="0.25">
      <c r="A1474" s="40"/>
      <c r="B1474" s="9"/>
      <c r="C1474" s="9"/>
      <c r="D1474" s="9"/>
      <c r="E1474" s="9"/>
      <c r="F1474" s="9"/>
      <c r="G1474" s="9"/>
      <c r="H1474" s="8"/>
      <c r="I1474" s="8"/>
      <c r="J1474" s="8"/>
      <c r="K1474" s="8"/>
    </row>
    <row r="1475" spans="1:11" ht="15" customHeight="1" x14ac:dyDescent="0.25">
      <c r="A1475" s="40"/>
      <c r="B1475" s="9"/>
      <c r="C1475" s="9"/>
      <c r="D1475" s="9"/>
      <c r="E1475" s="9"/>
      <c r="F1475" s="9"/>
      <c r="G1475" s="9"/>
      <c r="H1475" s="8"/>
      <c r="I1475" s="8"/>
      <c r="J1475" s="8"/>
      <c r="K1475" s="8"/>
    </row>
    <row r="1476" spans="1:11" ht="15" customHeight="1" x14ac:dyDescent="0.25">
      <c r="A1476" s="40"/>
      <c r="B1476" s="9"/>
      <c r="C1476" s="9"/>
      <c r="D1476" s="9"/>
      <c r="E1476" s="9"/>
      <c r="F1476" s="9"/>
      <c r="G1476" s="9"/>
      <c r="H1476" s="8"/>
      <c r="I1476" s="8"/>
      <c r="J1476" s="8"/>
      <c r="K1476" s="8"/>
    </row>
    <row r="1477" spans="1:11" ht="15" customHeight="1" x14ac:dyDescent="0.25">
      <c r="A1477" s="40"/>
      <c r="B1477" s="9"/>
      <c r="C1477" s="9"/>
      <c r="D1477" s="9"/>
      <c r="E1477" s="9"/>
      <c r="F1477" s="9"/>
      <c r="G1477" s="9"/>
      <c r="H1477" s="8"/>
      <c r="I1477" s="8"/>
      <c r="J1477" s="8"/>
      <c r="K1477" s="8"/>
    </row>
    <row r="1478" spans="1:11" ht="15" customHeight="1" x14ac:dyDescent="0.25">
      <c r="A1478" s="40"/>
      <c r="B1478" s="9"/>
      <c r="C1478" s="9"/>
      <c r="D1478" s="9"/>
      <c r="E1478" s="9"/>
      <c r="F1478" s="9"/>
      <c r="G1478" s="9"/>
      <c r="H1478" s="8"/>
      <c r="I1478" s="8"/>
      <c r="J1478" s="8"/>
      <c r="K1478" s="8"/>
    </row>
    <row r="1479" spans="1:11" ht="15" customHeight="1" x14ac:dyDescent="0.25">
      <c r="A1479" s="40"/>
      <c r="B1479" s="9"/>
      <c r="C1479" s="9"/>
      <c r="D1479" s="9"/>
      <c r="E1479" s="9"/>
      <c r="F1479" s="9"/>
      <c r="G1479" s="9"/>
      <c r="H1479" s="8"/>
      <c r="I1479" s="8"/>
      <c r="J1479" s="8"/>
      <c r="K1479" s="8"/>
    </row>
    <row r="1480" spans="1:11" ht="15" customHeight="1" x14ac:dyDescent="0.25">
      <c r="A1480" s="40"/>
      <c r="B1480" s="9"/>
      <c r="C1480" s="9"/>
      <c r="D1480" s="9"/>
      <c r="E1480" s="9"/>
      <c r="F1480" s="9"/>
      <c r="G1480" s="9"/>
      <c r="H1480" s="8"/>
      <c r="I1480" s="8"/>
      <c r="J1480" s="8"/>
      <c r="K1480" s="8"/>
    </row>
    <row r="1481" spans="1:11" ht="15" customHeight="1" x14ac:dyDescent="0.25">
      <c r="A1481" s="40"/>
      <c r="B1481" s="9"/>
      <c r="C1481" s="9"/>
      <c r="D1481" s="9"/>
      <c r="E1481" s="9"/>
      <c r="F1481" s="9"/>
      <c r="G1481" s="9"/>
      <c r="H1481" s="8"/>
      <c r="I1481" s="8"/>
      <c r="J1481" s="8"/>
      <c r="K1481" s="8"/>
    </row>
    <row r="1482" spans="1:11" ht="15" customHeight="1" x14ac:dyDescent="0.25">
      <c r="A1482" s="40"/>
      <c r="B1482" s="9"/>
      <c r="C1482" s="9"/>
      <c r="D1482" s="9"/>
      <c r="E1482" s="9"/>
      <c r="F1482" s="9"/>
      <c r="G1482" s="9"/>
      <c r="H1482" s="8"/>
      <c r="I1482" s="8"/>
      <c r="J1482" s="8"/>
      <c r="K1482" s="8"/>
    </row>
    <row r="1483" spans="1:11" ht="15" customHeight="1" x14ac:dyDescent="0.25">
      <c r="A1483" s="40"/>
      <c r="B1483" s="9"/>
      <c r="C1483" s="9"/>
      <c r="D1483" s="9"/>
      <c r="E1483" s="9"/>
      <c r="F1483" s="9"/>
      <c r="G1483" s="9"/>
      <c r="H1483" s="8"/>
      <c r="I1483" s="8"/>
      <c r="J1483" s="8"/>
      <c r="K1483" s="8"/>
    </row>
    <row r="1484" spans="1:11" ht="15" customHeight="1" x14ac:dyDescent="0.25">
      <c r="A1484" s="40"/>
      <c r="B1484" s="9"/>
      <c r="C1484" s="9"/>
      <c r="D1484" s="9"/>
      <c r="E1484" s="9"/>
      <c r="F1484" s="9"/>
      <c r="G1484" s="9"/>
      <c r="H1484" s="8"/>
      <c r="I1484" s="8"/>
      <c r="J1484" s="8"/>
      <c r="K1484" s="8"/>
    </row>
    <row r="1485" spans="1:11" ht="15" customHeight="1" x14ac:dyDescent="0.25">
      <c r="A1485" s="40"/>
      <c r="B1485" s="9"/>
      <c r="C1485" s="9"/>
      <c r="D1485" s="9"/>
      <c r="E1485" s="9"/>
      <c r="F1485" s="9"/>
      <c r="G1485" s="9"/>
      <c r="H1485" s="8"/>
      <c r="I1485" s="8"/>
      <c r="J1485" s="8"/>
      <c r="K1485" s="8"/>
    </row>
    <row r="1486" spans="1:11" ht="15" customHeight="1" x14ac:dyDescent="0.25">
      <c r="A1486" s="40"/>
      <c r="B1486" s="9"/>
      <c r="C1486" s="9"/>
      <c r="D1486" s="9"/>
      <c r="E1486" s="9"/>
      <c r="F1486" s="9"/>
      <c r="G1486" s="9"/>
      <c r="H1486" s="8"/>
      <c r="I1486" s="8"/>
      <c r="J1486" s="8"/>
      <c r="K1486" s="8"/>
    </row>
    <row r="1487" spans="1:11" ht="15" customHeight="1" x14ac:dyDescent="0.25">
      <c r="A1487" s="40"/>
      <c r="B1487" s="9"/>
      <c r="C1487" s="9"/>
      <c r="D1487" s="9"/>
      <c r="E1487" s="9"/>
      <c r="F1487" s="9"/>
      <c r="G1487" s="9"/>
      <c r="H1487" s="8"/>
      <c r="I1487" s="8"/>
      <c r="J1487" s="8"/>
      <c r="K1487" s="8"/>
    </row>
    <row r="1488" spans="1:11" ht="15" customHeight="1" x14ac:dyDescent="0.25">
      <c r="A1488" s="40"/>
      <c r="B1488" s="9"/>
      <c r="C1488" s="9"/>
      <c r="D1488" s="9"/>
      <c r="E1488" s="9"/>
      <c r="F1488" s="9"/>
      <c r="G1488" s="9"/>
      <c r="H1488" s="8"/>
      <c r="I1488" s="8"/>
      <c r="J1488" s="8"/>
      <c r="K1488" s="8"/>
    </row>
    <row r="1489" spans="1:11" ht="15" customHeight="1" x14ac:dyDescent="0.25">
      <c r="A1489" s="40"/>
      <c r="B1489" s="9"/>
      <c r="C1489" s="9"/>
      <c r="D1489" s="9"/>
      <c r="E1489" s="9"/>
      <c r="F1489" s="9"/>
      <c r="G1489" s="9"/>
      <c r="H1489" s="8"/>
      <c r="I1489" s="8"/>
      <c r="J1489" s="8"/>
      <c r="K1489" s="8"/>
    </row>
    <row r="1490" spans="1:11" ht="15" customHeight="1" x14ac:dyDescent="0.25">
      <c r="A1490" s="40"/>
      <c r="B1490" s="9"/>
      <c r="C1490" s="9"/>
      <c r="D1490" s="9"/>
      <c r="E1490" s="9"/>
      <c r="F1490" s="9"/>
      <c r="G1490" s="9"/>
      <c r="H1490" s="8"/>
      <c r="I1490" s="8"/>
      <c r="J1490" s="8"/>
      <c r="K1490" s="8"/>
    </row>
    <row r="1491" spans="1:11" ht="15" customHeight="1" x14ac:dyDescent="0.25">
      <c r="A1491" s="40"/>
      <c r="B1491" s="9"/>
      <c r="C1491" s="9"/>
      <c r="D1491" s="9"/>
      <c r="E1491" s="9"/>
      <c r="F1491" s="9"/>
      <c r="G1491" s="9"/>
      <c r="H1491" s="8"/>
      <c r="I1491" s="8"/>
      <c r="J1491" s="8"/>
      <c r="K1491" s="8"/>
    </row>
    <row r="1492" spans="1:11" ht="15" customHeight="1" x14ac:dyDescent="0.25">
      <c r="A1492" s="40"/>
      <c r="B1492" s="9"/>
      <c r="C1492" s="9"/>
      <c r="D1492" s="9"/>
      <c r="E1492" s="9"/>
      <c r="F1492" s="9"/>
      <c r="G1492" s="9"/>
      <c r="H1492" s="8"/>
      <c r="I1492" s="8"/>
      <c r="J1492" s="8"/>
      <c r="K1492" s="8"/>
    </row>
    <row r="1493" spans="1:11" ht="15" customHeight="1" x14ac:dyDescent="0.25">
      <c r="A1493" s="40"/>
      <c r="B1493" s="9"/>
      <c r="C1493" s="9"/>
      <c r="D1493" s="9"/>
      <c r="E1493" s="9"/>
      <c r="F1493" s="9"/>
      <c r="G1493" s="9"/>
      <c r="H1493" s="8"/>
      <c r="I1493" s="8"/>
      <c r="J1493" s="8"/>
      <c r="K1493" s="8"/>
    </row>
    <row r="1494" spans="1:11" ht="15" customHeight="1" x14ac:dyDescent="0.25">
      <c r="A1494" s="40"/>
      <c r="B1494" s="9"/>
      <c r="C1494" s="9"/>
      <c r="D1494" s="9"/>
      <c r="E1494" s="9"/>
      <c r="F1494" s="9"/>
      <c r="G1494" s="9"/>
      <c r="H1494" s="8"/>
      <c r="I1494" s="8"/>
      <c r="J1494" s="8"/>
      <c r="K1494" s="8"/>
    </row>
    <row r="1495" spans="1:11" ht="15" customHeight="1" x14ac:dyDescent="0.25">
      <c r="A1495" s="40"/>
      <c r="B1495" s="9"/>
      <c r="C1495" s="9"/>
      <c r="D1495" s="9"/>
      <c r="E1495" s="9"/>
      <c r="F1495" s="9"/>
      <c r="G1495" s="9"/>
      <c r="H1495" s="8"/>
      <c r="I1495" s="8"/>
      <c r="J1495" s="8"/>
      <c r="K1495" s="8"/>
    </row>
    <row r="1496" spans="1:11" ht="15" customHeight="1" x14ac:dyDescent="0.25">
      <c r="A1496" s="40"/>
      <c r="B1496" s="9"/>
      <c r="C1496" s="9"/>
      <c r="D1496" s="9"/>
      <c r="E1496" s="9"/>
      <c r="F1496" s="9"/>
      <c r="G1496" s="9"/>
      <c r="H1496" s="8"/>
      <c r="I1496" s="8"/>
      <c r="J1496" s="8"/>
      <c r="K1496" s="8"/>
    </row>
    <row r="1497" spans="1:11" ht="15" customHeight="1" x14ac:dyDescent="0.25">
      <c r="A1497" s="40"/>
      <c r="B1497" s="9"/>
      <c r="C1497" s="9"/>
      <c r="D1497" s="9"/>
      <c r="E1497" s="9"/>
      <c r="F1497" s="9"/>
      <c r="G1497" s="9"/>
      <c r="H1497" s="8"/>
      <c r="I1497" s="8"/>
      <c r="J1497" s="8"/>
      <c r="K1497" s="8"/>
    </row>
    <row r="1498" spans="1:11" ht="15" customHeight="1" x14ac:dyDescent="0.25">
      <c r="A1498" s="40"/>
      <c r="B1498" s="9"/>
      <c r="C1498" s="9"/>
      <c r="D1498" s="9"/>
      <c r="E1498" s="9"/>
      <c r="F1498" s="9"/>
      <c r="G1498" s="9"/>
      <c r="H1498" s="8"/>
      <c r="I1498" s="8"/>
      <c r="J1498" s="8"/>
      <c r="K1498" s="8"/>
    </row>
    <row r="1499" spans="1:11" ht="15" customHeight="1" x14ac:dyDescent="0.25">
      <c r="A1499" s="40"/>
      <c r="B1499" s="9"/>
      <c r="C1499" s="9"/>
      <c r="D1499" s="9"/>
      <c r="E1499" s="9"/>
      <c r="F1499" s="9"/>
      <c r="G1499" s="9"/>
      <c r="H1499" s="8"/>
      <c r="I1499" s="8"/>
      <c r="J1499" s="8"/>
      <c r="K1499" s="8"/>
    </row>
    <row r="1500" spans="1:11" ht="15" customHeight="1" x14ac:dyDescent="0.25">
      <c r="A1500" s="40"/>
      <c r="B1500" s="9"/>
      <c r="C1500" s="9"/>
      <c r="D1500" s="9"/>
      <c r="E1500" s="9"/>
      <c r="F1500" s="9"/>
      <c r="G1500" s="9"/>
      <c r="H1500" s="8"/>
      <c r="I1500" s="8"/>
      <c r="J1500" s="8"/>
      <c r="K1500" s="8"/>
    </row>
    <row r="1501" spans="1:11" ht="15" customHeight="1" x14ac:dyDescent="0.25">
      <c r="A1501" s="40"/>
      <c r="B1501" s="9"/>
      <c r="C1501" s="9"/>
      <c r="D1501" s="9"/>
      <c r="E1501" s="9"/>
      <c r="F1501" s="9"/>
      <c r="G1501" s="9"/>
      <c r="H1501" s="8"/>
      <c r="I1501" s="8"/>
      <c r="J1501" s="8"/>
      <c r="K1501" s="8"/>
    </row>
    <row r="1502" spans="1:11" ht="15" customHeight="1" x14ac:dyDescent="0.25">
      <c r="A1502" s="40"/>
      <c r="B1502" s="9"/>
      <c r="C1502" s="9"/>
      <c r="D1502" s="9"/>
      <c r="E1502" s="9"/>
      <c r="F1502" s="9"/>
      <c r="G1502" s="9"/>
      <c r="H1502" s="8"/>
      <c r="I1502" s="8"/>
      <c r="J1502" s="8"/>
      <c r="K1502" s="8"/>
    </row>
    <row r="1503" spans="1:11" ht="15" customHeight="1" x14ac:dyDescent="0.25">
      <c r="A1503" s="40"/>
      <c r="B1503" s="9"/>
      <c r="C1503" s="9"/>
      <c r="D1503" s="9"/>
      <c r="E1503" s="9"/>
      <c r="F1503" s="9"/>
      <c r="G1503" s="9"/>
      <c r="H1503" s="8"/>
      <c r="I1503" s="8"/>
      <c r="J1503" s="8"/>
      <c r="K1503" s="8"/>
    </row>
    <row r="1504" spans="1:11" ht="15" customHeight="1" x14ac:dyDescent="0.25">
      <c r="A1504" s="40"/>
      <c r="B1504" s="9"/>
      <c r="C1504" s="9"/>
      <c r="D1504" s="9"/>
      <c r="E1504" s="9"/>
      <c r="F1504" s="9"/>
      <c r="G1504" s="9"/>
      <c r="H1504" s="8"/>
      <c r="I1504" s="8"/>
      <c r="J1504" s="8"/>
      <c r="K1504" s="8"/>
    </row>
    <row r="1505" spans="1:11" ht="15" customHeight="1" x14ac:dyDescent="0.25">
      <c r="A1505" s="40"/>
      <c r="B1505" s="9"/>
      <c r="C1505" s="9"/>
      <c r="D1505" s="9"/>
      <c r="E1505" s="9"/>
      <c r="F1505" s="9"/>
      <c r="G1505" s="9"/>
      <c r="H1505" s="8"/>
      <c r="I1505" s="8"/>
      <c r="J1505" s="8"/>
      <c r="K1505" s="8"/>
    </row>
    <row r="1506" spans="1:11" ht="15" customHeight="1" x14ac:dyDescent="0.25">
      <c r="A1506" s="40"/>
      <c r="B1506" s="9"/>
      <c r="C1506" s="9"/>
      <c r="D1506" s="9"/>
      <c r="E1506" s="9"/>
      <c r="F1506" s="9"/>
      <c r="G1506" s="9"/>
      <c r="H1506" s="8"/>
      <c r="I1506" s="8"/>
      <c r="J1506" s="8"/>
      <c r="K1506" s="8"/>
    </row>
    <row r="1507" spans="1:11" ht="15" customHeight="1" x14ac:dyDescent="0.25">
      <c r="A1507" s="40"/>
      <c r="B1507" s="9"/>
      <c r="C1507" s="9"/>
      <c r="D1507" s="9"/>
      <c r="E1507" s="9"/>
      <c r="F1507" s="9"/>
      <c r="G1507" s="9"/>
      <c r="H1507" s="8"/>
      <c r="I1507" s="8"/>
      <c r="J1507" s="8"/>
      <c r="K1507" s="8"/>
    </row>
    <row r="1508" spans="1:11" ht="15" customHeight="1" x14ac:dyDescent="0.25">
      <c r="A1508" s="40"/>
      <c r="B1508" s="9"/>
      <c r="C1508" s="9"/>
      <c r="D1508" s="9"/>
      <c r="E1508" s="9"/>
      <c r="F1508" s="9"/>
      <c r="G1508" s="9"/>
      <c r="H1508" s="8"/>
      <c r="I1508" s="8"/>
      <c r="J1508" s="8"/>
      <c r="K1508" s="8"/>
    </row>
    <row r="1509" spans="1:11" ht="15" customHeight="1" x14ac:dyDescent="0.25">
      <c r="A1509" s="40"/>
      <c r="B1509" s="9"/>
      <c r="C1509" s="9"/>
      <c r="D1509" s="9"/>
      <c r="E1509" s="9"/>
      <c r="F1509" s="9"/>
      <c r="G1509" s="9"/>
      <c r="H1509" s="8"/>
      <c r="I1509" s="8"/>
      <c r="J1509" s="8"/>
      <c r="K1509" s="8"/>
    </row>
    <row r="1510" spans="1:11" ht="15" customHeight="1" x14ac:dyDescent="0.25">
      <c r="A1510" s="40"/>
      <c r="B1510" s="9"/>
      <c r="C1510" s="9"/>
      <c r="D1510" s="9"/>
      <c r="E1510" s="9"/>
      <c r="F1510" s="9"/>
      <c r="G1510" s="9"/>
      <c r="H1510" s="8"/>
      <c r="I1510" s="8"/>
      <c r="J1510" s="8"/>
      <c r="K1510" s="8"/>
    </row>
    <row r="1511" spans="1:11" ht="15" customHeight="1" x14ac:dyDescent="0.25">
      <c r="A1511" s="40"/>
      <c r="B1511" s="9"/>
      <c r="C1511" s="9"/>
      <c r="D1511" s="9"/>
      <c r="E1511" s="9"/>
      <c r="F1511" s="9"/>
      <c r="G1511" s="9"/>
      <c r="H1511" s="8"/>
      <c r="I1511" s="8"/>
      <c r="J1511" s="8"/>
      <c r="K1511" s="8"/>
    </row>
    <row r="1512" spans="1:11" ht="15" customHeight="1" x14ac:dyDescent="0.25">
      <c r="A1512" s="40"/>
      <c r="B1512" s="9"/>
      <c r="C1512" s="9"/>
      <c r="D1512" s="9"/>
      <c r="E1512" s="9"/>
      <c r="F1512" s="9"/>
      <c r="G1512" s="9"/>
      <c r="H1512" s="8"/>
      <c r="I1512" s="8"/>
      <c r="J1512" s="8"/>
      <c r="K1512" s="8"/>
    </row>
    <row r="1513" spans="1:11" ht="15" customHeight="1" x14ac:dyDescent="0.25">
      <c r="A1513" s="40"/>
      <c r="B1513" s="9"/>
      <c r="C1513" s="9"/>
      <c r="D1513" s="9"/>
      <c r="E1513" s="9"/>
      <c r="F1513" s="9"/>
      <c r="G1513" s="9"/>
      <c r="H1513" s="8"/>
      <c r="I1513" s="8"/>
      <c r="J1513" s="8"/>
      <c r="K1513" s="8"/>
    </row>
    <row r="1514" spans="1:11" ht="15" customHeight="1" x14ac:dyDescent="0.25">
      <c r="A1514" s="40"/>
      <c r="B1514" s="9"/>
      <c r="C1514" s="9"/>
      <c r="D1514" s="9"/>
      <c r="E1514" s="9"/>
      <c r="F1514" s="9"/>
      <c r="G1514" s="9"/>
      <c r="H1514" s="8"/>
      <c r="I1514" s="8"/>
      <c r="J1514" s="8"/>
      <c r="K1514" s="8"/>
    </row>
    <row r="1515" spans="1:11" ht="15" customHeight="1" x14ac:dyDescent="0.25">
      <c r="A1515" s="40"/>
      <c r="B1515" s="9"/>
      <c r="C1515" s="9"/>
      <c r="D1515" s="9"/>
      <c r="E1515" s="9"/>
      <c r="F1515" s="9"/>
      <c r="G1515" s="9"/>
      <c r="H1515" s="8"/>
      <c r="I1515" s="8"/>
      <c r="J1515" s="8"/>
      <c r="K1515" s="8"/>
    </row>
    <row r="1516" spans="1:11" ht="15" customHeight="1" x14ac:dyDescent="0.25">
      <c r="A1516" s="40"/>
      <c r="B1516" s="9"/>
      <c r="C1516" s="9"/>
      <c r="D1516" s="9"/>
      <c r="E1516" s="9"/>
      <c r="F1516" s="9"/>
      <c r="G1516" s="9"/>
      <c r="H1516" s="8"/>
      <c r="I1516" s="8"/>
      <c r="J1516" s="8"/>
      <c r="K1516" s="8"/>
    </row>
    <row r="1517" spans="1:11" ht="15" customHeight="1" x14ac:dyDescent="0.25">
      <c r="A1517" s="40"/>
      <c r="B1517" s="9"/>
      <c r="C1517" s="9"/>
      <c r="D1517" s="9"/>
      <c r="E1517" s="9"/>
      <c r="F1517" s="9"/>
      <c r="G1517" s="9"/>
      <c r="H1517" s="8"/>
      <c r="I1517" s="8"/>
      <c r="J1517" s="8"/>
      <c r="K1517" s="8"/>
    </row>
    <row r="1518" spans="1:11" ht="15" customHeight="1" x14ac:dyDescent="0.25">
      <c r="A1518" s="40"/>
      <c r="B1518" s="9"/>
      <c r="C1518" s="9"/>
      <c r="D1518" s="9"/>
      <c r="E1518" s="9"/>
      <c r="F1518" s="9"/>
      <c r="G1518" s="9"/>
      <c r="H1518" s="8"/>
      <c r="I1518" s="8"/>
      <c r="J1518" s="8"/>
      <c r="K1518" s="8"/>
    </row>
    <row r="1519" spans="1:11" ht="15" customHeight="1" x14ac:dyDescent="0.25">
      <c r="A1519" s="40"/>
      <c r="B1519" s="9"/>
      <c r="C1519" s="9"/>
      <c r="D1519" s="9"/>
      <c r="E1519" s="9"/>
      <c r="F1519" s="9"/>
      <c r="G1519" s="9"/>
      <c r="H1519" s="8"/>
      <c r="I1519" s="8"/>
      <c r="J1519" s="8"/>
      <c r="K1519" s="8"/>
    </row>
    <row r="1520" spans="1:11" ht="15" customHeight="1" x14ac:dyDescent="0.25">
      <c r="A1520" s="40"/>
      <c r="B1520" s="9"/>
      <c r="C1520" s="9"/>
      <c r="D1520" s="9"/>
      <c r="E1520" s="9"/>
      <c r="F1520" s="9"/>
      <c r="G1520" s="9"/>
      <c r="H1520" s="8"/>
      <c r="I1520" s="8"/>
      <c r="J1520" s="8"/>
      <c r="K1520" s="8"/>
    </row>
    <row r="1521" spans="1:11" ht="15" customHeight="1" x14ac:dyDescent="0.25">
      <c r="A1521" s="40"/>
      <c r="B1521" s="9"/>
      <c r="C1521" s="9"/>
      <c r="D1521" s="9"/>
      <c r="E1521" s="9"/>
      <c r="F1521" s="9"/>
      <c r="G1521" s="9"/>
      <c r="H1521" s="8"/>
      <c r="I1521" s="8"/>
      <c r="J1521" s="8"/>
      <c r="K1521" s="8"/>
    </row>
    <row r="1522" spans="1:11" ht="15" customHeight="1" x14ac:dyDescent="0.25">
      <c r="A1522" s="40"/>
      <c r="B1522" s="9"/>
      <c r="C1522" s="9"/>
      <c r="D1522" s="9"/>
      <c r="E1522" s="9"/>
      <c r="F1522" s="9"/>
      <c r="G1522" s="9"/>
      <c r="H1522" s="8"/>
      <c r="I1522" s="8"/>
      <c r="J1522" s="8"/>
      <c r="K1522" s="8"/>
    </row>
    <row r="1523" spans="1:11" ht="15" customHeight="1" x14ac:dyDescent="0.25">
      <c r="A1523" s="40"/>
      <c r="B1523" s="9"/>
      <c r="C1523" s="9"/>
      <c r="D1523" s="9"/>
      <c r="E1523" s="9"/>
      <c r="F1523" s="9"/>
      <c r="G1523" s="9"/>
      <c r="H1523" s="8"/>
      <c r="I1523" s="8"/>
      <c r="J1523" s="8"/>
      <c r="K1523" s="8"/>
    </row>
    <row r="1524" spans="1:11" ht="15" customHeight="1" x14ac:dyDescent="0.25">
      <c r="A1524" s="40"/>
      <c r="B1524" s="9"/>
      <c r="C1524" s="9"/>
      <c r="D1524" s="9"/>
      <c r="E1524" s="9"/>
      <c r="F1524" s="9"/>
      <c r="G1524" s="9"/>
      <c r="H1524" s="8"/>
      <c r="I1524" s="8"/>
      <c r="J1524" s="8"/>
      <c r="K1524" s="8"/>
    </row>
    <row r="1525" spans="1:11" ht="15" customHeight="1" x14ac:dyDescent="0.25">
      <c r="A1525" s="40"/>
      <c r="B1525" s="9"/>
      <c r="C1525" s="9"/>
      <c r="D1525" s="9"/>
      <c r="E1525" s="9"/>
      <c r="F1525" s="9"/>
      <c r="G1525" s="9"/>
      <c r="H1525" s="8"/>
      <c r="I1525" s="8"/>
      <c r="J1525" s="8"/>
      <c r="K1525" s="8"/>
    </row>
    <row r="1526" spans="1:11" ht="15" customHeight="1" x14ac:dyDescent="0.25">
      <c r="A1526" s="40"/>
      <c r="B1526" s="9"/>
      <c r="C1526" s="9"/>
      <c r="D1526" s="9"/>
      <c r="E1526" s="9"/>
      <c r="F1526" s="9"/>
      <c r="G1526" s="9"/>
      <c r="H1526" s="8"/>
      <c r="I1526" s="8"/>
      <c r="J1526" s="8"/>
      <c r="K1526" s="8"/>
    </row>
    <row r="1527" spans="1:11" ht="15" customHeight="1" x14ac:dyDescent="0.25">
      <c r="A1527" s="40"/>
      <c r="B1527" s="9"/>
      <c r="C1527" s="9"/>
      <c r="D1527" s="9"/>
      <c r="E1527" s="9"/>
      <c r="F1527" s="9"/>
      <c r="G1527" s="9"/>
      <c r="H1527" s="8"/>
      <c r="I1527" s="8"/>
      <c r="J1527" s="8"/>
      <c r="K1527" s="8"/>
    </row>
    <row r="1528" spans="1:11" ht="15" customHeight="1" x14ac:dyDescent="0.25">
      <c r="A1528" s="40"/>
      <c r="B1528" s="9"/>
      <c r="C1528" s="9"/>
      <c r="D1528" s="9"/>
      <c r="E1528" s="9"/>
      <c r="F1528" s="9"/>
      <c r="G1528" s="9"/>
      <c r="H1528" s="8"/>
      <c r="I1528" s="8"/>
      <c r="J1528" s="8"/>
      <c r="K1528" s="8"/>
    </row>
    <row r="1529" spans="1:11" ht="15" customHeight="1" x14ac:dyDescent="0.25">
      <c r="A1529" s="40"/>
      <c r="B1529" s="9"/>
      <c r="C1529" s="9"/>
      <c r="D1529" s="9"/>
      <c r="E1529" s="9"/>
      <c r="F1529" s="9"/>
      <c r="G1529" s="9"/>
      <c r="H1529" s="8"/>
      <c r="I1529" s="8"/>
      <c r="J1529" s="8"/>
      <c r="K1529" s="8"/>
    </row>
    <row r="1530" spans="1:11" ht="15" customHeight="1" x14ac:dyDescent="0.25">
      <c r="A1530" s="40"/>
      <c r="B1530" s="9"/>
      <c r="C1530" s="9"/>
      <c r="D1530" s="9"/>
      <c r="E1530" s="9"/>
      <c r="F1530" s="9"/>
      <c r="G1530" s="9"/>
      <c r="H1530" s="8"/>
      <c r="I1530" s="8"/>
      <c r="J1530" s="8"/>
      <c r="K1530" s="8"/>
    </row>
    <row r="1531" spans="1:11" ht="15" customHeight="1" x14ac:dyDescent="0.25">
      <c r="A1531" s="40"/>
      <c r="B1531" s="9"/>
      <c r="C1531" s="9"/>
      <c r="D1531" s="9"/>
      <c r="E1531" s="9"/>
      <c r="F1531" s="9"/>
      <c r="G1531" s="9"/>
      <c r="H1531" s="8"/>
      <c r="I1531" s="8"/>
      <c r="J1531" s="8"/>
      <c r="K1531" s="8"/>
    </row>
    <row r="1532" spans="1:11" ht="15" customHeight="1" x14ac:dyDescent="0.25">
      <c r="A1532" s="40"/>
      <c r="B1532" s="9"/>
      <c r="C1532" s="9"/>
      <c r="D1532" s="9"/>
      <c r="E1532" s="9"/>
      <c r="F1532" s="9"/>
      <c r="G1532" s="9"/>
      <c r="H1532" s="8"/>
      <c r="I1532" s="8"/>
      <c r="J1532" s="8"/>
      <c r="K1532" s="8"/>
    </row>
    <row r="1533" spans="1:11" ht="15" customHeight="1" x14ac:dyDescent="0.25">
      <c r="A1533" s="40"/>
      <c r="B1533" s="9"/>
      <c r="C1533" s="9"/>
      <c r="D1533" s="9"/>
      <c r="E1533" s="9"/>
      <c r="F1533" s="9"/>
      <c r="G1533" s="9"/>
      <c r="H1533" s="8"/>
      <c r="I1533" s="8"/>
      <c r="J1533" s="8"/>
      <c r="K1533" s="8"/>
    </row>
    <row r="1534" spans="1:11" ht="15" customHeight="1" x14ac:dyDescent="0.25">
      <c r="A1534" s="40"/>
      <c r="B1534" s="9"/>
      <c r="C1534" s="9"/>
      <c r="D1534" s="9"/>
      <c r="E1534" s="9"/>
      <c r="F1534" s="9"/>
      <c r="G1534" s="9"/>
      <c r="H1534" s="8"/>
      <c r="I1534" s="8"/>
      <c r="J1534" s="8"/>
      <c r="K1534" s="8"/>
    </row>
    <row r="1535" spans="1:11" ht="15" customHeight="1" x14ac:dyDescent="0.25">
      <c r="A1535" s="40"/>
      <c r="B1535" s="9"/>
      <c r="C1535" s="9"/>
      <c r="D1535" s="9"/>
      <c r="E1535" s="9"/>
      <c r="F1535" s="9"/>
      <c r="G1535" s="9"/>
      <c r="H1535" s="8"/>
      <c r="I1535" s="8"/>
      <c r="J1535" s="8"/>
      <c r="K1535" s="8"/>
    </row>
    <row r="1536" spans="1:11" ht="15" customHeight="1" x14ac:dyDescent="0.25">
      <c r="A1536" s="40"/>
      <c r="B1536" s="9"/>
      <c r="C1536" s="9"/>
      <c r="D1536" s="9"/>
      <c r="E1536" s="9"/>
      <c r="F1536" s="9"/>
      <c r="G1536" s="9"/>
      <c r="H1536" s="8"/>
      <c r="I1536" s="8"/>
      <c r="J1536" s="8"/>
      <c r="K1536" s="8"/>
    </row>
    <row r="1537" spans="1:11" ht="15" customHeight="1" x14ac:dyDescent="0.25">
      <c r="A1537" s="40"/>
      <c r="B1537" s="9"/>
      <c r="C1537" s="9"/>
      <c r="D1537" s="9"/>
      <c r="E1537" s="9"/>
      <c r="F1537" s="9"/>
      <c r="G1537" s="9"/>
      <c r="H1537" s="8"/>
      <c r="I1537" s="8"/>
      <c r="J1537" s="8"/>
      <c r="K1537" s="8"/>
    </row>
    <row r="1538" spans="1:11" ht="15" customHeight="1" x14ac:dyDescent="0.25">
      <c r="A1538" s="40"/>
      <c r="B1538" s="9"/>
      <c r="C1538" s="9"/>
      <c r="D1538" s="9"/>
      <c r="E1538" s="9"/>
      <c r="F1538" s="9"/>
      <c r="G1538" s="9"/>
      <c r="H1538" s="8"/>
      <c r="I1538" s="8"/>
      <c r="J1538" s="8"/>
      <c r="K1538" s="8"/>
    </row>
    <row r="1539" spans="1:11" ht="15" customHeight="1" x14ac:dyDescent="0.25">
      <c r="A1539" s="40"/>
      <c r="B1539" s="9"/>
      <c r="C1539" s="9"/>
      <c r="D1539" s="9"/>
      <c r="E1539" s="9"/>
      <c r="F1539" s="9"/>
      <c r="G1539" s="9"/>
      <c r="H1539" s="8"/>
      <c r="I1539" s="8"/>
      <c r="J1539" s="8"/>
      <c r="K1539" s="8"/>
    </row>
    <row r="1540" spans="1:11" ht="15" customHeight="1" x14ac:dyDescent="0.25">
      <c r="A1540" s="40"/>
      <c r="B1540" s="9"/>
      <c r="C1540" s="9"/>
      <c r="D1540" s="9"/>
      <c r="E1540" s="9"/>
      <c r="F1540" s="9"/>
      <c r="G1540" s="9"/>
      <c r="H1540" s="8"/>
      <c r="I1540" s="8"/>
      <c r="J1540" s="8"/>
      <c r="K1540" s="8"/>
    </row>
    <row r="1541" spans="1:11" ht="15" customHeight="1" x14ac:dyDescent="0.25">
      <c r="A1541" s="40"/>
      <c r="B1541" s="9"/>
      <c r="C1541" s="9"/>
      <c r="D1541" s="9"/>
      <c r="E1541" s="9"/>
      <c r="F1541" s="9"/>
      <c r="G1541" s="9"/>
      <c r="H1541" s="8"/>
      <c r="I1541" s="8"/>
      <c r="J1541" s="8"/>
      <c r="K1541" s="8"/>
    </row>
    <row r="1542" spans="1:11" ht="15" customHeight="1" x14ac:dyDescent="0.25">
      <c r="A1542" s="40"/>
      <c r="B1542" s="9"/>
      <c r="C1542" s="9"/>
      <c r="D1542" s="9"/>
      <c r="E1542" s="9"/>
      <c r="F1542" s="9"/>
      <c r="G1542" s="9"/>
      <c r="H1542" s="8"/>
      <c r="I1542" s="8"/>
      <c r="J1542" s="8"/>
      <c r="K1542" s="8"/>
    </row>
    <row r="1543" spans="1:11" ht="15" customHeight="1" x14ac:dyDescent="0.25">
      <c r="A1543" s="40"/>
      <c r="B1543" s="9"/>
      <c r="C1543" s="9"/>
      <c r="D1543" s="9"/>
      <c r="E1543" s="9"/>
      <c r="F1543" s="9"/>
      <c r="G1543" s="9"/>
      <c r="H1543" s="8"/>
      <c r="I1543" s="8"/>
      <c r="J1543" s="8"/>
      <c r="K1543" s="8"/>
    </row>
    <row r="1544" spans="1:11" ht="15" customHeight="1" x14ac:dyDescent="0.25">
      <c r="A1544" s="40"/>
      <c r="B1544" s="9"/>
      <c r="C1544" s="9"/>
      <c r="D1544" s="9"/>
      <c r="E1544" s="9"/>
      <c r="F1544" s="9"/>
      <c r="G1544" s="9"/>
      <c r="H1544" s="8"/>
      <c r="I1544" s="8"/>
      <c r="J1544" s="8"/>
      <c r="K1544" s="8"/>
    </row>
    <row r="1545" spans="1:11" ht="15" customHeight="1" x14ac:dyDescent="0.25">
      <c r="A1545" s="40"/>
      <c r="B1545" s="9"/>
      <c r="C1545" s="9"/>
      <c r="D1545" s="9"/>
      <c r="E1545" s="9"/>
      <c r="F1545" s="9"/>
      <c r="G1545" s="9"/>
      <c r="H1545" s="8"/>
      <c r="I1545" s="8"/>
      <c r="J1545" s="8"/>
      <c r="K1545" s="8"/>
    </row>
    <row r="1546" spans="1:11" ht="15" customHeight="1" x14ac:dyDescent="0.25">
      <c r="A1546" s="40"/>
      <c r="B1546" s="9"/>
      <c r="C1546" s="9"/>
      <c r="D1546" s="9"/>
      <c r="E1546" s="9"/>
      <c r="F1546" s="9"/>
      <c r="G1546" s="9"/>
      <c r="H1546" s="8"/>
      <c r="I1546" s="8"/>
      <c r="J1546" s="8"/>
      <c r="K1546" s="8"/>
    </row>
    <row r="1547" spans="1:11" ht="15" customHeight="1" x14ac:dyDescent="0.25">
      <c r="A1547" s="40"/>
      <c r="B1547" s="9"/>
      <c r="C1547" s="9"/>
      <c r="D1547" s="9"/>
      <c r="E1547" s="9"/>
      <c r="F1547" s="9"/>
      <c r="G1547" s="9"/>
      <c r="H1547" s="8"/>
      <c r="I1547" s="8"/>
      <c r="J1547" s="8"/>
      <c r="K1547" s="8"/>
    </row>
    <row r="1548" spans="1:11" ht="15" customHeight="1" x14ac:dyDescent="0.25">
      <c r="A1548" s="40"/>
      <c r="B1548" s="9"/>
      <c r="C1548" s="9"/>
      <c r="D1548" s="9"/>
      <c r="E1548" s="9"/>
      <c r="F1548" s="9"/>
      <c r="G1548" s="9"/>
      <c r="H1548" s="8"/>
      <c r="I1548" s="8"/>
      <c r="J1548" s="8"/>
      <c r="K1548" s="8"/>
    </row>
    <row r="1549" spans="1:11" ht="15" customHeight="1" x14ac:dyDescent="0.25">
      <c r="A1549" s="40"/>
      <c r="B1549" s="9"/>
      <c r="C1549" s="9"/>
      <c r="D1549" s="9"/>
      <c r="E1549" s="9"/>
      <c r="F1549" s="9"/>
      <c r="G1549" s="9"/>
      <c r="H1549" s="8"/>
      <c r="I1549" s="8"/>
      <c r="J1549" s="8"/>
      <c r="K1549" s="8"/>
    </row>
    <row r="1550" spans="1:11" ht="15" customHeight="1" x14ac:dyDescent="0.25">
      <c r="A1550" s="40"/>
      <c r="B1550" s="9"/>
      <c r="C1550" s="9"/>
      <c r="D1550" s="9"/>
      <c r="E1550" s="9"/>
      <c r="F1550" s="9"/>
      <c r="G1550" s="9"/>
      <c r="H1550" s="8"/>
      <c r="I1550" s="8"/>
      <c r="J1550" s="8"/>
      <c r="K1550" s="8"/>
    </row>
    <row r="1551" spans="1:11" ht="15" customHeight="1" x14ac:dyDescent="0.25">
      <c r="A1551" s="40"/>
      <c r="B1551" s="9"/>
      <c r="C1551" s="9"/>
      <c r="D1551" s="9"/>
      <c r="E1551" s="9"/>
      <c r="F1551" s="9"/>
      <c r="G1551" s="9"/>
      <c r="H1551" s="8"/>
      <c r="I1551" s="8"/>
      <c r="J1551" s="8"/>
      <c r="K1551" s="8"/>
    </row>
    <row r="1552" spans="1:11" ht="15" customHeight="1" x14ac:dyDescent="0.25">
      <c r="A1552" s="40"/>
      <c r="B1552" s="9"/>
      <c r="C1552" s="9"/>
      <c r="D1552" s="9"/>
      <c r="E1552" s="9"/>
      <c r="F1552" s="9"/>
      <c r="G1552" s="9"/>
      <c r="H1552" s="8"/>
      <c r="I1552" s="8"/>
      <c r="J1552" s="8"/>
      <c r="K1552" s="8"/>
    </row>
    <row r="1553" spans="1:11" ht="15" customHeight="1" x14ac:dyDescent="0.25">
      <c r="A1553" s="40"/>
      <c r="B1553" s="9"/>
      <c r="C1553" s="9"/>
      <c r="D1553" s="9"/>
      <c r="E1553" s="9"/>
      <c r="F1553" s="9"/>
      <c r="G1553" s="9"/>
      <c r="H1553" s="8"/>
      <c r="I1553" s="8"/>
      <c r="J1553" s="8"/>
      <c r="K1553" s="8"/>
    </row>
    <row r="1554" spans="1:11" ht="15" customHeight="1" x14ac:dyDescent="0.25">
      <c r="A1554" s="40"/>
      <c r="B1554" s="9"/>
      <c r="C1554" s="9"/>
      <c r="D1554" s="9"/>
      <c r="E1554" s="9"/>
      <c r="F1554" s="9"/>
      <c r="G1554" s="9"/>
      <c r="H1554" s="8"/>
      <c r="I1554" s="8"/>
      <c r="J1554" s="8"/>
      <c r="K1554" s="8"/>
    </row>
    <row r="1555" spans="1:11" ht="15" customHeight="1" x14ac:dyDescent="0.25">
      <c r="A1555" s="40"/>
      <c r="B1555" s="9"/>
      <c r="C1555" s="9"/>
      <c r="D1555" s="9"/>
      <c r="E1555" s="9"/>
      <c r="F1555" s="9"/>
      <c r="G1555" s="9"/>
      <c r="H1555" s="8"/>
      <c r="I1555" s="8"/>
      <c r="J1555" s="8"/>
      <c r="K1555" s="8"/>
    </row>
    <row r="1556" spans="1:11" ht="15" customHeight="1" x14ac:dyDescent="0.25">
      <c r="A1556" s="40"/>
      <c r="B1556" s="9"/>
      <c r="C1556" s="9"/>
      <c r="D1556" s="9"/>
      <c r="E1556" s="9"/>
      <c r="F1556" s="9"/>
      <c r="G1556" s="9"/>
      <c r="H1556" s="8"/>
      <c r="I1556" s="8"/>
      <c r="J1556" s="8"/>
      <c r="K1556" s="8"/>
    </row>
    <row r="1557" spans="1:11" ht="15" customHeight="1" x14ac:dyDescent="0.25">
      <c r="A1557" s="40"/>
      <c r="B1557" s="9"/>
      <c r="C1557" s="9"/>
      <c r="D1557" s="9"/>
      <c r="E1557" s="9"/>
      <c r="F1557" s="9"/>
      <c r="G1557" s="9"/>
      <c r="H1557" s="8"/>
      <c r="I1557" s="8"/>
      <c r="J1557" s="8"/>
      <c r="K1557" s="8"/>
    </row>
    <row r="1558" spans="1:11" ht="15" customHeight="1" x14ac:dyDescent="0.25">
      <c r="A1558" s="40"/>
      <c r="B1558" s="9"/>
      <c r="C1558" s="9"/>
      <c r="D1558" s="9"/>
      <c r="E1558" s="9"/>
      <c r="F1558" s="9"/>
      <c r="G1558" s="9"/>
      <c r="H1558" s="8"/>
      <c r="I1558" s="8"/>
      <c r="J1558" s="8"/>
      <c r="K1558" s="8"/>
    </row>
    <row r="1559" spans="1:11" ht="15" customHeight="1" x14ac:dyDescent="0.25">
      <c r="A1559" s="40"/>
      <c r="B1559" s="9"/>
      <c r="C1559" s="9"/>
      <c r="D1559" s="9"/>
      <c r="E1559" s="9"/>
      <c r="F1559" s="9"/>
      <c r="G1559" s="9"/>
      <c r="H1559" s="8"/>
      <c r="I1559" s="8"/>
      <c r="J1559" s="8"/>
      <c r="K1559" s="8"/>
    </row>
    <row r="1560" spans="1:11" ht="15" customHeight="1" x14ac:dyDescent="0.25">
      <c r="A1560" s="40"/>
      <c r="B1560" s="9"/>
      <c r="C1560" s="9"/>
      <c r="D1560" s="9"/>
      <c r="E1560" s="9"/>
      <c r="F1560" s="9"/>
      <c r="G1560" s="9"/>
      <c r="H1560" s="8"/>
      <c r="I1560" s="8"/>
      <c r="J1560" s="8"/>
      <c r="K1560" s="8"/>
    </row>
    <row r="1561" spans="1:11" ht="15" customHeight="1" x14ac:dyDescent="0.25">
      <c r="A1561" s="40"/>
      <c r="B1561" s="9"/>
      <c r="C1561" s="9"/>
      <c r="D1561" s="9"/>
      <c r="E1561" s="9"/>
      <c r="F1561" s="9"/>
      <c r="G1561" s="9"/>
      <c r="H1561" s="8"/>
      <c r="I1561" s="8"/>
      <c r="J1561" s="8"/>
      <c r="K1561" s="8"/>
    </row>
    <row r="1562" spans="1:11" ht="15" customHeight="1" x14ac:dyDescent="0.25">
      <c r="A1562" s="40"/>
      <c r="B1562" s="9"/>
      <c r="C1562" s="9"/>
      <c r="D1562" s="9"/>
      <c r="E1562" s="9"/>
      <c r="F1562" s="9"/>
      <c r="G1562" s="9"/>
      <c r="H1562" s="8"/>
      <c r="I1562" s="8"/>
      <c r="J1562" s="8"/>
      <c r="K1562" s="8"/>
    </row>
    <row r="1563" spans="1:11" ht="15" customHeight="1" x14ac:dyDescent="0.25">
      <c r="A1563" s="40"/>
      <c r="B1563" s="9"/>
      <c r="C1563" s="9"/>
      <c r="D1563" s="9"/>
      <c r="E1563" s="9"/>
      <c r="F1563" s="9"/>
      <c r="G1563" s="9"/>
      <c r="H1563" s="8"/>
      <c r="I1563" s="8"/>
      <c r="J1563" s="8"/>
      <c r="K1563" s="8"/>
    </row>
    <row r="1564" spans="1:11" ht="15" customHeight="1" x14ac:dyDescent="0.25">
      <c r="A1564" s="40"/>
      <c r="B1564" s="9"/>
      <c r="C1564" s="9"/>
      <c r="D1564" s="9"/>
      <c r="E1564" s="9"/>
      <c r="F1564" s="9"/>
      <c r="G1564" s="9"/>
      <c r="H1564" s="8"/>
      <c r="I1564" s="8"/>
      <c r="J1564" s="8"/>
      <c r="K1564" s="8"/>
    </row>
    <row r="1565" spans="1:11" ht="15" customHeight="1" x14ac:dyDescent="0.25">
      <c r="A1565" s="40"/>
      <c r="B1565" s="9"/>
      <c r="C1565" s="9"/>
      <c r="D1565" s="9"/>
      <c r="E1565" s="9"/>
      <c r="F1565" s="9"/>
      <c r="G1565" s="9"/>
      <c r="H1565" s="8"/>
      <c r="I1565" s="8"/>
      <c r="J1565" s="8"/>
      <c r="K1565" s="8"/>
    </row>
    <row r="1566" spans="1:11" ht="15" customHeight="1" x14ac:dyDescent="0.25">
      <c r="A1566" s="40"/>
      <c r="B1566" s="9"/>
      <c r="C1566" s="9"/>
      <c r="D1566" s="9"/>
      <c r="E1566" s="9"/>
      <c r="F1566" s="9"/>
      <c r="G1566" s="9"/>
      <c r="H1566" s="8"/>
      <c r="I1566" s="8"/>
      <c r="J1566" s="8"/>
      <c r="K1566" s="8"/>
    </row>
    <row r="1567" spans="1:11" ht="15" customHeight="1" x14ac:dyDescent="0.25">
      <c r="A1567" s="40"/>
      <c r="B1567" s="9"/>
      <c r="C1567" s="9"/>
      <c r="D1567" s="9"/>
      <c r="E1567" s="9"/>
      <c r="F1567" s="9"/>
      <c r="G1567" s="9"/>
      <c r="H1567" s="8"/>
      <c r="I1567" s="8"/>
      <c r="J1567" s="8"/>
      <c r="K1567" s="8"/>
    </row>
    <row r="1568" spans="1:11" ht="15" customHeight="1" x14ac:dyDescent="0.25">
      <c r="A1568" s="40"/>
      <c r="B1568" s="9"/>
      <c r="C1568" s="9"/>
      <c r="D1568" s="9"/>
      <c r="E1568" s="9"/>
      <c r="F1568" s="9"/>
      <c r="G1568" s="9"/>
      <c r="H1568" s="8"/>
      <c r="I1568" s="8"/>
      <c r="J1568" s="8"/>
      <c r="K1568" s="8"/>
    </row>
    <row r="1569" spans="1:11" ht="15" customHeight="1" x14ac:dyDescent="0.25">
      <c r="A1569" s="40"/>
      <c r="B1569" s="9"/>
      <c r="C1569" s="9"/>
      <c r="D1569" s="9"/>
      <c r="E1569" s="9"/>
      <c r="F1569" s="9"/>
      <c r="G1569" s="9"/>
      <c r="H1569" s="8"/>
      <c r="I1569" s="8"/>
      <c r="J1569" s="8"/>
      <c r="K1569" s="8"/>
    </row>
    <row r="1570" spans="1:11" ht="15" customHeight="1" x14ac:dyDescent="0.25">
      <c r="A1570" s="40"/>
      <c r="B1570" s="9"/>
      <c r="C1570" s="9"/>
      <c r="D1570" s="9"/>
      <c r="E1570" s="9"/>
      <c r="F1570" s="9"/>
      <c r="G1570" s="9"/>
      <c r="H1570" s="8"/>
      <c r="I1570" s="8"/>
      <c r="J1570" s="8"/>
      <c r="K1570" s="8"/>
    </row>
    <row r="1571" spans="1:11" ht="15" customHeight="1" x14ac:dyDescent="0.25">
      <c r="A1571" s="40"/>
      <c r="B1571" s="9"/>
      <c r="C1571" s="9"/>
      <c r="D1571" s="9"/>
      <c r="E1571" s="9"/>
      <c r="F1571" s="9"/>
      <c r="G1571" s="9"/>
      <c r="H1571" s="8"/>
      <c r="I1571" s="8"/>
      <c r="J1571" s="8"/>
      <c r="K1571" s="8"/>
    </row>
    <row r="1572" spans="1:11" ht="15" customHeight="1" x14ac:dyDescent="0.25">
      <c r="A1572" s="40"/>
      <c r="B1572" s="9"/>
      <c r="C1572" s="9"/>
      <c r="D1572" s="9"/>
      <c r="E1572" s="9"/>
      <c r="F1572" s="9"/>
      <c r="G1572" s="9"/>
      <c r="H1572" s="8"/>
      <c r="I1572" s="8"/>
      <c r="J1572" s="8"/>
      <c r="K1572" s="8"/>
    </row>
    <row r="1573" spans="1:11" ht="15" customHeight="1" x14ac:dyDescent="0.25">
      <c r="A1573" s="40"/>
      <c r="B1573" s="9"/>
      <c r="C1573" s="9"/>
      <c r="D1573" s="9"/>
      <c r="E1573" s="9"/>
      <c r="F1573" s="9"/>
      <c r="G1573" s="9"/>
      <c r="H1573" s="8"/>
      <c r="I1573" s="8"/>
      <c r="J1573" s="8"/>
      <c r="K1573" s="8"/>
    </row>
    <row r="1574" spans="1:11" ht="15" customHeight="1" x14ac:dyDescent="0.25">
      <c r="A1574" s="40"/>
      <c r="B1574" s="9"/>
      <c r="C1574" s="9"/>
      <c r="D1574" s="9"/>
      <c r="E1574" s="9"/>
      <c r="F1574" s="9"/>
      <c r="G1574" s="9"/>
      <c r="H1574" s="8"/>
      <c r="I1574" s="8"/>
      <c r="J1574" s="8"/>
      <c r="K1574" s="8"/>
    </row>
    <row r="1575" spans="1:11" ht="15" customHeight="1" x14ac:dyDescent="0.25">
      <c r="A1575" s="40"/>
      <c r="B1575" s="9"/>
      <c r="C1575" s="9"/>
      <c r="D1575" s="9"/>
      <c r="E1575" s="9"/>
      <c r="F1575" s="9"/>
      <c r="G1575" s="9"/>
      <c r="H1575" s="8"/>
      <c r="I1575" s="8"/>
      <c r="J1575" s="8"/>
      <c r="K1575" s="8"/>
    </row>
    <row r="1576" spans="1:11" ht="15" customHeight="1" x14ac:dyDescent="0.25">
      <c r="A1576" s="40"/>
      <c r="B1576" s="9"/>
      <c r="C1576" s="9"/>
      <c r="D1576" s="9"/>
      <c r="E1576" s="9"/>
      <c r="F1576" s="9"/>
      <c r="G1576" s="9"/>
      <c r="H1576" s="8"/>
      <c r="I1576" s="8"/>
      <c r="J1576" s="8"/>
      <c r="K1576" s="8"/>
    </row>
    <row r="1577" spans="1:11" ht="15" customHeight="1" x14ac:dyDescent="0.25">
      <c r="A1577" s="40"/>
      <c r="B1577" s="9"/>
      <c r="C1577" s="9"/>
      <c r="D1577" s="9"/>
      <c r="E1577" s="9"/>
      <c r="F1577" s="9"/>
      <c r="G1577" s="9"/>
      <c r="H1577" s="8"/>
      <c r="I1577" s="8"/>
      <c r="J1577" s="8"/>
      <c r="K1577" s="8"/>
    </row>
    <row r="1578" spans="1:11" ht="15" customHeight="1" x14ac:dyDescent="0.25">
      <c r="A1578" s="40"/>
      <c r="B1578" s="9"/>
      <c r="C1578" s="9"/>
      <c r="D1578" s="9"/>
      <c r="E1578" s="9"/>
      <c r="F1578" s="9"/>
      <c r="G1578" s="9"/>
      <c r="H1578" s="8"/>
      <c r="I1578" s="8"/>
      <c r="J1578" s="8"/>
      <c r="K1578" s="8"/>
    </row>
    <row r="1579" spans="1:11" ht="15" customHeight="1" x14ac:dyDescent="0.25">
      <c r="A1579" s="40"/>
      <c r="B1579" s="9"/>
      <c r="C1579" s="9"/>
      <c r="D1579" s="9"/>
      <c r="E1579" s="9"/>
      <c r="F1579" s="9"/>
      <c r="G1579" s="9"/>
      <c r="H1579" s="8"/>
      <c r="I1579" s="8"/>
      <c r="J1579" s="8"/>
      <c r="K1579" s="8"/>
    </row>
    <row r="1580" spans="1:11" ht="15" customHeight="1" x14ac:dyDescent="0.25">
      <c r="A1580" s="40"/>
      <c r="B1580" s="9"/>
      <c r="C1580" s="9"/>
      <c r="D1580" s="9"/>
      <c r="E1580" s="9"/>
      <c r="F1580" s="9"/>
      <c r="G1580" s="9"/>
      <c r="H1580" s="8"/>
      <c r="I1580" s="8"/>
      <c r="J1580" s="8"/>
      <c r="K1580" s="8"/>
    </row>
    <row r="1581" spans="1:11" ht="15" customHeight="1" x14ac:dyDescent="0.25">
      <c r="A1581" s="40"/>
      <c r="B1581" s="9"/>
      <c r="C1581" s="9"/>
      <c r="D1581" s="9"/>
      <c r="E1581" s="9"/>
      <c r="F1581" s="9"/>
      <c r="G1581" s="9"/>
      <c r="H1581" s="8"/>
      <c r="I1581" s="8"/>
      <c r="J1581" s="8"/>
      <c r="K1581" s="8"/>
    </row>
    <row r="1582" spans="1:11" ht="15" customHeight="1" x14ac:dyDescent="0.25">
      <c r="A1582" s="40"/>
      <c r="B1582" s="9"/>
      <c r="C1582" s="9"/>
      <c r="D1582" s="9"/>
      <c r="E1582" s="9"/>
      <c r="F1582" s="9"/>
      <c r="G1582" s="9"/>
      <c r="H1582" s="8"/>
      <c r="I1582" s="8"/>
      <c r="J1582" s="8"/>
      <c r="K1582" s="8"/>
    </row>
    <row r="1583" spans="1:11" ht="15" customHeight="1" x14ac:dyDescent="0.25">
      <c r="A1583" s="40"/>
      <c r="B1583" s="9"/>
      <c r="C1583" s="9"/>
      <c r="D1583" s="9"/>
      <c r="E1583" s="9"/>
      <c r="F1583" s="9"/>
      <c r="G1583" s="9"/>
      <c r="H1583" s="8"/>
      <c r="I1583" s="8"/>
      <c r="J1583" s="8"/>
      <c r="K1583" s="8"/>
    </row>
    <row r="1584" spans="1:11" ht="15" customHeight="1" x14ac:dyDescent="0.25">
      <c r="A1584" s="40"/>
      <c r="B1584" s="9"/>
      <c r="C1584" s="9"/>
      <c r="D1584" s="9"/>
      <c r="E1584" s="9"/>
      <c r="F1584" s="9"/>
      <c r="G1584" s="9"/>
      <c r="H1584" s="8"/>
      <c r="I1584" s="8"/>
      <c r="J1584" s="8"/>
      <c r="K1584" s="8"/>
    </row>
    <row r="1585" spans="1:20" ht="15" customHeight="1" x14ac:dyDescent="0.25">
      <c r="A1585" s="40"/>
      <c r="B1585" s="9"/>
      <c r="C1585" s="9"/>
      <c r="D1585" s="9"/>
      <c r="E1585" s="9"/>
      <c r="F1585" s="9"/>
      <c r="G1585" s="9"/>
      <c r="H1585" s="8"/>
      <c r="I1585" s="8"/>
      <c r="J1585" s="8"/>
      <c r="K1585" s="8"/>
    </row>
    <row r="1586" spans="1:20" ht="15" customHeight="1" x14ac:dyDescent="0.25">
      <c r="A1586" s="40"/>
      <c r="B1586" s="9"/>
      <c r="C1586" s="9"/>
      <c r="D1586" s="9"/>
      <c r="E1586" s="9"/>
      <c r="F1586" s="9"/>
      <c r="G1586" s="9"/>
      <c r="H1586" s="8"/>
      <c r="I1586" s="8"/>
      <c r="J1586" s="8"/>
      <c r="K1586" s="8"/>
    </row>
    <row r="1587" spans="1:20" ht="15" customHeight="1" x14ac:dyDescent="0.25">
      <c r="A1587" s="40"/>
      <c r="B1587" s="9"/>
      <c r="C1587" s="9"/>
      <c r="D1587" s="9"/>
      <c r="E1587" s="9"/>
      <c r="F1587" s="9"/>
      <c r="G1587" s="9"/>
      <c r="H1587" s="8"/>
      <c r="I1587" s="8"/>
      <c r="J1587" s="8"/>
      <c r="K1587" s="8"/>
    </row>
    <row r="1588" spans="1:20" ht="15" customHeight="1" x14ac:dyDescent="0.25">
      <c r="A1588" s="40"/>
      <c r="B1588" s="9"/>
      <c r="C1588" s="9"/>
      <c r="D1588" s="9"/>
      <c r="E1588" s="9"/>
      <c r="F1588" s="9"/>
      <c r="G1588" s="9"/>
      <c r="H1588" s="8"/>
      <c r="I1588" s="8"/>
      <c r="J1588" s="8"/>
      <c r="K1588" s="8"/>
    </row>
    <row r="1589" spans="1:20" ht="15" customHeight="1" x14ac:dyDescent="0.25">
      <c r="A1589" s="40"/>
      <c r="B1589" s="9"/>
      <c r="C1589" s="9"/>
      <c r="D1589" s="9"/>
      <c r="E1589" s="9"/>
      <c r="F1589" s="9"/>
      <c r="G1589" s="9"/>
      <c r="H1589" s="8"/>
      <c r="I1589" s="8"/>
      <c r="J1589" s="8"/>
      <c r="K1589" s="8"/>
    </row>
    <row r="1590" spans="1:20" ht="15" customHeight="1" x14ac:dyDescent="0.25">
      <c r="A1590" s="40"/>
      <c r="B1590" s="9"/>
      <c r="C1590" s="9"/>
      <c r="D1590" s="9"/>
      <c r="E1590" s="9"/>
      <c r="F1590" s="9"/>
      <c r="G1590" s="9"/>
      <c r="H1590" s="8"/>
      <c r="I1590" s="8"/>
      <c r="J1590" s="8"/>
      <c r="K1590" s="8"/>
    </row>
    <row r="1591" spans="1:20" ht="15" customHeight="1" thickBot="1" x14ac:dyDescent="0.3">
      <c r="A1591" s="40"/>
      <c r="B1591" s="9"/>
      <c r="C1591" s="9"/>
      <c r="D1591" s="9"/>
      <c r="E1591" s="9"/>
      <c r="F1591" s="9"/>
      <c r="G1591" s="9"/>
      <c r="H1591" s="8"/>
      <c r="I1591" s="8"/>
      <c r="J1591" s="8"/>
      <c r="K1591" s="8"/>
    </row>
    <row r="1592" spans="1:20" ht="15" customHeight="1" thickBot="1" x14ac:dyDescent="0.3">
      <c r="A1592" s="40"/>
      <c r="B1592" s="9"/>
      <c r="C1592" s="9"/>
      <c r="D1592" s="9"/>
      <c r="E1592" s="9"/>
      <c r="F1592" s="9"/>
      <c r="G1592" s="9"/>
      <c r="H1592" s="8"/>
      <c r="I1592" s="8"/>
      <c r="J1592" s="8"/>
      <c r="K1592" s="8"/>
      <c r="L1592" s="3"/>
      <c r="M1592" s="3"/>
    </row>
    <row r="1593" spans="1:20" ht="15" customHeight="1" thickBot="1" x14ac:dyDescent="0.3">
      <c r="A1593" s="39"/>
      <c r="B1593" s="38"/>
      <c r="C1593" s="38"/>
      <c r="D1593" s="38"/>
      <c r="E1593" s="38"/>
      <c r="F1593" s="38"/>
      <c r="G1593" s="38"/>
      <c r="H1593" s="8"/>
      <c r="I1593" s="8"/>
      <c r="J1593" s="8"/>
      <c r="K1593" s="8"/>
      <c r="L1593" s="3"/>
      <c r="M1593" s="3"/>
    </row>
    <row r="1594" spans="1:20" ht="15" customHeight="1" thickBot="1" x14ac:dyDescent="0.3">
      <c r="A1594" s="39"/>
      <c r="B1594" s="38"/>
      <c r="C1594" s="38"/>
      <c r="D1594" s="38"/>
      <c r="E1594" s="38"/>
      <c r="F1594" s="38"/>
      <c r="G1594" s="38"/>
      <c r="H1594" s="8"/>
      <c r="I1594" s="8"/>
      <c r="J1594" s="8"/>
      <c r="K1594" s="8"/>
      <c r="L1594" s="3"/>
      <c r="M1594" s="3"/>
    </row>
    <row r="1595" spans="1:20" ht="15" customHeight="1" thickBot="1" x14ac:dyDescent="0.3">
      <c r="A1595" s="39"/>
      <c r="B1595" s="38"/>
      <c r="C1595" s="38"/>
      <c r="D1595" s="38"/>
      <c r="E1595" s="38"/>
      <c r="F1595" s="38"/>
      <c r="G1595" s="38"/>
      <c r="H1595" s="8"/>
      <c r="I1595" s="8"/>
      <c r="J1595" s="8"/>
      <c r="K1595" s="8"/>
      <c r="L1595" s="3"/>
      <c r="M1595" s="3"/>
    </row>
    <row r="1596" spans="1:20" ht="15" customHeight="1" thickBot="1" x14ac:dyDescent="0.3">
      <c r="A1596" s="39"/>
      <c r="B1596" s="38"/>
      <c r="C1596" s="38"/>
      <c r="D1596" s="38"/>
      <c r="E1596" s="38"/>
      <c r="F1596" s="38"/>
      <c r="G1596" s="38"/>
      <c r="H1596" s="8"/>
      <c r="I1596" s="8"/>
      <c r="J1596" s="8"/>
      <c r="K1596" s="8"/>
      <c r="L1596" s="3"/>
      <c r="M1596" s="3"/>
    </row>
    <row r="1597" spans="1:20" ht="15" customHeight="1" thickBot="1" x14ac:dyDescent="0.3">
      <c r="A1597" s="39"/>
      <c r="B1597" s="38"/>
      <c r="C1597" s="38"/>
      <c r="D1597" s="38"/>
      <c r="E1597" s="38"/>
      <c r="F1597" s="38"/>
      <c r="G1597" s="38"/>
      <c r="H1597" s="8"/>
      <c r="I1597" s="8"/>
      <c r="J1597" s="8"/>
      <c r="K1597" s="8"/>
      <c r="L1597" s="3"/>
      <c r="M1597" s="3"/>
    </row>
    <row r="1598" spans="1:20" ht="15" customHeight="1" thickBot="1" x14ac:dyDescent="0.3">
      <c r="A1598" s="39"/>
      <c r="B1598" s="38"/>
      <c r="C1598" s="38"/>
      <c r="D1598" s="38"/>
      <c r="E1598" s="38"/>
      <c r="F1598" s="38"/>
      <c r="G1598" s="38"/>
      <c r="H1598" s="8"/>
      <c r="I1598" s="8"/>
      <c r="J1598" s="8"/>
      <c r="K1598" s="8"/>
      <c r="L1598" s="3"/>
      <c r="M1598" s="3"/>
    </row>
    <row r="1599" spans="1:20" ht="15" customHeight="1" thickBot="1" x14ac:dyDescent="0.3">
      <c r="A1599" s="39"/>
      <c r="B1599" s="38"/>
      <c r="C1599" s="38"/>
      <c r="D1599" s="38"/>
      <c r="E1599" s="38"/>
      <c r="F1599" s="38"/>
      <c r="G1599" s="38"/>
      <c r="H1599" s="8"/>
      <c r="I1599" s="8"/>
      <c r="J1599" s="8"/>
      <c r="K1599" s="8"/>
      <c r="L1599" s="3"/>
      <c r="M1599" s="3"/>
    </row>
    <row r="1600" spans="1:20" ht="15.75" thickBot="1" x14ac:dyDescent="0.3">
      <c r="A1600" s="39"/>
      <c r="B1600" s="38"/>
      <c r="C1600" s="38"/>
      <c r="D1600" s="38"/>
      <c r="E1600" s="38"/>
      <c r="F1600" s="38"/>
      <c r="G1600" s="38"/>
      <c r="H1600" s="8"/>
      <c r="I1600" s="8"/>
      <c r="J1600" s="8"/>
      <c r="K1600" s="8"/>
      <c r="L1600" s="3"/>
      <c r="M1600" s="3"/>
      <c r="N1600" s="3"/>
      <c r="O1600" s="4"/>
      <c r="P1600" s="5"/>
      <c r="Q1600" s="5"/>
      <c r="R1600" s="5"/>
      <c r="S1600" s="5"/>
      <c r="T1600" s="5"/>
    </row>
    <row r="1601" spans="1:20" ht="15.75" thickBot="1" x14ac:dyDescent="0.3">
      <c r="A1601" s="39"/>
      <c r="B1601" s="38"/>
      <c r="C1601" s="38"/>
      <c r="D1601" s="38"/>
      <c r="E1601" s="38"/>
      <c r="F1601" s="38"/>
      <c r="G1601" s="38"/>
      <c r="H1601" s="8"/>
      <c r="I1601" s="8"/>
      <c r="J1601" s="8"/>
      <c r="K1601" s="8"/>
      <c r="L1601" s="3"/>
      <c r="M1601" s="3"/>
      <c r="N1601" s="3"/>
      <c r="O1601" s="4"/>
      <c r="P1601" s="5"/>
      <c r="Q1601" s="5"/>
      <c r="R1601" s="5"/>
      <c r="S1601" s="5"/>
      <c r="T1601" s="5"/>
    </row>
    <row r="1602" spans="1:20" ht="15.75" thickBot="1" x14ac:dyDescent="0.3">
      <c r="A1602" s="39"/>
      <c r="B1602" s="38"/>
      <c r="C1602" s="38"/>
      <c r="D1602" s="38"/>
      <c r="E1602" s="38"/>
      <c r="F1602" s="38"/>
      <c r="G1602" s="38"/>
      <c r="H1602" s="8"/>
      <c r="I1602" s="8"/>
      <c r="J1602" s="8"/>
      <c r="K1602" s="8"/>
      <c r="L1602" s="3"/>
      <c r="M1602" s="3"/>
      <c r="N1602" s="3"/>
      <c r="O1602" s="4"/>
      <c r="P1602" s="5"/>
      <c r="Q1602" s="5"/>
      <c r="R1602" s="5"/>
      <c r="S1602" s="5"/>
      <c r="T1602" s="5"/>
    </row>
    <row r="1603" spans="1:20" ht="15.75" thickBot="1" x14ac:dyDescent="0.3">
      <c r="A1603" s="39"/>
      <c r="B1603" s="38"/>
      <c r="C1603" s="38"/>
      <c r="D1603" s="38"/>
      <c r="E1603" s="38"/>
      <c r="F1603" s="38"/>
      <c r="G1603" s="38"/>
      <c r="H1603" s="8"/>
      <c r="I1603" s="8"/>
      <c r="J1603" s="8"/>
      <c r="K1603" s="8"/>
      <c r="L1603" s="3"/>
      <c r="M1603" s="3"/>
      <c r="N1603" s="3"/>
      <c r="O1603" s="6"/>
      <c r="P1603" s="5"/>
      <c r="Q1603" s="5"/>
      <c r="R1603" s="5"/>
      <c r="S1603" s="5"/>
      <c r="T1603" s="5"/>
    </row>
    <row r="1604" spans="1:20" ht="15.75" thickBot="1" x14ac:dyDescent="0.3">
      <c r="A1604" s="39"/>
      <c r="B1604" s="38"/>
      <c r="C1604" s="38"/>
      <c r="D1604" s="38"/>
      <c r="E1604" s="38"/>
      <c r="F1604" s="38"/>
      <c r="G1604" s="38"/>
      <c r="H1604" s="8"/>
      <c r="I1604" s="8"/>
      <c r="J1604" s="8"/>
      <c r="K1604" s="8"/>
      <c r="L1604" s="3"/>
      <c r="M1604" s="3"/>
      <c r="N1604" s="3"/>
      <c r="O1604" s="4"/>
      <c r="P1604" s="5"/>
      <c r="Q1604" s="5"/>
      <c r="R1604" s="5"/>
      <c r="S1604" s="5"/>
      <c r="T1604" s="5"/>
    </row>
    <row r="1605" spans="1:20" ht="15.75" thickBot="1" x14ac:dyDescent="0.3">
      <c r="A1605" s="39"/>
      <c r="B1605" s="38"/>
      <c r="C1605" s="38"/>
      <c r="D1605" s="38"/>
      <c r="E1605" s="38"/>
      <c r="F1605" s="38"/>
      <c r="G1605" s="38"/>
      <c r="H1605" s="8"/>
      <c r="I1605" s="8"/>
      <c r="J1605" s="8"/>
      <c r="K1605" s="8"/>
      <c r="L1605" s="3"/>
      <c r="M1605" s="3"/>
      <c r="N1605" s="3"/>
      <c r="O1605" s="4"/>
      <c r="P1605" s="5"/>
      <c r="Q1605" s="5"/>
      <c r="R1605" s="5"/>
      <c r="S1605" s="5"/>
      <c r="T1605" s="5"/>
    </row>
    <row r="1606" spans="1:20" ht="15.75" thickBot="1" x14ac:dyDescent="0.3">
      <c r="A1606" s="39"/>
      <c r="B1606" s="38"/>
      <c r="C1606" s="38"/>
      <c r="D1606" s="38"/>
      <c r="E1606" s="38"/>
      <c r="F1606" s="38"/>
      <c r="G1606" s="38"/>
      <c r="H1606" s="8"/>
      <c r="I1606" s="8"/>
      <c r="J1606" s="8"/>
      <c r="K1606" s="8"/>
      <c r="L1606" s="3"/>
      <c r="M1606" s="3"/>
      <c r="N1606" s="3"/>
      <c r="O1606" s="6"/>
      <c r="P1606" s="5"/>
      <c r="Q1606" s="5"/>
      <c r="R1606" s="5"/>
      <c r="S1606" s="5"/>
      <c r="T1606" s="5"/>
    </row>
    <row r="1607" spans="1:20" ht="15.75" thickBot="1" x14ac:dyDescent="0.3">
      <c r="A1607" s="39"/>
      <c r="B1607" s="38"/>
      <c r="C1607" s="38"/>
      <c r="D1607" s="38"/>
      <c r="E1607" s="38"/>
      <c r="F1607" s="38"/>
      <c r="G1607" s="38"/>
      <c r="H1607" s="8"/>
      <c r="I1607" s="8"/>
      <c r="J1607" s="8"/>
      <c r="K1607" s="8"/>
      <c r="L1607" s="3"/>
      <c r="M1607" s="3"/>
      <c r="N1607" s="3"/>
      <c r="O1607" s="4"/>
      <c r="P1607" s="5"/>
      <c r="Q1607" s="5"/>
      <c r="R1607" s="5"/>
      <c r="S1607" s="5"/>
      <c r="T1607" s="5"/>
    </row>
    <row r="1608" spans="1:20" ht="15.75" thickBot="1" x14ac:dyDescent="0.3">
      <c r="A1608" s="39"/>
      <c r="B1608" s="38"/>
      <c r="C1608" s="38"/>
      <c r="D1608" s="38"/>
      <c r="E1608" s="38"/>
      <c r="F1608" s="38"/>
      <c r="G1608" s="38"/>
      <c r="H1608" s="8"/>
      <c r="I1608" s="8"/>
      <c r="J1608" s="8"/>
      <c r="K1608" s="8"/>
      <c r="L1608" s="3"/>
      <c r="M1608" s="3"/>
      <c r="N1608" s="3"/>
      <c r="O1608" s="4"/>
      <c r="P1608" s="5"/>
      <c r="Q1608" s="5"/>
      <c r="R1608" s="5"/>
      <c r="S1608" s="5"/>
      <c r="T1608" s="5"/>
    </row>
    <row r="1609" spans="1:20" ht="15.75" thickBot="1" x14ac:dyDescent="0.3">
      <c r="A1609" s="39"/>
      <c r="B1609" s="38"/>
      <c r="C1609" s="38"/>
      <c r="D1609" s="38"/>
      <c r="E1609" s="38"/>
      <c r="F1609" s="38"/>
      <c r="G1609" s="38"/>
      <c r="H1609" s="8"/>
      <c r="I1609" s="8"/>
      <c r="J1609" s="8"/>
      <c r="K1609" s="8"/>
      <c r="L1609" s="3"/>
      <c r="M1609" s="3"/>
      <c r="N1609" s="3"/>
      <c r="O1609" s="4"/>
      <c r="P1609" s="5"/>
      <c r="Q1609" s="5"/>
      <c r="R1609" s="5"/>
    </row>
    <row r="1610" spans="1:20" ht="15.75" thickBot="1" x14ac:dyDescent="0.3">
      <c r="A1610" s="39"/>
      <c r="B1610" s="38"/>
      <c r="C1610" s="38"/>
      <c r="D1610" s="38"/>
      <c r="E1610" s="38"/>
      <c r="F1610" s="38"/>
      <c r="G1610" s="38"/>
      <c r="H1610" s="8"/>
      <c r="I1610" s="8"/>
      <c r="J1610" s="8"/>
      <c r="K1610" s="8"/>
      <c r="L1610" s="3"/>
      <c r="M1610" s="3"/>
      <c r="N1610" s="3"/>
      <c r="O1610" s="4"/>
      <c r="P1610" s="5"/>
      <c r="Q1610" s="5"/>
      <c r="R1610" s="5"/>
      <c r="S1610" s="5"/>
      <c r="T1610" s="5"/>
    </row>
    <row r="1611" spans="1:20" ht="15.75" thickBot="1" x14ac:dyDescent="0.3">
      <c r="A1611" s="39"/>
      <c r="B1611" s="38"/>
      <c r="C1611" s="38"/>
      <c r="D1611" s="38"/>
      <c r="E1611" s="38"/>
      <c r="F1611" s="38"/>
      <c r="G1611" s="38"/>
      <c r="H1611" s="8"/>
      <c r="I1611" s="8"/>
      <c r="J1611" s="8"/>
      <c r="K1611" s="8"/>
      <c r="L1611" s="3"/>
      <c r="M1611" s="3"/>
      <c r="N1611" s="3"/>
      <c r="O1611" s="6"/>
      <c r="P1611" s="5"/>
      <c r="Q1611" s="5"/>
      <c r="R1611" s="5"/>
      <c r="S1611" s="5"/>
      <c r="T1611" s="5"/>
    </row>
    <row r="1612" spans="1:20" ht="15.75" thickBot="1" x14ac:dyDescent="0.3">
      <c r="A1612" s="39"/>
      <c r="B1612" s="38"/>
      <c r="C1612" s="38"/>
      <c r="D1612" s="38"/>
      <c r="E1612" s="38"/>
      <c r="F1612" s="38"/>
      <c r="G1612" s="38"/>
      <c r="H1612" s="8"/>
      <c r="I1612" s="8"/>
      <c r="J1612" s="8"/>
      <c r="K1612" s="8"/>
      <c r="L1612" s="3"/>
      <c r="M1612" s="3"/>
      <c r="N1612" s="3"/>
      <c r="O1612" s="4"/>
      <c r="P1612" s="5"/>
      <c r="Q1612" s="5"/>
      <c r="R1612" s="5"/>
      <c r="S1612" s="5"/>
      <c r="T1612" s="5"/>
    </row>
    <row r="1613" spans="1:20" ht="15.75" thickBot="1" x14ac:dyDescent="0.3">
      <c r="A1613" s="39"/>
      <c r="B1613" s="38"/>
      <c r="C1613" s="38"/>
      <c r="D1613" s="38"/>
      <c r="E1613" s="38"/>
      <c r="F1613" s="38"/>
      <c r="G1613" s="38"/>
      <c r="H1613" s="8"/>
      <c r="I1613" s="8"/>
      <c r="J1613" s="8"/>
      <c r="K1613" s="8"/>
      <c r="L1613" s="3"/>
      <c r="M1613" s="3"/>
      <c r="N1613" s="3"/>
      <c r="O1613" s="4"/>
      <c r="P1613" s="5"/>
      <c r="Q1613" s="5"/>
      <c r="R1613" s="5"/>
      <c r="S1613" s="5"/>
      <c r="T1613" s="5"/>
    </row>
    <row r="1614" spans="1:20" ht="15.75" thickBot="1" x14ac:dyDescent="0.3">
      <c r="A1614" s="39"/>
      <c r="B1614" s="38"/>
      <c r="C1614" s="38"/>
      <c r="D1614" s="38"/>
      <c r="E1614" s="38"/>
      <c r="F1614" s="38"/>
      <c r="G1614" s="38"/>
      <c r="H1614" s="8"/>
      <c r="I1614" s="8"/>
      <c r="J1614" s="8"/>
      <c r="K1614" s="8"/>
      <c r="L1614" s="3"/>
      <c r="M1614" s="3"/>
      <c r="N1614" s="3"/>
      <c r="O1614" s="4"/>
      <c r="P1614" s="5"/>
      <c r="Q1614" s="5"/>
      <c r="R1614" s="5"/>
      <c r="S1614" s="5"/>
      <c r="T1614" s="5"/>
    </row>
    <row r="1615" spans="1:20" ht="15.75" thickBot="1" x14ac:dyDescent="0.3">
      <c r="A1615" s="39"/>
      <c r="B1615" s="38"/>
      <c r="C1615" s="38"/>
      <c r="D1615" s="38"/>
      <c r="E1615" s="38"/>
      <c r="F1615" s="38"/>
      <c r="G1615" s="38"/>
      <c r="H1615" s="8"/>
      <c r="I1615" s="8"/>
      <c r="J1615" s="8"/>
      <c r="K1615" s="8"/>
      <c r="L1615" s="3"/>
      <c r="M1615" s="3"/>
      <c r="N1615" s="3"/>
      <c r="O1615" s="4"/>
      <c r="P1615" s="5"/>
      <c r="Q1615" s="5"/>
      <c r="R1615" s="5"/>
      <c r="S1615" s="5"/>
      <c r="T1615" s="5"/>
    </row>
    <row r="1616" spans="1:20" ht="15.75" thickBot="1" x14ac:dyDescent="0.3">
      <c r="A1616" s="39"/>
      <c r="B1616" s="38"/>
      <c r="C1616" s="38"/>
      <c r="D1616" s="38"/>
      <c r="E1616" s="38"/>
      <c r="F1616" s="38"/>
      <c r="G1616" s="38"/>
      <c r="H1616" s="8"/>
      <c r="I1616" s="8"/>
      <c r="J1616" s="8"/>
      <c r="K1616" s="8"/>
      <c r="L1616" s="3"/>
      <c r="M1616" s="3"/>
      <c r="N1616" s="3"/>
      <c r="O1616" s="4"/>
      <c r="P1616" s="5"/>
      <c r="Q1616" s="5"/>
      <c r="R1616" s="5"/>
      <c r="S1616" s="5"/>
      <c r="T1616" s="5"/>
    </row>
    <row r="1617" spans="1:20" ht="15.75" thickBot="1" x14ac:dyDescent="0.3">
      <c r="A1617" s="39"/>
      <c r="B1617" s="38"/>
      <c r="C1617" s="38"/>
      <c r="D1617" s="38"/>
      <c r="E1617" s="38"/>
      <c r="F1617" s="38"/>
      <c r="G1617" s="38"/>
      <c r="H1617" s="8"/>
      <c r="I1617" s="8"/>
      <c r="J1617" s="8"/>
      <c r="K1617" s="8"/>
      <c r="L1617" s="3"/>
      <c r="M1617" s="3"/>
      <c r="N1617" s="3"/>
      <c r="O1617" s="4"/>
      <c r="P1617" s="5"/>
      <c r="Q1617" s="5"/>
      <c r="R1617" s="5"/>
      <c r="S1617" s="5"/>
      <c r="T1617" s="5"/>
    </row>
    <row r="1618" spans="1:20" ht="15.75" thickBot="1" x14ac:dyDescent="0.3">
      <c r="A1618" s="39"/>
      <c r="B1618" s="38"/>
      <c r="C1618" s="38"/>
      <c r="D1618" s="38"/>
      <c r="E1618" s="38"/>
      <c r="F1618" s="38"/>
      <c r="G1618" s="38"/>
      <c r="H1618" s="8"/>
      <c r="I1618" s="8"/>
      <c r="J1618" s="8"/>
      <c r="K1618" s="8"/>
      <c r="L1618" s="3"/>
      <c r="M1618" s="3"/>
      <c r="N1618" s="3"/>
      <c r="O1618" s="6"/>
      <c r="P1618" s="5"/>
      <c r="Q1618" s="5"/>
      <c r="R1618" s="5"/>
      <c r="S1618" s="5"/>
      <c r="T1618" s="5"/>
    </row>
    <row r="1619" spans="1:20" ht="15.75" thickBot="1" x14ac:dyDescent="0.3">
      <c r="A1619" s="39"/>
      <c r="B1619" s="38"/>
      <c r="C1619" s="38"/>
      <c r="D1619" s="38"/>
      <c r="E1619" s="38"/>
      <c r="F1619" s="38"/>
      <c r="G1619" s="38"/>
      <c r="H1619" s="8"/>
      <c r="I1619" s="8"/>
      <c r="J1619" s="8"/>
      <c r="K1619" s="8"/>
      <c r="L1619" s="3"/>
      <c r="M1619" s="3"/>
      <c r="N1619" s="3"/>
      <c r="O1619" s="4"/>
      <c r="P1619" s="5"/>
      <c r="Q1619" s="5"/>
      <c r="R1619" s="5"/>
    </row>
    <row r="1620" spans="1:20" ht="15.75" thickBot="1" x14ac:dyDescent="0.3">
      <c r="A1620" s="39"/>
      <c r="B1620" s="38"/>
      <c r="C1620" s="38"/>
      <c r="D1620" s="38"/>
      <c r="E1620" s="38"/>
      <c r="F1620" s="38"/>
      <c r="G1620" s="38"/>
      <c r="H1620" s="8"/>
      <c r="I1620" s="8"/>
      <c r="J1620" s="8"/>
      <c r="K1620" s="8"/>
      <c r="L1620" s="3"/>
      <c r="M1620" s="3"/>
      <c r="N1620" s="3"/>
      <c r="O1620" s="4"/>
      <c r="P1620" s="5"/>
      <c r="Q1620" s="5"/>
      <c r="R1620" s="5"/>
      <c r="S1620" s="5"/>
      <c r="T1620" s="5"/>
    </row>
    <row r="1621" spans="1:20" ht="15.75" thickBot="1" x14ac:dyDescent="0.3">
      <c r="A1621" s="39"/>
      <c r="B1621" s="38"/>
      <c r="C1621" s="38"/>
      <c r="D1621" s="38"/>
      <c r="E1621" s="38"/>
      <c r="F1621" s="38"/>
      <c r="G1621" s="38"/>
      <c r="H1621" s="8"/>
      <c r="I1621" s="8"/>
      <c r="J1621" s="8"/>
      <c r="K1621" s="8"/>
      <c r="L1621" s="3"/>
      <c r="M1621" s="3"/>
      <c r="N1621" s="3"/>
      <c r="O1621" s="4"/>
      <c r="P1621" s="5"/>
      <c r="Q1621" s="5"/>
      <c r="R1621" s="5"/>
      <c r="S1621" s="5"/>
      <c r="T1621" s="5"/>
    </row>
    <row r="1622" spans="1:20" ht="15.75" thickBot="1" x14ac:dyDescent="0.3">
      <c r="A1622" s="39"/>
      <c r="B1622" s="38"/>
      <c r="C1622" s="38"/>
      <c r="D1622" s="38"/>
      <c r="E1622" s="38"/>
      <c r="F1622" s="38"/>
      <c r="G1622" s="38"/>
      <c r="H1622" s="8"/>
      <c r="I1622" s="8"/>
      <c r="J1622" s="8"/>
      <c r="K1622" s="8"/>
      <c r="L1622" s="3"/>
      <c r="M1622" s="3"/>
      <c r="N1622" s="3"/>
      <c r="O1622" s="4"/>
      <c r="P1622" s="5"/>
      <c r="Q1622" s="5"/>
      <c r="R1622" s="5"/>
      <c r="S1622" s="5"/>
      <c r="T1622" s="5"/>
    </row>
    <row r="1623" spans="1:20" ht="15.75" thickBot="1" x14ac:dyDescent="0.3">
      <c r="A1623" s="39"/>
      <c r="B1623" s="38"/>
      <c r="C1623" s="38"/>
      <c r="D1623" s="38"/>
      <c r="E1623" s="38"/>
      <c r="F1623" s="38"/>
      <c r="G1623" s="38"/>
      <c r="H1623" s="8"/>
      <c r="I1623" s="8"/>
      <c r="J1623" s="8"/>
      <c r="K1623" s="8"/>
      <c r="L1623" s="3"/>
      <c r="M1623" s="3"/>
      <c r="N1623" s="3"/>
      <c r="O1623" s="6"/>
      <c r="P1623" s="5"/>
      <c r="Q1623" s="5"/>
      <c r="R1623" s="5"/>
      <c r="S1623" s="5"/>
      <c r="T1623" s="5"/>
    </row>
    <row r="1624" spans="1:20" ht="15.75" thickBot="1" x14ac:dyDescent="0.3">
      <c r="A1624" s="39"/>
      <c r="B1624" s="38"/>
      <c r="C1624" s="38"/>
      <c r="D1624" s="38"/>
      <c r="E1624" s="38"/>
      <c r="F1624" s="38"/>
      <c r="G1624" s="38"/>
      <c r="H1624" s="8"/>
      <c r="I1624" s="8"/>
      <c r="J1624" s="8"/>
      <c r="K1624" s="8"/>
      <c r="L1624" s="3"/>
      <c r="M1624" s="3"/>
      <c r="N1624" s="3"/>
      <c r="O1624" s="6"/>
      <c r="P1624" s="5"/>
      <c r="Q1624" s="5"/>
      <c r="R1624" s="5"/>
      <c r="S1624" s="5"/>
      <c r="T1624" s="5"/>
    </row>
    <row r="1625" spans="1:20" ht="15.75" thickBot="1" x14ac:dyDescent="0.3">
      <c r="A1625" s="39"/>
      <c r="B1625" s="38"/>
      <c r="C1625" s="38"/>
      <c r="D1625" s="38"/>
      <c r="E1625" s="38"/>
      <c r="F1625" s="38"/>
      <c r="G1625" s="38"/>
      <c r="H1625" s="8"/>
      <c r="I1625" s="8"/>
      <c r="J1625" s="8"/>
      <c r="K1625" s="8"/>
      <c r="L1625" s="3"/>
      <c r="M1625" s="3"/>
      <c r="N1625" s="3"/>
      <c r="O1625" s="4"/>
      <c r="P1625" s="5"/>
      <c r="Q1625" s="5"/>
      <c r="R1625" s="5"/>
      <c r="S1625" s="5"/>
      <c r="T1625" s="5"/>
    </row>
    <row r="1626" spans="1:20" ht="15.75" thickBot="1" x14ac:dyDescent="0.3">
      <c r="A1626" s="39"/>
      <c r="B1626" s="38"/>
      <c r="C1626" s="38"/>
      <c r="D1626" s="38"/>
      <c r="E1626" s="38"/>
      <c r="F1626" s="38"/>
      <c r="G1626" s="38"/>
      <c r="H1626" s="8"/>
      <c r="I1626" s="8"/>
      <c r="J1626" s="8"/>
      <c r="K1626" s="8"/>
      <c r="L1626" s="3"/>
      <c r="M1626" s="3"/>
      <c r="N1626" s="3"/>
      <c r="O1626" s="4"/>
      <c r="P1626" s="5"/>
      <c r="Q1626" s="5"/>
      <c r="R1626" s="5"/>
      <c r="S1626" s="5"/>
      <c r="T1626" s="5"/>
    </row>
    <row r="1627" spans="1:20" ht="15.75" thickBot="1" x14ac:dyDescent="0.3">
      <c r="A1627" s="39"/>
      <c r="B1627" s="38"/>
      <c r="C1627" s="38"/>
      <c r="D1627" s="38"/>
      <c r="E1627" s="38"/>
      <c r="F1627" s="38"/>
      <c r="G1627" s="38"/>
      <c r="H1627" s="8"/>
      <c r="I1627" s="8"/>
      <c r="J1627" s="8"/>
      <c r="K1627" s="8"/>
      <c r="L1627" s="3"/>
      <c r="M1627" s="3"/>
      <c r="N1627" s="3"/>
      <c r="O1627" s="4"/>
      <c r="P1627" s="5"/>
      <c r="Q1627" s="5"/>
      <c r="R1627" s="5"/>
      <c r="S1627" s="5"/>
      <c r="T1627" s="5"/>
    </row>
    <row r="1628" spans="1:20" ht="15.75" thickBot="1" x14ac:dyDescent="0.3">
      <c r="A1628" s="39"/>
      <c r="B1628" s="38"/>
      <c r="C1628" s="38"/>
      <c r="D1628" s="38"/>
      <c r="E1628" s="38"/>
      <c r="F1628" s="38"/>
      <c r="G1628" s="38"/>
      <c r="H1628" s="8"/>
      <c r="I1628" s="8"/>
      <c r="J1628" s="8"/>
      <c r="K1628" s="8"/>
      <c r="L1628" s="3"/>
      <c r="M1628" s="3"/>
      <c r="N1628" s="3"/>
      <c r="O1628" s="4"/>
      <c r="P1628" s="5"/>
      <c r="Q1628" s="5"/>
      <c r="R1628" s="5"/>
      <c r="S1628" s="5"/>
      <c r="T1628" s="5"/>
    </row>
    <row r="1629" spans="1:20" ht="15.75" thickBot="1" x14ac:dyDescent="0.3">
      <c r="A1629" s="39"/>
      <c r="B1629" s="38"/>
      <c r="C1629" s="38"/>
      <c r="D1629" s="38"/>
      <c r="E1629" s="38"/>
      <c r="F1629" s="38"/>
      <c r="G1629" s="38"/>
      <c r="H1629" s="8"/>
      <c r="I1629" s="8"/>
      <c r="J1629" s="8"/>
      <c r="K1629" s="8"/>
      <c r="L1629" s="3"/>
      <c r="M1629" s="3"/>
      <c r="N1629" s="3"/>
      <c r="O1629" s="4"/>
      <c r="P1629" s="5"/>
      <c r="Q1629" s="5"/>
      <c r="R1629" s="5"/>
    </row>
    <row r="1630" spans="1:20" ht="15.75" thickBot="1" x14ac:dyDescent="0.3">
      <c r="A1630" s="39"/>
      <c r="B1630" s="38"/>
      <c r="C1630" s="38"/>
      <c r="D1630" s="38"/>
      <c r="E1630" s="38"/>
      <c r="F1630" s="38"/>
      <c r="G1630" s="38"/>
      <c r="H1630" s="8"/>
      <c r="I1630" s="8"/>
      <c r="J1630" s="8"/>
      <c r="K1630" s="8"/>
      <c r="L1630" s="3"/>
      <c r="M1630" s="3"/>
      <c r="N1630" s="3"/>
      <c r="O1630" s="4"/>
      <c r="P1630" s="5"/>
      <c r="Q1630" s="5"/>
      <c r="R1630" s="5"/>
      <c r="S1630" s="5"/>
      <c r="T1630" s="5"/>
    </row>
    <row r="1631" spans="1:20" ht="15.75" thickBot="1" x14ac:dyDescent="0.3">
      <c r="A1631" s="39"/>
      <c r="B1631" s="38"/>
      <c r="C1631" s="38"/>
      <c r="D1631" s="38"/>
      <c r="E1631" s="38"/>
      <c r="F1631" s="38"/>
      <c r="G1631" s="38"/>
      <c r="H1631" s="8"/>
      <c r="I1631" s="8"/>
      <c r="J1631" s="8"/>
      <c r="K1631" s="8"/>
      <c r="L1631" s="3"/>
      <c r="M1631" s="3"/>
      <c r="N1631" s="3"/>
      <c r="O1631" s="4"/>
      <c r="P1631" s="5"/>
      <c r="Q1631" s="5"/>
      <c r="R1631" s="5"/>
      <c r="S1631" s="5"/>
      <c r="T1631" s="5"/>
    </row>
    <row r="1632" spans="1:20" ht="15.75" thickBot="1" x14ac:dyDescent="0.3">
      <c r="A1632" s="39"/>
      <c r="B1632" s="38"/>
      <c r="C1632" s="38"/>
      <c r="D1632" s="38"/>
      <c r="E1632" s="38"/>
      <c r="F1632" s="38"/>
      <c r="G1632" s="38"/>
      <c r="H1632" s="8"/>
      <c r="I1632" s="8"/>
      <c r="J1632" s="8"/>
      <c r="K1632" s="8"/>
      <c r="L1632" s="3"/>
      <c r="M1632" s="3"/>
      <c r="N1632" s="3"/>
      <c r="O1632" s="6"/>
      <c r="P1632" s="5"/>
      <c r="Q1632" s="5"/>
      <c r="R1632" s="5"/>
      <c r="S1632" s="5"/>
      <c r="T1632" s="5"/>
    </row>
    <row r="1633" spans="1:20" ht="15.75" thickBot="1" x14ac:dyDescent="0.3">
      <c r="A1633" s="39"/>
      <c r="B1633" s="38"/>
      <c r="C1633" s="38"/>
      <c r="D1633" s="38"/>
      <c r="E1633" s="38"/>
      <c r="F1633" s="38"/>
      <c r="G1633" s="38"/>
      <c r="H1633" s="8"/>
      <c r="I1633" s="8"/>
      <c r="J1633" s="8"/>
      <c r="K1633" s="8"/>
      <c r="L1633" s="3"/>
      <c r="M1633" s="3"/>
      <c r="N1633" s="3"/>
      <c r="O1633" s="4"/>
      <c r="P1633" s="5"/>
      <c r="Q1633" s="5"/>
      <c r="R1633" s="5"/>
      <c r="S1633" s="5"/>
      <c r="T1633" s="5"/>
    </row>
    <row r="1634" spans="1:20" ht="15.75" thickBot="1" x14ac:dyDescent="0.3">
      <c r="A1634" s="39"/>
      <c r="B1634" s="38"/>
      <c r="C1634" s="38"/>
      <c r="D1634" s="38"/>
      <c r="E1634" s="38"/>
      <c r="F1634" s="38"/>
      <c r="G1634" s="38"/>
      <c r="H1634" s="8"/>
      <c r="I1634" s="8"/>
      <c r="J1634" s="8"/>
      <c r="K1634" s="8"/>
      <c r="L1634" s="3"/>
      <c r="M1634" s="3"/>
      <c r="N1634" s="3"/>
      <c r="O1634" s="6"/>
      <c r="P1634" s="5"/>
      <c r="Q1634" s="5"/>
      <c r="R1634" s="5"/>
      <c r="S1634" s="5"/>
      <c r="T1634" s="5"/>
    </row>
    <row r="1635" spans="1:20" ht="15.75" thickBot="1" x14ac:dyDescent="0.3">
      <c r="A1635" s="39"/>
      <c r="B1635" s="38"/>
      <c r="C1635" s="38"/>
      <c r="D1635" s="38"/>
      <c r="E1635" s="38"/>
      <c r="F1635" s="38"/>
      <c r="G1635" s="38"/>
      <c r="H1635" s="8"/>
      <c r="I1635" s="8"/>
      <c r="J1635" s="8"/>
      <c r="K1635" s="8"/>
      <c r="L1635" s="3"/>
      <c r="M1635" s="3"/>
      <c r="N1635" s="3"/>
      <c r="O1635" s="4"/>
      <c r="P1635" s="5"/>
      <c r="Q1635" s="5"/>
      <c r="R1635" s="5"/>
      <c r="S1635" s="5"/>
      <c r="T1635" s="5"/>
    </row>
    <row r="1636" spans="1:20" ht="15.75" thickBot="1" x14ac:dyDescent="0.3">
      <c r="A1636" s="39"/>
      <c r="B1636" s="38"/>
      <c r="C1636" s="38"/>
      <c r="D1636" s="38"/>
      <c r="E1636" s="38"/>
      <c r="F1636" s="38"/>
      <c r="G1636" s="38"/>
      <c r="H1636" s="8"/>
      <c r="I1636" s="8"/>
      <c r="J1636" s="8"/>
      <c r="K1636" s="8"/>
      <c r="L1636" s="3"/>
      <c r="M1636" s="3"/>
      <c r="N1636" s="3"/>
      <c r="O1636" s="4"/>
      <c r="P1636" s="5"/>
      <c r="Q1636" s="5"/>
      <c r="R1636" s="5"/>
      <c r="S1636" s="5"/>
      <c r="T1636" s="5"/>
    </row>
    <row r="1637" spans="1:20" ht="15.75" thickBot="1" x14ac:dyDescent="0.3">
      <c r="A1637" s="39"/>
      <c r="B1637" s="38"/>
      <c r="C1637" s="38"/>
      <c r="D1637" s="38"/>
      <c r="E1637" s="38"/>
      <c r="F1637" s="38"/>
      <c r="G1637" s="38"/>
      <c r="H1637" s="8"/>
      <c r="I1637" s="8"/>
      <c r="J1637" s="8"/>
      <c r="K1637" s="8"/>
      <c r="L1637" s="3"/>
      <c r="M1637" s="3"/>
      <c r="N1637" s="3"/>
      <c r="O1637" s="4"/>
      <c r="P1637" s="5"/>
      <c r="Q1637" s="5"/>
      <c r="R1637" s="5"/>
      <c r="S1637" s="5"/>
      <c r="T1637" s="5"/>
    </row>
    <row r="1638" spans="1:20" ht="15.75" thickBot="1" x14ac:dyDescent="0.3">
      <c r="A1638" s="39"/>
      <c r="B1638" s="38"/>
      <c r="C1638" s="38"/>
      <c r="D1638" s="38"/>
      <c r="E1638" s="38"/>
      <c r="F1638" s="38"/>
      <c r="G1638" s="38"/>
      <c r="H1638" s="8"/>
      <c r="I1638" s="8"/>
      <c r="J1638" s="8"/>
      <c r="K1638" s="8"/>
      <c r="L1638" s="3"/>
      <c r="M1638" s="3"/>
      <c r="N1638" s="3"/>
      <c r="O1638" s="4"/>
      <c r="P1638" s="5"/>
      <c r="Q1638" s="5"/>
      <c r="R1638" s="5"/>
      <c r="S1638" s="5"/>
      <c r="T1638" s="5"/>
    </row>
    <row r="1639" spans="1:20" ht="15.75" thickBot="1" x14ac:dyDescent="0.3">
      <c r="A1639" s="39"/>
      <c r="B1639" s="38"/>
      <c r="C1639" s="38"/>
      <c r="D1639" s="38"/>
      <c r="E1639" s="38"/>
      <c r="F1639" s="38"/>
      <c r="G1639" s="38"/>
      <c r="H1639" s="8"/>
      <c r="I1639" s="8"/>
      <c r="J1639" s="8"/>
      <c r="K1639" s="8"/>
      <c r="L1639" s="3"/>
      <c r="M1639" s="3"/>
      <c r="N1639" s="3"/>
      <c r="O1639" s="6"/>
      <c r="P1639" s="5"/>
      <c r="Q1639" s="5"/>
      <c r="R1639" s="3"/>
    </row>
    <row r="1640" spans="1:20" ht="15.75" thickBot="1" x14ac:dyDescent="0.3">
      <c r="A1640" s="39"/>
      <c r="B1640" s="38"/>
      <c r="C1640" s="38"/>
      <c r="D1640" s="38"/>
      <c r="E1640" s="38"/>
      <c r="F1640" s="38"/>
      <c r="G1640" s="38"/>
      <c r="H1640" s="8"/>
      <c r="I1640" s="8"/>
      <c r="J1640" s="8"/>
      <c r="K1640" s="8"/>
      <c r="L1640" s="3"/>
      <c r="M1640" s="3"/>
      <c r="N1640" s="3"/>
      <c r="O1640" s="4"/>
      <c r="P1640" s="5"/>
      <c r="Q1640" s="5"/>
      <c r="R1640" s="5"/>
      <c r="S1640" s="5"/>
      <c r="T1640" s="5"/>
    </row>
    <row r="1641" spans="1:20" ht="15.75" thickBot="1" x14ac:dyDescent="0.3">
      <c r="A1641" s="39"/>
      <c r="B1641" s="38"/>
      <c r="C1641" s="38"/>
      <c r="D1641" s="38"/>
      <c r="E1641" s="38"/>
      <c r="F1641" s="38"/>
      <c r="G1641" s="38"/>
      <c r="H1641" s="8"/>
      <c r="I1641" s="8"/>
      <c r="J1641" s="8"/>
      <c r="K1641" s="8"/>
      <c r="L1641" s="3"/>
      <c r="M1641" s="3"/>
      <c r="N1641" s="3"/>
      <c r="O1641" s="4"/>
      <c r="P1641" s="5"/>
      <c r="Q1641" s="5"/>
      <c r="R1641" s="5"/>
      <c r="S1641" s="5"/>
      <c r="T1641" s="5"/>
    </row>
    <row r="1642" spans="1:20" ht="15.75" thickBot="1" x14ac:dyDescent="0.3">
      <c r="A1642" s="39"/>
      <c r="B1642" s="38"/>
      <c r="C1642" s="38"/>
      <c r="D1642" s="38"/>
      <c r="E1642" s="38"/>
      <c r="F1642" s="38"/>
      <c r="G1642" s="38"/>
      <c r="H1642" s="8"/>
      <c r="I1642" s="8"/>
      <c r="J1642" s="8"/>
      <c r="K1642" s="8"/>
      <c r="L1642" s="3"/>
      <c r="M1642" s="3"/>
      <c r="N1642" s="3"/>
      <c r="O1642" s="6"/>
      <c r="P1642" s="5"/>
      <c r="Q1642" s="5"/>
      <c r="R1642" s="5"/>
      <c r="S1642" s="5"/>
      <c r="T1642" s="5"/>
    </row>
    <row r="1643" spans="1:20" ht="15.75" thickBot="1" x14ac:dyDescent="0.3">
      <c r="A1643" s="39"/>
      <c r="B1643" s="38"/>
      <c r="C1643" s="38"/>
      <c r="D1643" s="38"/>
      <c r="E1643" s="38"/>
      <c r="F1643" s="38"/>
      <c r="G1643" s="38"/>
      <c r="H1643" s="8"/>
      <c r="I1643" s="8"/>
      <c r="J1643" s="8"/>
      <c r="K1643" s="8"/>
      <c r="L1643" s="3"/>
      <c r="M1643" s="3"/>
      <c r="N1643" s="3"/>
      <c r="O1643" s="4"/>
      <c r="P1643" s="5"/>
      <c r="Q1643" s="5"/>
      <c r="R1643" s="5"/>
      <c r="S1643" s="5"/>
      <c r="T1643" s="5"/>
    </row>
    <row r="1644" spans="1:20" ht="15.75" thickBot="1" x14ac:dyDescent="0.3">
      <c r="A1644" s="39"/>
      <c r="B1644" s="38"/>
      <c r="C1644" s="38"/>
      <c r="D1644" s="38"/>
      <c r="E1644" s="38"/>
      <c r="F1644" s="38"/>
      <c r="G1644" s="38"/>
      <c r="H1644" s="8"/>
      <c r="I1644" s="8"/>
      <c r="J1644" s="8"/>
      <c r="K1644" s="8"/>
      <c r="L1644" s="3"/>
      <c r="M1644" s="3"/>
      <c r="N1644" s="3"/>
      <c r="O1644" s="4"/>
      <c r="P1644" s="5"/>
      <c r="Q1644" s="5"/>
      <c r="R1644" s="5"/>
      <c r="S1644" s="5"/>
      <c r="T1644" s="5"/>
    </row>
    <row r="1645" spans="1:20" ht="15.75" thickBot="1" x14ac:dyDescent="0.3">
      <c r="A1645" s="39"/>
      <c r="B1645" s="38"/>
      <c r="C1645" s="38"/>
      <c r="D1645" s="38"/>
      <c r="E1645" s="38"/>
      <c r="F1645" s="38"/>
      <c r="G1645" s="38"/>
      <c r="H1645" s="8"/>
      <c r="I1645" s="8"/>
      <c r="J1645" s="8"/>
      <c r="K1645" s="8"/>
      <c r="L1645" s="3"/>
      <c r="M1645" s="3"/>
      <c r="N1645" s="3"/>
      <c r="O1645" s="6"/>
      <c r="P1645" s="5"/>
      <c r="Q1645" s="5"/>
      <c r="R1645" s="5"/>
      <c r="S1645" s="5"/>
      <c r="T1645" s="5"/>
    </row>
    <row r="1646" spans="1:20" ht="15.75" thickBot="1" x14ac:dyDescent="0.3">
      <c r="A1646" s="39"/>
      <c r="B1646" s="38"/>
      <c r="C1646" s="38"/>
      <c r="D1646" s="38"/>
      <c r="E1646" s="38"/>
      <c r="F1646" s="38"/>
      <c r="G1646" s="38"/>
      <c r="H1646" s="8"/>
      <c r="I1646" s="8"/>
      <c r="J1646" s="8"/>
      <c r="K1646" s="8"/>
      <c r="L1646" s="3"/>
      <c r="M1646" s="3"/>
      <c r="N1646" s="3"/>
      <c r="O1646" s="4"/>
      <c r="P1646" s="5"/>
      <c r="Q1646" s="5"/>
      <c r="R1646" s="5"/>
      <c r="S1646" s="5"/>
      <c r="T1646" s="5"/>
    </row>
    <row r="1647" spans="1:20" ht="15.75" thickBot="1" x14ac:dyDescent="0.3">
      <c r="A1647" s="39"/>
      <c r="B1647" s="38"/>
      <c r="C1647" s="38"/>
      <c r="D1647" s="38"/>
      <c r="E1647" s="38"/>
      <c r="F1647" s="38"/>
      <c r="G1647" s="38"/>
      <c r="H1647" s="8"/>
      <c r="I1647" s="8"/>
      <c r="J1647" s="8"/>
      <c r="K1647" s="8"/>
      <c r="L1647" s="3"/>
      <c r="M1647" s="3"/>
      <c r="N1647" s="3"/>
      <c r="O1647" s="4"/>
      <c r="P1647" s="5"/>
      <c r="Q1647" s="5"/>
      <c r="R1647" s="5"/>
      <c r="S1647" s="5"/>
      <c r="T1647" s="5"/>
    </row>
    <row r="1648" spans="1:20" ht="15.75" thickBot="1" x14ac:dyDescent="0.3">
      <c r="A1648" s="39"/>
      <c r="B1648" s="38"/>
      <c r="C1648" s="38"/>
      <c r="D1648" s="38"/>
      <c r="E1648" s="38"/>
      <c r="F1648" s="38"/>
      <c r="G1648" s="38"/>
      <c r="H1648" s="8"/>
      <c r="I1648" s="8"/>
      <c r="J1648" s="8"/>
      <c r="K1648" s="8"/>
      <c r="L1648" s="3"/>
      <c r="M1648" s="3"/>
      <c r="N1648" s="3"/>
      <c r="O1648" s="4"/>
      <c r="P1648" s="5"/>
      <c r="Q1648" s="5"/>
      <c r="R1648" s="5"/>
      <c r="S1648" s="5"/>
      <c r="T1648" s="5"/>
    </row>
    <row r="1649" spans="1:20" ht="15.75" thickBot="1" x14ac:dyDescent="0.3">
      <c r="A1649" s="39"/>
      <c r="B1649" s="38"/>
      <c r="C1649" s="38"/>
      <c r="D1649" s="38"/>
      <c r="E1649" s="38"/>
      <c r="F1649" s="38"/>
      <c r="G1649" s="38"/>
      <c r="H1649" s="8"/>
      <c r="I1649" s="8"/>
      <c r="J1649" s="8"/>
      <c r="K1649" s="8"/>
      <c r="L1649" s="3"/>
      <c r="M1649" s="3"/>
      <c r="N1649" s="3"/>
      <c r="O1649" s="4"/>
      <c r="P1649" s="5"/>
      <c r="Q1649" s="7"/>
    </row>
    <row r="1650" spans="1:20" ht="15.75" thickBot="1" x14ac:dyDescent="0.3">
      <c r="A1650" s="39"/>
      <c r="B1650" s="38"/>
      <c r="C1650" s="38"/>
      <c r="D1650" s="38"/>
      <c r="E1650" s="38"/>
      <c r="F1650" s="38"/>
      <c r="G1650" s="38"/>
      <c r="H1650" s="8"/>
      <c r="I1650" s="8"/>
      <c r="J1650" s="8"/>
      <c r="K1650" s="8"/>
      <c r="L1650" s="3"/>
      <c r="M1650" s="3"/>
      <c r="N1650" s="3"/>
      <c r="O1650" s="4"/>
      <c r="P1650" s="5"/>
      <c r="Q1650" s="5"/>
      <c r="R1650" s="5"/>
      <c r="S1650" s="5"/>
      <c r="T1650" s="5"/>
    </row>
    <row r="1651" spans="1:20" ht="15.75" thickBot="1" x14ac:dyDescent="0.3">
      <c r="A1651" s="39"/>
      <c r="B1651" s="38"/>
      <c r="C1651" s="38"/>
      <c r="D1651" s="38"/>
      <c r="E1651" s="38"/>
      <c r="F1651" s="38"/>
      <c r="G1651" s="38"/>
      <c r="H1651" s="8"/>
      <c r="I1651" s="8"/>
      <c r="J1651" s="8"/>
      <c r="K1651" s="8"/>
      <c r="L1651" s="3"/>
      <c r="M1651" s="3"/>
      <c r="N1651" s="3"/>
      <c r="O1651" s="6"/>
      <c r="P1651" s="5"/>
      <c r="Q1651" s="5"/>
      <c r="R1651" s="5"/>
      <c r="S1651" s="5"/>
      <c r="T1651" s="5"/>
    </row>
    <row r="1652" spans="1:20" ht="15.75" thickBot="1" x14ac:dyDescent="0.3">
      <c r="A1652" s="39"/>
      <c r="B1652" s="38"/>
      <c r="C1652" s="38"/>
      <c r="D1652" s="38"/>
      <c r="E1652" s="38"/>
      <c r="F1652" s="38"/>
      <c r="G1652" s="38"/>
      <c r="H1652" s="8"/>
      <c r="I1652" s="8"/>
      <c r="J1652" s="8"/>
      <c r="K1652" s="8"/>
      <c r="L1652" s="3"/>
      <c r="M1652" s="3"/>
      <c r="N1652" s="3"/>
      <c r="O1652" s="6"/>
      <c r="P1652" s="5"/>
      <c r="Q1652" s="5"/>
      <c r="R1652" s="5"/>
      <c r="S1652" s="5"/>
      <c r="T1652" s="5"/>
    </row>
    <row r="1653" spans="1:20" ht="15.75" thickBot="1" x14ac:dyDescent="0.3">
      <c r="A1653" s="39"/>
      <c r="B1653" s="38"/>
      <c r="C1653" s="38"/>
      <c r="D1653" s="38"/>
      <c r="E1653" s="38"/>
      <c r="F1653" s="38"/>
      <c r="G1653" s="38"/>
      <c r="H1653" s="8"/>
      <c r="I1653" s="8"/>
      <c r="J1653" s="8"/>
      <c r="K1653" s="8"/>
      <c r="L1653" s="3"/>
      <c r="M1653" s="3"/>
      <c r="N1653" s="3"/>
      <c r="O1653" s="6"/>
      <c r="P1653" s="5"/>
      <c r="Q1653" s="5"/>
      <c r="R1653" s="5"/>
      <c r="S1653" s="5"/>
      <c r="T1653" s="5"/>
    </row>
    <row r="1654" spans="1:20" ht="15.75" thickBot="1" x14ac:dyDescent="0.3">
      <c r="A1654" s="39"/>
      <c r="B1654" s="38"/>
      <c r="C1654" s="38"/>
      <c r="D1654" s="38"/>
      <c r="E1654" s="38"/>
      <c r="F1654" s="38"/>
      <c r="G1654" s="38"/>
      <c r="H1654" s="8"/>
      <c r="I1654" s="8"/>
      <c r="J1654" s="8"/>
      <c r="K1654" s="8"/>
      <c r="L1654" s="3"/>
      <c r="M1654" s="3"/>
      <c r="N1654" s="3"/>
      <c r="O1654" s="4"/>
      <c r="P1654" s="5"/>
      <c r="Q1654" s="5"/>
      <c r="R1654" s="5"/>
      <c r="S1654" s="5"/>
      <c r="T1654" s="5"/>
    </row>
    <row r="1655" spans="1:20" ht="15.75" thickBot="1" x14ac:dyDescent="0.3">
      <c r="A1655" s="39"/>
      <c r="B1655" s="38"/>
      <c r="C1655" s="38"/>
      <c r="D1655" s="38"/>
      <c r="E1655" s="38"/>
      <c r="F1655" s="38"/>
      <c r="G1655" s="38"/>
      <c r="H1655" s="8"/>
      <c r="I1655" s="8"/>
      <c r="J1655" s="8"/>
      <c r="K1655" s="8"/>
      <c r="N1655" s="3"/>
      <c r="O1655" s="4"/>
      <c r="P1655" s="5"/>
      <c r="Q1655" s="5"/>
      <c r="R1655" s="5"/>
      <c r="S1655" s="5"/>
      <c r="T1655" s="5"/>
    </row>
    <row r="1656" spans="1:20" ht="15.75" thickBot="1" x14ac:dyDescent="0.3">
      <c r="A1656" s="39"/>
      <c r="B1656" s="38"/>
      <c r="C1656" s="38"/>
      <c r="D1656" s="38"/>
      <c r="E1656" s="38"/>
      <c r="F1656" s="38"/>
      <c r="G1656" s="38"/>
      <c r="H1656" s="8"/>
      <c r="I1656" s="8"/>
      <c r="J1656" s="8"/>
      <c r="K1656" s="8"/>
      <c r="N1656" s="3"/>
      <c r="O1656" s="4"/>
      <c r="P1656" s="5"/>
      <c r="Q1656" s="5"/>
      <c r="R1656" s="5"/>
      <c r="S1656" s="5"/>
      <c r="T1656" s="5"/>
    </row>
    <row r="1657" spans="1:20" ht="15.75" thickBot="1" x14ac:dyDescent="0.3">
      <c r="A1657" s="39"/>
      <c r="B1657" s="38"/>
      <c r="C1657" s="38"/>
      <c r="D1657" s="38"/>
      <c r="E1657" s="38"/>
      <c r="F1657" s="38"/>
      <c r="G1657" s="38"/>
      <c r="H1657" s="8"/>
      <c r="I1657" s="8"/>
      <c r="J1657" s="8"/>
      <c r="K1657" s="8"/>
      <c r="N1657" s="3"/>
      <c r="O1657" s="6"/>
      <c r="P1657" s="5"/>
      <c r="Q1657" s="5"/>
      <c r="R1657" s="5"/>
      <c r="S1657" s="5"/>
      <c r="T1657" s="5"/>
    </row>
    <row r="1658" spans="1:20" ht="15.75" thickBot="1" x14ac:dyDescent="0.3">
      <c r="A1658" s="39"/>
      <c r="B1658" s="38"/>
      <c r="C1658" s="38"/>
      <c r="D1658" s="38"/>
      <c r="E1658" s="38"/>
      <c r="F1658" s="38"/>
      <c r="G1658" s="38"/>
      <c r="H1658" s="8"/>
      <c r="I1658" s="8"/>
      <c r="J1658" s="8"/>
      <c r="K1658" s="8"/>
      <c r="N1658" s="3"/>
      <c r="O1658" s="4"/>
      <c r="P1658" s="5"/>
      <c r="Q1658" s="5"/>
      <c r="R1658" s="5"/>
      <c r="S1658" s="5"/>
      <c r="T1658" s="5"/>
    </row>
    <row r="1659" spans="1:20" ht="15.75" thickBot="1" x14ac:dyDescent="0.3">
      <c r="A1659" s="39"/>
      <c r="B1659" s="38"/>
      <c r="C1659" s="38"/>
      <c r="D1659" s="38"/>
      <c r="E1659" s="38"/>
      <c r="F1659" s="38"/>
      <c r="G1659" s="38"/>
      <c r="H1659" s="8"/>
      <c r="I1659" s="8"/>
      <c r="J1659" s="8"/>
      <c r="K1659" s="8"/>
      <c r="N1659" s="3"/>
      <c r="O1659" s="4"/>
      <c r="P1659" s="5"/>
      <c r="Q1659" s="5"/>
      <c r="R1659" s="3"/>
    </row>
    <row r="1660" spans="1:20" ht="15.75" thickBot="1" x14ac:dyDescent="0.3">
      <c r="A1660" s="39"/>
      <c r="B1660" s="38"/>
      <c r="C1660" s="38"/>
      <c r="D1660" s="38"/>
      <c r="E1660" s="38"/>
      <c r="F1660" s="38"/>
      <c r="G1660" s="38"/>
      <c r="H1660" s="8"/>
      <c r="I1660" s="8"/>
      <c r="J1660" s="8"/>
      <c r="K1660" s="8"/>
      <c r="N1660" s="3"/>
      <c r="O1660" s="4"/>
      <c r="P1660" s="5"/>
      <c r="Q1660" s="5"/>
      <c r="R1660" s="5"/>
      <c r="S1660" s="5"/>
      <c r="T1660" s="5"/>
    </row>
    <row r="1661" spans="1:20" ht="15.75" thickBot="1" x14ac:dyDescent="0.3">
      <c r="A1661" s="39"/>
      <c r="B1661" s="38"/>
      <c r="C1661" s="38"/>
      <c r="D1661" s="38"/>
      <c r="E1661" s="38"/>
      <c r="F1661" s="38"/>
      <c r="G1661" s="38"/>
      <c r="H1661" s="8"/>
      <c r="I1661" s="8"/>
      <c r="J1661" s="8"/>
      <c r="K1661" s="8"/>
      <c r="N1661" s="3"/>
      <c r="O1661" s="6"/>
      <c r="P1661" s="5"/>
      <c r="Q1661" s="5"/>
      <c r="R1661" s="5"/>
      <c r="S1661" s="5"/>
      <c r="T1661" s="5"/>
    </row>
    <row r="1662" spans="1:20" x14ac:dyDescent="0.25">
      <c r="A1662" s="39"/>
      <c r="B1662" s="38"/>
      <c r="C1662" s="38"/>
      <c r="D1662" s="38"/>
      <c r="E1662" s="38"/>
      <c r="F1662" s="38"/>
      <c r="G1662" s="38"/>
      <c r="H1662" s="8"/>
      <c r="I1662" s="8"/>
      <c r="J1662" s="8"/>
      <c r="K1662" s="8"/>
      <c r="N1662" s="3"/>
      <c r="O1662" s="4"/>
    </row>
    <row r="1663" spans="1:20" x14ac:dyDescent="0.25">
      <c r="A1663" s="39"/>
      <c r="B1663" s="38"/>
      <c r="C1663" s="38"/>
      <c r="D1663" s="38"/>
      <c r="E1663" s="38"/>
      <c r="F1663" s="38"/>
      <c r="G1663" s="38"/>
      <c r="H1663" s="8"/>
      <c r="I1663" s="8"/>
      <c r="J1663" s="8"/>
      <c r="K1663" s="8"/>
    </row>
    <row r="1664" spans="1:20" x14ac:dyDescent="0.25">
      <c r="A1664" s="39"/>
      <c r="B1664" s="38"/>
      <c r="C1664" s="38"/>
      <c r="D1664" s="38"/>
      <c r="E1664" s="38"/>
      <c r="F1664" s="38"/>
      <c r="G1664" s="38"/>
      <c r="H1664" s="8"/>
      <c r="I1664" s="8"/>
      <c r="J1664" s="8"/>
      <c r="K1664" s="8"/>
    </row>
    <row r="1665" spans="1:20" x14ac:dyDescent="0.25">
      <c r="A1665" s="39"/>
      <c r="B1665" s="38"/>
      <c r="C1665" s="38"/>
      <c r="D1665" s="38"/>
      <c r="E1665" s="38"/>
      <c r="F1665" s="38"/>
      <c r="G1665" s="38"/>
      <c r="H1665" s="8"/>
      <c r="I1665" s="8"/>
      <c r="J1665" s="8"/>
      <c r="K1665" s="8"/>
    </row>
    <row r="1666" spans="1:20" x14ac:dyDescent="0.25">
      <c r="A1666" s="39"/>
      <c r="B1666" s="38"/>
      <c r="C1666" s="38"/>
      <c r="D1666" s="38"/>
      <c r="E1666" s="38"/>
      <c r="F1666" s="38"/>
      <c r="G1666" s="38"/>
      <c r="H1666" s="8"/>
      <c r="I1666" s="8"/>
      <c r="J1666" s="8"/>
      <c r="K1666" s="8"/>
    </row>
    <row r="1667" spans="1:20" x14ac:dyDescent="0.25">
      <c r="A1667" s="39"/>
      <c r="B1667" s="38"/>
      <c r="C1667" s="38"/>
      <c r="D1667" s="38"/>
      <c r="E1667" s="38"/>
      <c r="F1667" s="38"/>
      <c r="G1667" s="38"/>
      <c r="H1667" s="8"/>
      <c r="I1667" s="8"/>
      <c r="J1667" s="8"/>
      <c r="K1667" s="8"/>
    </row>
    <row r="1668" spans="1:20" x14ac:dyDescent="0.25">
      <c r="A1668" s="39"/>
      <c r="B1668" s="38"/>
      <c r="C1668" s="38"/>
      <c r="D1668" s="38"/>
      <c r="E1668" s="38"/>
      <c r="F1668" s="38"/>
      <c r="G1668" s="38"/>
      <c r="H1668" s="8"/>
      <c r="I1668" s="8"/>
      <c r="J1668" s="8"/>
      <c r="K1668" s="8"/>
    </row>
    <row r="1669" spans="1:20" x14ac:dyDescent="0.25">
      <c r="A1669" s="39"/>
      <c r="B1669" s="38"/>
      <c r="C1669" s="38"/>
      <c r="D1669" s="38"/>
      <c r="E1669" s="38"/>
      <c r="F1669" s="38"/>
      <c r="G1669" s="38"/>
      <c r="H1669" s="8"/>
      <c r="I1669" s="8"/>
      <c r="J1669" s="8"/>
      <c r="K1669" s="8"/>
    </row>
    <row r="1670" spans="1:20" x14ac:dyDescent="0.25">
      <c r="A1670" s="39"/>
      <c r="B1670" s="38"/>
      <c r="C1670" s="38"/>
      <c r="D1670" s="38"/>
      <c r="E1670" s="38"/>
      <c r="F1670" s="38"/>
      <c r="G1670" s="38"/>
      <c r="H1670" s="8"/>
      <c r="I1670" s="8"/>
      <c r="J1670" s="8"/>
      <c r="K1670" s="8"/>
    </row>
    <row r="1671" spans="1:20" ht="15.75" thickBot="1" x14ac:dyDescent="0.3">
      <c r="A1671" s="39"/>
      <c r="B1671" s="38"/>
      <c r="C1671" s="38"/>
      <c r="D1671" s="38"/>
      <c r="E1671" s="38"/>
      <c r="F1671" s="38"/>
      <c r="G1671" s="38"/>
      <c r="H1671" s="8"/>
      <c r="I1671" s="8"/>
      <c r="J1671" s="8"/>
      <c r="K1671" s="8"/>
    </row>
    <row r="1672" spans="1:20" ht="15.75" thickBot="1" x14ac:dyDescent="0.3">
      <c r="A1672" s="39"/>
      <c r="B1672" s="38"/>
      <c r="C1672" s="38"/>
      <c r="D1672" s="38"/>
      <c r="E1672" s="38"/>
      <c r="F1672" s="38"/>
      <c r="G1672" s="38"/>
      <c r="H1672" s="8"/>
      <c r="I1672" s="8"/>
      <c r="J1672" s="8"/>
      <c r="K1672" s="8"/>
      <c r="L1672" s="3"/>
      <c r="M1672" s="3"/>
    </row>
    <row r="1673" spans="1:20" ht="15.75" thickBot="1" x14ac:dyDescent="0.3">
      <c r="A1673" s="39"/>
      <c r="B1673" s="38"/>
      <c r="C1673" s="38"/>
      <c r="D1673" s="38"/>
      <c r="E1673" s="38"/>
      <c r="F1673" s="38"/>
      <c r="G1673" s="38"/>
      <c r="H1673" s="8"/>
      <c r="I1673" s="8"/>
      <c r="J1673" s="8"/>
      <c r="K1673" s="8"/>
      <c r="L1673" s="3"/>
      <c r="M1673" s="3"/>
    </row>
    <row r="1674" spans="1:20" ht="15.75" thickBot="1" x14ac:dyDescent="0.3">
      <c r="A1674" s="39"/>
      <c r="B1674" s="38"/>
      <c r="C1674" s="38"/>
      <c r="D1674" s="38"/>
      <c r="E1674" s="38"/>
      <c r="F1674" s="38"/>
      <c r="G1674" s="38"/>
      <c r="H1674" s="8"/>
      <c r="I1674" s="8"/>
      <c r="J1674" s="8"/>
      <c r="K1674" s="8"/>
      <c r="L1674" s="3"/>
      <c r="M1674" s="3"/>
    </row>
    <row r="1675" spans="1:20" ht="15.75" thickBot="1" x14ac:dyDescent="0.3">
      <c r="A1675" s="39"/>
      <c r="B1675" s="38"/>
      <c r="C1675" s="38"/>
      <c r="D1675" s="38"/>
      <c r="E1675" s="38"/>
      <c r="F1675" s="38"/>
      <c r="G1675" s="38"/>
      <c r="H1675" s="8"/>
      <c r="I1675" s="8"/>
      <c r="J1675" s="8"/>
      <c r="K1675" s="8"/>
      <c r="L1675" s="3"/>
      <c r="M1675" s="3"/>
    </row>
    <row r="1676" spans="1:20" ht="15.75" thickBot="1" x14ac:dyDescent="0.3">
      <c r="A1676" s="39"/>
      <c r="B1676" s="38"/>
      <c r="C1676" s="38"/>
      <c r="D1676" s="38"/>
      <c r="E1676" s="38"/>
      <c r="F1676" s="38"/>
      <c r="G1676" s="38"/>
      <c r="H1676" s="8"/>
      <c r="I1676" s="8"/>
      <c r="J1676" s="8"/>
      <c r="K1676" s="8"/>
      <c r="L1676" s="3"/>
      <c r="M1676" s="3"/>
    </row>
    <row r="1677" spans="1:20" ht="15.75" thickBot="1" x14ac:dyDescent="0.3">
      <c r="A1677" s="39"/>
      <c r="B1677" s="38"/>
      <c r="C1677" s="38"/>
      <c r="D1677" s="38"/>
      <c r="E1677" s="38"/>
      <c r="F1677" s="38"/>
      <c r="G1677" s="38"/>
      <c r="H1677" s="8"/>
      <c r="I1677" s="8"/>
      <c r="J1677" s="8"/>
      <c r="K1677" s="8"/>
      <c r="L1677" s="3"/>
      <c r="M1677" s="3"/>
    </row>
    <row r="1678" spans="1:20" ht="15.75" thickBot="1" x14ac:dyDescent="0.3">
      <c r="A1678" s="39"/>
      <c r="B1678" s="38"/>
      <c r="C1678" s="38"/>
      <c r="D1678" s="38"/>
      <c r="E1678" s="38"/>
      <c r="F1678" s="38"/>
      <c r="G1678" s="38"/>
      <c r="H1678" s="8"/>
      <c r="I1678" s="8"/>
      <c r="J1678" s="8"/>
      <c r="K1678" s="8"/>
      <c r="L1678" s="3"/>
      <c r="M1678" s="3"/>
    </row>
    <row r="1679" spans="1:20" ht="15.75" thickBot="1" x14ac:dyDescent="0.3">
      <c r="A1679" s="39"/>
      <c r="B1679" s="38"/>
      <c r="C1679" s="38"/>
      <c r="D1679" s="38"/>
      <c r="E1679" s="38"/>
      <c r="F1679" s="38"/>
      <c r="G1679" s="38"/>
      <c r="H1679" s="8"/>
      <c r="I1679" s="8"/>
      <c r="J1679" s="8"/>
      <c r="K1679" s="8"/>
      <c r="L1679" s="3"/>
      <c r="M1679" s="3"/>
    </row>
    <row r="1680" spans="1:20" ht="15.75" thickBot="1" x14ac:dyDescent="0.3">
      <c r="A1680" s="39"/>
      <c r="B1680" s="38"/>
      <c r="C1680" s="38"/>
      <c r="D1680" s="38"/>
      <c r="E1680" s="38"/>
      <c r="F1680" s="38"/>
      <c r="G1680" s="38"/>
      <c r="H1680" s="8"/>
      <c r="I1680" s="8"/>
      <c r="J1680" s="8"/>
      <c r="K1680" s="8"/>
      <c r="L1680" s="3"/>
      <c r="M1680" s="3"/>
      <c r="N1680" s="3"/>
      <c r="O1680" s="4"/>
      <c r="P1680" s="5"/>
      <c r="Q1680" s="5"/>
      <c r="R1680" s="5"/>
      <c r="S1680" s="5"/>
      <c r="T1680" s="5"/>
    </row>
    <row r="1681" spans="1:20" ht="15.75" thickBot="1" x14ac:dyDescent="0.3">
      <c r="A1681" s="39"/>
      <c r="B1681" s="38"/>
      <c r="C1681" s="38"/>
      <c r="D1681" s="38"/>
      <c r="E1681" s="38"/>
      <c r="F1681" s="38"/>
      <c r="G1681" s="38"/>
      <c r="H1681" s="8"/>
      <c r="I1681" s="8"/>
      <c r="J1681" s="8"/>
      <c r="K1681" s="8"/>
      <c r="L1681" s="3"/>
      <c r="M1681" s="3"/>
      <c r="N1681" s="3"/>
      <c r="O1681" s="4"/>
      <c r="P1681" s="5"/>
      <c r="Q1681" s="5"/>
      <c r="R1681" s="5"/>
      <c r="S1681" s="5"/>
      <c r="T1681" s="5"/>
    </row>
    <row r="1682" spans="1:20" ht="15.75" thickBot="1" x14ac:dyDescent="0.3">
      <c r="A1682" s="39"/>
      <c r="B1682" s="38"/>
      <c r="C1682" s="38"/>
      <c r="D1682" s="38"/>
      <c r="E1682" s="38"/>
      <c r="F1682" s="38"/>
      <c r="G1682" s="38"/>
      <c r="H1682" s="8"/>
      <c r="I1682" s="8"/>
      <c r="J1682" s="8"/>
      <c r="K1682" s="8"/>
      <c r="L1682" s="3"/>
      <c r="M1682" s="3"/>
      <c r="N1682" s="3"/>
      <c r="O1682" s="4"/>
      <c r="P1682" s="5"/>
      <c r="Q1682" s="5"/>
      <c r="R1682" s="5"/>
      <c r="S1682" s="5"/>
      <c r="T1682" s="5"/>
    </row>
    <row r="1683" spans="1:20" ht="15.75" thickBot="1" x14ac:dyDescent="0.3">
      <c r="A1683" s="39"/>
      <c r="B1683" s="38"/>
      <c r="C1683" s="38"/>
      <c r="D1683" s="38"/>
      <c r="E1683" s="38"/>
      <c r="F1683" s="38"/>
      <c r="G1683" s="38"/>
      <c r="H1683" s="8"/>
      <c r="I1683" s="8"/>
      <c r="J1683" s="8"/>
      <c r="K1683" s="8"/>
      <c r="L1683" s="3"/>
      <c r="M1683" s="3"/>
      <c r="N1683" s="3"/>
      <c r="O1683" s="4"/>
      <c r="P1683" s="5"/>
      <c r="Q1683" s="5"/>
      <c r="R1683" s="5"/>
      <c r="S1683" s="5"/>
      <c r="T1683" s="5"/>
    </row>
    <row r="1684" spans="1:20" ht="15.75" thickBot="1" x14ac:dyDescent="0.3">
      <c r="A1684" s="39"/>
      <c r="B1684" s="38"/>
      <c r="C1684" s="38"/>
      <c r="D1684" s="38"/>
      <c r="E1684" s="38"/>
      <c r="F1684" s="38"/>
      <c r="G1684" s="38"/>
      <c r="H1684" s="8"/>
      <c r="I1684" s="8"/>
      <c r="J1684" s="8"/>
      <c r="K1684" s="8"/>
      <c r="L1684" s="3"/>
      <c r="M1684" s="3"/>
      <c r="N1684" s="3"/>
      <c r="O1684" s="4"/>
      <c r="P1684" s="5"/>
      <c r="Q1684" s="5"/>
      <c r="R1684" s="5"/>
      <c r="S1684" s="5"/>
      <c r="T1684" s="5"/>
    </row>
    <row r="1685" spans="1:20" ht="15.75" thickBot="1" x14ac:dyDescent="0.3">
      <c r="A1685" s="39"/>
      <c r="B1685" s="38"/>
      <c r="C1685" s="38"/>
      <c r="D1685" s="38"/>
      <c r="E1685" s="38"/>
      <c r="F1685" s="38"/>
      <c r="G1685" s="38"/>
      <c r="H1685" s="8"/>
      <c r="I1685" s="8"/>
      <c r="J1685" s="8"/>
      <c r="K1685" s="8"/>
      <c r="L1685" s="3"/>
      <c r="M1685" s="3"/>
      <c r="N1685" s="3"/>
      <c r="O1685" s="6"/>
      <c r="P1685" s="5"/>
      <c r="Q1685" s="5"/>
      <c r="R1685" s="5"/>
      <c r="S1685" s="5"/>
      <c r="T1685" s="5"/>
    </row>
    <row r="1686" spans="1:20" ht="15.75" thickBot="1" x14ac:dyDescent="0.3">
      <c r="A1686" s="39"/>
      <c r="B1686" s="38"/>
      <c r="C1686" s="38"/>
      <c r="D1686" s="38"/>
      <c r="E1686" s="38"/>
      <c r="F1686" s="38"/>
      <c r="G1686" s="38"/>
      <c r="H1686" s="8"/>
      <c r="I1686" s="8"/>
      <c r="J1686" s="8"/>
      <c r="K1686" s="8"/>
      <c r="L1686" s="3"/>
      <c r="M1686" s="3"/>
      <c r="N1686" s="3"/>
      <c r="O1686" s="6"/>
      <c r="P1686" s="5"/>
      <c r="Q1686" s="5"/>
      <c r="R1686" s="5"/>
      <c r="S1686" s="5"/>
      <c r="T1686" s="5"/>
    </row>
    <row r="1687" spans="1:20" ht="15.75" thickBot="1" x14ac:dyDescent="0.3">
      <c r="A1687" s="39"/>
      <c r="B1687" s="38"/>
      <c r="C1687" s="38"/>
      <c r="D1687" s="38"/>
      <c r="E1687" s="38"/>
      <c r="F1687" s="38"/>
      <c r="G1687" s="38"/>
      <c r="H1687" s="8"/>
      <c r="I1687" s="8"/>
      <c r="J1687" s="8"/>
      <c r="K1687" s="8"/>
      <c r="L1687" s="3"/>
      <c r="M1687" s="3"/>
      <c r="N1687" s="3"/>
      <c r="O1687" s="4"/>
      <c r="P1687" s="5"/>
      <c r="Q1687" s="5"/>
      <c r="R1687" s="5"/>
      <c r="S1687" s="5"/>
      <c r="T1687" s="5"/>
    </row>
    <row r="1688" spans="1:20" ht="15.75" thickBot="1" x14ac:dyDescent="0.3">
      <c r="A1688" s="39"/>
      <c r="B1688" s="38"/>
      <c r="C1688" s="38"/>
      <c r="D1688" s="38"/>
      <c r="E1688" s="38"/>
      <c r="F1688" s="38"/>
      <c r="G1688" s="38"/>
      <c r="H1688" s="8"/>
      <c r="I1688" s="8"/>
      <c r="J1688" s="8"/>
      <c r="K1688" s="8"/>
      <c r="L1688" s="3"/>
      <c r="M1688" s="3"/>
      <c r="N1688" s="3"/>
      <c r="O1688" s="4"/>
      <c r="P1688" s="5"/>
      <c r="Q1688" s="5"/>
      <c r="R1688" s="5"/>
      <c r="S1688" s="5"/>
      <c r="T1688" s="5"/>
    </row>
    <row r="1689" spans="1:20" ht="15.75" thickBot="1" x14ac:dyDescent="0.3">
      <c r="A1689" s="39"/>
      <c r="B1689" s="38"/>
      <c r="C1689" s="38"/>
      <c r="D1689" s="38"/>
      <c r="E1689" s="38"/>
      <c r="F1689" s="38"/>
      <c r="G1689" s="38"/>
      <c r="H1689" s="8"/>
      <c r="I1689" s="8"/>
      <c r="J1689" s="8"/>
      <c r="K1689" s="8"/>
      <c r="L1689" s="3"/>
      <c r="M1689" s="3"/>
      <c r="N1689" s="3"/>
      <c r="O1689" s="6"/>
      <c r="P1689" s="5"/>
    </row>
    <row r="1690" spans="1:20" ht="15.75" thickBot="1" x14ac:dyDescent="0.3">
      <c r="A1690" s="39"/>
      <c r="B1690" s="38"/>
      <c r="C1690" s="38"/>
      <c r="D1690" s="38"/>
      <c r="E1690" s="38"/>
      <c r="F1690" s="38"/>
      <c r="G1690" s="38"/>
      <c r="H1690" s="8"/>
      <c r="I1690" s="8"/>
      <c r="J1690" s="8"/>
      <c r="K1690" s="8"/>
      <c r="L1690" s="3"/>
      <c r="M1690" s="3"/>
      <c r="N1690" s="3"/>
      <c r="O1690" s="4"/>
      <c r="P1690" s="5"/>
      <c r="Q1690" s="5"/>
      <c r="R1690" s="5"/>
      <c r="S1690" s="5"/>
      <c r="T1690" s="5"/>
    </row>
    <row r="1691" spans="1:20" ht="15.75" thickBot="1" x14ac:dyDescent="0.3">
      <c r="A1691" s="39"/>
      <c r="B1691" s="38"/>
      <c r="C1691" s="38"/>
      <c r="D1691" s="38"/>
      <c r="E1691" s="38"/>
      <c r="F1691" s="38"/>
      <c r="G1691" s="38"/>
      <c r="H1691" s="8"/>
      <c r="I1691" s="8"/>
      <c r="J1691" s="8"/>
      <c r="K1691" s="8"/>
      <c r="L1691" s="3"/>
      <c r="M1691" s="3"/>
      <c r="N1691" s="3"/>
      <c r="O1691" s="4"/>
      <c r="P1691" s="5"/>
      <c r="Q1691" s="5"/>
      <c r="R1691" s="5"/>
      <c r="S1691" s="5"/>
      <c r="T1691" s="5"/>
    </row>
    <row r="1692" spans="1:20" ht="15.75" thickBot="1" x14ac:dyDescent="0.3">
      <c r="A1692" s="39"/>
      <c r="B1692" s="38"/>
      <c r="C1692" s="38"/>
      <c r="D1692" s="38"/>
      <c r="E1692" s="38"/>
      <c r="F1692" s="38"/>
      <c r="G1692" s="38"/>
      <c r="H1692" s="8"/>
      <c r="I1692" s="8"/>
      <c r="J1692" s="8"/>
      <c r="K1692" s="8"/>
      <c r="L1692" s="3"/>
      <c r="M1692" s="3"/>
      <c r="N1692" s="3"/>
      <c r="O1692" s="4"/>
      <c r="P1692" s="5"/>
      <c r="Q1692" s="5"/>
      <c r="R1692" s="5"/>
      <c r="S1692" s="5"/>
      <c r="T1692" s="5"/>
    </row>
    <row r="1693" spans="1:20" ht="15.75" thickBot="1" x14ac:dyDescent="0.3">
      <c r="A1693" s="39"/>
      <c r="B1693" s="38"/>
      <c r="C1693" s="38"/>
      <c r="D1693" s="38"/>
      <c r="E1693" s="38"/>
      <c r="F1693" s="38"/>
      <c r="G1693" s="8"/>
      <c r="H1693" s="8"/>
      <c r="I1693" s="8"/>
      <c r="J1693" s="8"/>
      <c r="K1693" s="8"/>
      <c r="L1693" s="3"/>
      <c r="M1693" s="3"/>
      <c r="N1693" s="3"/>
      <c r="O1693" s="4"/>
      <c r="P1693" s="5"/>
      <c r="Q1693" s="5"/>
      <c r="R1693" s="5"/>
      <c r="S1693" s="5"/>
      <c r="T1693" s="5"/>
    </row>
    <row r="1694" spans="1:20" ht="15.75" thickBot="1" x14ac:dyDescent="0.3">
      <c r="A1694" s="39"/>
      <c r="B1694" s="38"/>
      <c r="C1694" s="38"/>
      <c r="D1694" s="38"/>
      <c r="E1694" s="38"/>
      <c r="F1694" s="38"/>
      <c r="G1694" s="8"/>
      <c r="H1694" s="8"/>
      <c r="I1694" s="8"/>
      <c r="J1694" s="8"/>
      <c r="K1694" s="8"/>
      <c r="L1694" s="3"/>
      <c r="M1694" s="3"/>
      <c r="N1694" s="3"/>
      <c r="O1694" s="4"/>
      <c r="P1694" s="5"/>
      <c r="Q1694" s="5"/>
      <c r="R1694" s="5"/>
      <c r="S1694" s="5"/>
      <c r="T1694" s="5"/>
    </row>
    <row r="1695" spans="1:20" ht="15.75" thickBot="1" x14ac:dyDescent="0.3">
      <c r="A1695" s="39"/>
      <c r="B1695" s="38"/>
      <c r="C1695" s="38"/>
      <c r="D1695" s="38"/>
      <c r="E1695" s="38"/>
      <c r="F1695" s="38"/>
      <c r="G1695" s="8"/>
      <c r="H1695" s="8"/>
      <c r="I1695" s="8"/>
      <c r="J1695" s="8"/>
      <c r="K1695" s="8"/>
      <c r="L1695" s="3"/>
      <c r="M1695" s="3"/>
      <c r="N1695" s="3"/>
      <c r="O1695" s="6"/>
      <c r="P1695" s="5"/>
      <c r="Q1695" s="5"/>
      <c r="R1695" s="5"/>
      <c r="S1695" s="5"/>
      <c r="T1695" s="5"/>
    </row>
    <row r="1696" spans="1:20" ht="15.75" thickBot="1" x14ac:dyDescent="0.3">
      <c r="A1696" s="39"/>
      <c r="B1696" s="38"/>
      <c r="C1696" s="38"/>
      <c r="D1696" s="38"/>
      <c r="E1696" s="38"/>
      <c r="F1696" s="38"/>
      <c r="G1696" s="8"/>
      <c r="H1696" s="8"/>
      <c r="I1696" s="8"/>
      <c r="J1696" s="8"/>
      <c r="K1696" s="8"/>
      <c r="L1696" s="3"/>
      <c r="M1696" s="3"/>
      <c r="N1696" s="3"/>
      <c r="O1696" s="4"/>
      <c r="P1696" s="5"/>
      <c r="Q1696" s="5"/>
      <c r="R1696" s="5"/>
      <c r="S1696" s="5"/>
      <c r="T1696" s="5"/>
    </row>
    <row r="1697" spans="1:20" ht="15.75" thickBot="1" x14ac:dyDescent="0.3">
      <c r="A1697" s="39"/>
      <c r="B1697" s="38"/>
      <c r="C1697" s="38"/>
      <c r="D1697" s="38"/>
      <c r="E1697" s="38"/>
      <c r="F1697" s="38"/>
      <c r="G1697" s="8"/>
      <c r="H1697" s="8"/>
      <c r="I1697" s="8"/>
      <c r="J1697" s="8"/>
      <c r="K1697" s="8"/>
      <c r="N1697" s="3"/>
      <c r="O1697" s="6"/>
      <c r="P1697" s="5"/>
      <c r="Q1697" s="5"/>
      <c r="R1697" s="5"/>
      <c r="S1697" s="5"/>
      <c r="T1697" s="5"/>
    </row>
    <row r="1698" spans="1:20" ht="15.75" thickBot="1" x14ac:dyDescent="0.3">
      <c r="A1698" s="39"/>
      <c r="B1698" s="38"/>
      <c r="C1698" s="38"/>
      <c r="D1698" s="38"/>
      <c r="E1698" s="38"/>
      <c r="F1698" s="38"/>
      <c r="G1698" s="8"/>
      <c r="H1698" s="8"/>
      <c r="I1698" s="8"/>
      <c r="J1698" s="8"/>
      <c r="K1698" s="8"/>
      <c r="L1698" s="3"/>
      <c r="M1698" s="3"/>
      <c r="N1698" s="3"/>
      <c r="O1698" s="4"/>
      <c r="P1698" s="5"/>
      <c r="Q1698" s="5"/>
      <c r="R1698" s="5"/>
      <c r="S1698" s="5"/>
      <c r="T1698" s="5"/>
    </row>
    <row r="1699" spans="1:20" ht="15.75" thickBot="1" x14ac:dyDescent="0.3">
      <c r="A1699" s="39"/>
      <c r="B1699" s="38"/>
      <c r="C1699" s="38"/>
      <c r="D1699" s="38"/>
      <c r="E1699" s="38"/>
      <c r="F1699" s="38"/>
      <c r="G1699" s="8"/>
      <c r="H1699" s="8"/>
      <c r="I1699" s="8"/>
      <c r="J1699" s="8"/>
      <c r="K1699" s="8"/>
      <c r="L1699" s="3"/>
      <c r="M1699" s="3"/>
      <c r="N1699" s="3"/>
      <c r="O1699" s="6"/>
      <c r="P1699" s="5"/>
      <c r="Q1699" s="7"/>
    </row>
    <row r="1700" spans="1:20" ht="15.75" thickBot="1" x14ac:dyDescent="0.3">
      <c r="A1700" s="39"/>
      <c r="B1700" s="38"/>
      <c r="C1700" s="38"/>
      <c r="D1700" s="38"/>
      <c r="E1700" s="38"/>
      <c r="F1700" s="38"/>
      <c r="G1700" s="8"/>
      <c r="H1700" s="8"/>
      <c r="I1700" s="8"/>
      <c r="J1700" s="8"/>
      <c r="K1700" s="8"/>
      <c r="N1700" s="3"/>
      <c r="O1700" s="4"/>
      <c r="P1700" s="5"/>
      <c r="Q1700" s="5"/>
      <c r="R1700" s="5"/>
      <c r="S1700" s="5"/>
      <c r="T1700" s="5"/>
    </row>
    <row r="1701" spans="1:20" ht="15.75" thickBot="1" x14ac:dyDescent="0.3">
      <c r="A1701" s="37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N1701" s="3"/>
      <c r="O1701" s="4"/>
      <c r="P1701" s="5"/>
      <c r="Q1701" s="5"/>
      <c r="R1701" s="5"/>
      <c r="S1701" s="5"/>
      <c r="T1701" s="5"/>
    </row>
    <row r="1702" spans="1:20" ht="15.75" thickBot="1" x14ac:dyDescent="0.3">
      <c r="A1702" s="36"/>
      <c r="B1702" s="2"/>
      <c r="C1702" s="2"/>
      <c r="D1702" s="2"/>
      <c r="E1702" s="2"/>
      <c r="F1702" s="2"/>
      <c r="G1702" s="2"/>
      <c r="H1702" s="1"/>
      <c r="I1702" s="2"/>
      <c r="J1702" s="2"/>
      <c r="K1702" s="2"/>
      <c r="N1702" s="3"/>
      <c r="O1702" s="4"/>
      <c r="P1702" s="5"/>
      <c r="Q1702" s="5"/>
      <c r="R1702" s="5"/>
      <c r="S1702" s="5"/>
      <c r="T1702" s="5"/>
    </row>
    <row r="1703" spans="1:20" ht="15.75" thickBot="1" x14ac:dyDescent="0.3">
      <c r="A1703" s="36"/>
      <c r="B1703" s="2"/>
      <c r="C1703" s="2"/>
      <c r="D1703" s="2"/>
      <c r="E1703" s="2"/>
      <c r="F1703" s="2"/>
      <c r="G1703" s="2"/>
      <c r="H1703" s="1"/>
      <c r="I1703" s="2"/>
      <c r="J1703" s="2"/>
      <c r="K1703" s="2"/>
      <c r="N1703" s="3"/>
      <c r="O1703" s="6"/>
      <c r="P1703" s="5"/>
      <c r="Q1703" s="5"/>
      <c r="R1703" s="5"/>
      <c r="S1703" s="5"/>
      <c r="T1703" s="5"/>
    </row>
    <row r="1704" spans="1:20" x14ac:dyDescent="0.25">
      <c r="A1704" s="36"/>
      <c r="B1704" s="2"/>
      <c r="C1704" s="2"/>
      <c r="D1704" s="2"/>
      <c r="E1704" s="2"/>
      <c r="F1704" s="2"/>
      <c r="G1704" s="2"/>
      <c r="H1704" s="1"/>
      <c r="I1704" s="2"/>
      <c r="J1704" s="2"/>
      <c r="K1704" s="2"/>
      <c r="N1704" s="3"/>
      <c r="O1704" s="4"/>
      <c r="P1704" s="5"/>
      <c r="Q1704" s="5"/>
      <c r="R1704" s="5"/>
      <c r="S1704" s="5"/>
      <c r="T1704" s="5"/>
    </row>
    <row r="1705" spans="1:20" ht="15.75" thickBot="1" x14ac:dyDescent="0.3">
      <c r="A1705" s="36"/>
      <c r="B1705" s="2"/>
      <c r="C1705" s="2"/>
      <c r="D1705" s="2"/>
      <c r="E1705" s="2"/>
      <c r="F1705" s="2"/>
      <c r="G1705" s="2"/>
      <c r="H1705" s="1"/>
      <c r="I1705" s="2"/>
      <c r="J1705" s="2"/>
      <c r="K1705" s="2"/>
    </row>
    <row r="1706" spans="1:20" ht="15.75" thickBot="1" x14ac:dyDescent="0.3">
      <c r="A1706" s="36"/>
      <c r="B1706" s="2"/>
      <c r="C1706" s="2"/>
      <c r="D1706" s="2"/>
      <c r="E1706" s="2"/>
      <c r="F1706" s="2"/>
      <c r="G1706" s="2"/>
      <c r="H1706" s="1"/>
      <c r="I1706" s="2"/>
      <c r="J1706" s="2"/>
      <c r="K1706" s="2"/>
      <c r="N1706" s="3"/>
      <c r="O1706" s="4"/>
      <c r="P1706" s="5"/>
      <c r="Q1706" s="5"/>
      <c r="R1706" s="5"/>
      <c r="S1706" s="5"/>
      <c r="T1706" s="5"/>
    </row>
    <row r="1707" spans="1:20" x14ac:dyDescent="0.25">
      <c r="A1707" s="36"/>
      <c r="B1707" s="2"/>
      <c r="C1707" s="2"/>
      <c r="D1707" s="2"/>
      <c r="E1707" s="2"/>
      <c r="F1707" s="2"/>
      <c r="G1707" s="2"/>
      <c r="H1707" s="1"/>
      <c r="I1707" s="2"/>
      <c r="J1707" s="2"/>
      <c r="K1707" s="2"/>
      <c r="N1707" s="3"/>
      <c r="O1707" s="4"/>
      <c r="P1707" s="5"/>
      <c r="Q1707" s="5"/>
      <c r="R1707" s="5"/>
      <c r="S1707" s="5"/>
      <c r="T1707" s="5"/>
    </row>
    <row r="1708" spans="1:20" x14ac:dyDescent="0.25">
      <c r="A1708" s="36"/>
      <c r="B1708" s="2"/>
      <c r="C1708" s="2"/>
      <c r="D1708" s="2"/>
      <c r="E1708" s="2"/>
      <c r="F1708" s="2"/>
      <c r="G1708" s="2"/>
      <c r="H1708" s="1"/>
      <c r="I1708" s="2"/>
      <c r="J1708" s="2"/>
      <c r="K1708" s="2"/>
    </row>
    <row r="1709" spans="1:20" x14ac:dyDescent="0.25">
      <c r="A1709" s="36"/>
      <c r="B1709" s="2"/>
      <c r="C1709" s="2"/>
      <c r="D1709" s="2"/>
      <c r="E1709" s="2"/>
      <c r="F1709" s="2"/>
      <c r="G1709" s="2"/>
      <c r="H1709" s="1"/>
      <c r="I1709" s="2"/>
      <c r="J1709" s="2"/>
      <c r="K1709" s="2"/>
    </row>
    <row r="1710" spans="1:20" x14ac:dyDescent="0.25">
      <c r="A1710" s="36"/>
      <c r="B1710" s="2"/>
      <c r="C1710" s="2"/>
      <c r="D1710" s="2"/>
      <c r="E1710" s="2"/>
      <c r="F1710" s="2"/>
      <c r="G1710" s="2"/>
      <c r="H1710" s="1"/>
      <c r="I1710" s="1"/>
      <c r="J1710" s="2"/>
      <c r="K1710" s="2"/>
    </row>
    <row r="1711" spans="1:20" x14ac:dyDescent="0.25">
      <c r="A1711" s="36"/>
      <c r="B1711" s="2"/>
      <c r="C1711" s="2"/>
      <c r="D1711" s="2"/>
      <c r="E1711" s="2"/>
      <c r="F1711" s="2"/>
      <c r="G1711" s="2"/>
      <c r="H1711" s="1"/>
      <c r="I1711" s="1"/>
      <c r="J1711" s="2"/>
      <c r="K1711" s="2"/>
    </row>
    <row r="1712" spans="1:20" x14ac:dyDescent="0.25">
      <c r="A1712" s="36"/>
      <c r="B1712" s="2"/>
      <c r="C1712" s="2"/>
      <c r="D1712" s="2"/>
      <c r="E1712" s="2"/>
      <c r="F1712" s="2"/>
      <c r="G1712" s="2"/>
      <c r="H1712" s="1"/>
      <c r="I1712" s="1"/>
      <c r="J1712" s="2"/>
      <c r="K1712" s="2"/>
    </row>
    <row r="1713" spans="1:11" x14ac:dyDescent="0.25">
      <c r="A1713" s="36"/>
      <c r="B1713" s="2"/>
      <c r="C1713" s="2"/>
      <c r="D1713" s="2"/>
      <c r="E1713" s="2"/>
      <c r="F1713" s="2"/>
      <c r="G1713" s="2"/>
      <c r="H1713" s="1"/>
      <c r="I1713" s="2"/>
      <c r="J1713" s="2"/>
      <c r="K1713" s="2"/>
    </row>
    <row r="1714" spans="1:11" x14ac:dyDescent="0.25">
      <c r="A1714" s="36"/>
      <c r="B1714" s="2"/>
      <c r="C1714" s="2"/>
      <c r="D1714" s="2"/>
      <c r="E1714" s="2"/>
      <c r="F1714" s="2"/>
      <c r="G1714" s="2"/>
      <c r="H1714" s="1"/>
      <c r="I1714" s="2"/>
      <c r="J1714" s="2"/>
      <c r="K1714" s="2"/>
    </row>
    <row r="1715" spans="1:11" x14ac:dyDescent="0.25">
      <c r="A1715" s="36"/>
      <c r="B1715" s="2"/>
      <c r="C1715" s="2"/>
      <c r="D1715" s="2"/>
      <c r="E1715" s="2"/>
      <c r="F1715" s="2"/>
      <c r="G1715" s="2"/>
      <c r="H1715" s="1"/>
      <c r="I1715" s="2"/>
      <c r="J1715" s="2"/>
      <c r="K1715" s="2"/>
    </row>
    <row r="1716" spans="1:11" x14ac:dyDescent="0.25">
      <c r="A1716" s="36"/>
      <c r="B1716" s="2"/>
      <c r="C1716" s="2"/>
      <c r="D1716" s="2"/>
      <c r="E1716" s="2"/>
      <c r="F1716" s="2"/>
      <c r="G1716" s="2"/>
      <c r="H1716" s="1"/>
      <c r="I1716" s="1"/>
      <c r="J1716" s="2"/>
      <c r="K1716" s="2"/>
    </row>
    <row r="1717" spans="1:11" x14ac:dyDescent="0.25">
      <c r="A1717" s="36"/>
      <c r="B1717" s="2"/>
      <c r="C1717" s="2"/>
      <c r="D1717" s="2"/>
      <c r="E1717" s="2"/>
      <c r="F1717" s="2"/>
      <c r="G1717" s="2"/>
      <c r="H1717" s="1"/>
      <c r="I1717" s="2"/>
      <c r="J1717" s="2"/>
      <c r="K1717" s="2"/>
    </row>
    <row r="1718" spans="1:11" x14ac:dyDescent="0.25">
      <c r="A1718" s="36"/>
      <c r="B1718" s="2"/>
      <c r="C1718" s="2"/>
      <c r="D1718" s="2"/>
      <c r="E1718" s="2"/>
      <c r="F1718" s="2"/>
      <c r="G1718" s="2"/>
      <c r="H1718" s="1"/>
      <c r="I1718" s="2"/>
      <c r="J1718" s="2"/>
      <c r="K1718" s="2"/>
    </row>
    <row r="1719" spans="1:11" x14ac:dyDescent="0.25">
      <c r="A1719" s="36"/>
      <c r="B1719" s="2"/>
      <c r="C1719" s="2"/>
      <c r="D1719" s="2"/>
      <c r="E1719" s="2"/>
      <c r="F1719" s="2"/>
      <c r="G1719" s="2"/>
      <c r="H1719" s="1"/>
      <c r="I1719" s="2"/>
      <c r="J1719" s="2"/>
      <c r="K1719" s="2"/>
    </row>
    <row r="1720" spans="1:11" x14ac:dyDescent="0.25">
      <c r="A1720" s="36"/>
      <c r="B1720" s="2"/>
      <c r="C1720" s="2"/>
      <c r="D1720" s="2"/>
      <c r="E1720" s="2"/>
      <c r="F1720" s="2"/>
      <c r="G1720" s="2"/>
      <c r="H1720" s="1"/>
      <c r="I1720" s="2"/>
      <c r="J1720" s="2"/>
      <c r="K1720" s="2"/>
    </row>
    <row r="1721" spans="1:11" x14ac:dyDescent="0.25">
      <c r="A1721" s="36"/>
      <c r="B1721" s="2"/>
      <c r="C1721" s="2"/>
      <c r="D1721" s="2"/>
      <c r="E1721" s="2"/>
      <c r="F1721" s="2"/>
      <c r="G1721" s="2"/>
      <c r="H1721" s="1"/>
      <c r="I1721" s="2"/>
      <c r="J1721" s="2"/>
      <c r="K1721" s="2"/>
    </row>
    <row r="1722" spans="1:11" x14ac:dyDescent="0.25">
      <c r="A1722" s="36"/>
      <c r="B1722" s="2"/>
      <c r="C1722" s="2"/>
      <c r="D1722" s="2"/>
      <c r="E1722" s="2"/>
      <c r="F1722" s="2"/>
      <c r="G1722" s="2"/>
      <c r="H1722" s="1"/>
      <c r="I1722" s="2"/>
      <c r="J1722" s="2"/>
      <c r="K1722" s="2"/>
    </row>
    <row r="1723" spans="1:11" x14ac:dyDescent="0.25">
      <c r="A1723" s="36"/>
      <c r="B1723" s="2"/>
      <c r="C1723" s="2"/>
      <c r="D1723" s="2"/>
      <c r="E1723" s="2"/>
      <c r="F1723" s="2"/>
      <c r="G1723" s="2"/>
      <c r="H1723" s="1"/>
      <c r="I1723" s="2"/>
      <c r="J1723" s="2"/>
      <c r="K1723" s="2"/>
    </row>
    <row r="1724" spans="1:11" x14ac:dyDescent="0.25">
      <c r="A1724" s="36"/>
      <c r="B1724" s="2"/>
      <c r="C1724" s="2"/>
      <c r="D1724" s="2"/>
      <c r="E1724" s="2"/>
      <c r="F1724" s="2"/>
      <c r="G1724" s="2"/>
      <c r="H1724" s="1"/>
      <c r="I1724" s="2"/>
      <c r="J1724" s="2"/>
      <c r="K1724" s="2"/>
    </row>
    <row r="1725" spans="1:11" x14ac:dyDescent="0.25">
      <c r="A1725" s="36"/>
      <c r="B1725" s="2"/>
      <c r="C1725" s="2"/>
      <c r="D1725" s="2"/>
      <c r="E1725" s="2"/>
      <c r="F1725" s="2"/>
      <c r="G1725" s="2"/>
      <c r="H1725" s="1"/>
      <c r="I1725" s="2"/>
      <c r="J1725" s="2"/>
      <c r="K1725" s="2"/>
    </row>
    <row r="1726" spans="1:11" x14ac:dyDescent="0.25">
      <c r="A1726" s="36"/>
      <c r="B1726" s="2"/>
      <c r="C1726" s="2"/>
      <c r="D1726" s="2"/>
      <c r="E1726" s="2"/>
      <c r="F1726" s="2"/>
      <c r="G1726" s="2"/>
      <c r="H1726" s="1"/>
      <c r="I1726" s="2"/>
      <c r="J1726" s="2"/>
      <c r="K1726" s="2"/>
    </row>
    <row r="1727" spans="1:11" x14ac:dyDescent="0.25">
      <c r="A1727" s="36"/>
      <c r="B1727" s="2"/>
      <c r="C1727" s="2"/>
      <c r="D1727" s="2"/>
      <c r="E1727" s="2"/>
      <c r="F1727" s="2"/>
      <c r="G1727" s="2"/>
      <c r="H1727" s="1"/>
      <c r="I1727" s="2"/>
      <c r="J1727" s="2"/>
      <c r="K1727" s="2"/>
    </row>
    <row r="1728" spans="1:11" x14ac:dyDescent="0.25">
      <c r="A1728" s="36"/>
      <c r="B1728" s="2"/>
      <c r="C1728" s="2"/>
      <c r="D1728" s="2"/>
      <c r="E1728" s="2"/>
      <c r="F1728" s="2"/>
      <c r="G1728" s="2"/>
      <c r="H1728" s="1"/>
      <c r="I1728" s="2"/>
      <c r="J1728" s="2"/>
      <c r="K1728" s="2"/>
    </row>
    <row r="1729" spans="1:11" x14ac:dyDescent="0.25">
      <c r="A1729" s="36"/>
      <c r="B1729" s="2"/>
      <c r="C1729" s="2"/>
      <c r="D1729" s="2"/>
      <c r="E1729" s="2"/>
      <c r="F1729" s="2"/>
      <c r="G1729" s="2"/>
      <c r="H1729" s="1"/>
      <c r="I1729" s="2"/>
      <c r="J1729" s="2"/>
      <c r="K1729" s="2"/>
    </row>
    <row r="1730" spans="1:11" x14ac:dyDescent="0.25">
      <c r="A1730" s="36"/>
      <c r="B1730" s="2"/>
      <c r="C1730" s="2"/>
      <c r="D1730" s="2"/>
      <c r="E1730" s="2"/>
      <c r="F1730" s="2"/>
      <c r="G1730" s="2"/>
      <c r="H1730" s="1"/>
      <c r="I1730" s="2"/>
      <c r="J1730" s="2"/>
      <c r="K1730" s="2"/>
    </row>
    <row r="1731" spans="1:11" x14ac:dyDescent="0.25">
      <c r="A1731" s="36"/>
      <c r="B1731" s="2"/>
      <c r="C1731" s="2"/>
      <c r="D1731" s="2"/>
      <c r="E1731" s="2"/>
      <c r="F1731" s="2"/>
      <c r="G1731" s="2"/>
      <c r="H1731" s="1"/>
      <c r="I1731" s="2"/>
      <c r="J1731" s="2"/>
      <c r="K1731" s="2"/>
    </row>
    <row r="1732" spans="1:11" x14ac:dyDescent="0.25">
      <c r="A1732" s="36"/>
      <c r="B1732" s="2"/>
      <c r="C1732" s="2"/>
      <c r="D1732" s="2"/>
      <c r="E1732" s="2"/>
      <c r="F1732" s="2"/>
      <c r="G1732" s="2"/>
      <c r="H1732" s="1"/>
      <c r="I1732" s="2"/>
      <c r="J1732" s="2"/>
      <c r="K1732" s="2"/>
    </row>
    <row r="1733" spans="1:11" x14ac:dyDescent="0.25">
      <c r="A1733" s="36"/>
      <c r="B1733" s="2"/>
      <c r="C1733" s="2"/>
      <c r="D1733" s="2"/>
      <c r="E1733" s="2"/>
      <c r="F1733" s="2"/>
      <c r="G1733" s="2"/>
      <c r="H1733" s="1"/>
      <c r="I1733" s="2"/>
      <c r="J1733" s="2"/>
      <c r="K1733" s="2"/>
    </row>
    <row r="1734" spans="1:11" x14ac:dyDescent="0.25">
      <c r="A1734" s="36"/>
      <c r="B1734" s="2"/>
      <c r="C1734" s="2"/>
      <c r="D1734" s="2"/>
      <c r="E1734" s="2"/>
      <c r="F1734" s="2"/>
      <c r="G1734" s="2"/>
      <c r="H1734" s="1"/>
      <c r="I1734" s="2"/>
      <c r="J1734" s="2"/>
      <c r="K1734" s="2"/>
    </row>
    <row r="1735" spans="1:11" x14ac:dyDescent="0.25">
      <c r="A1735" s="36"/>
      <c r="B1735" s="2"/>
      <c r="C1735" s="2"/>
      <c r="D1735" s="2"/>
      <c r="E1735" s="2"/>
      <c r="F1735" s="2"/>
      <c r="G1735" s="2"/>
      <c r="H1735" s="1"/>
      <c r="I1735" s="2"/>
      <c r="J1735" s="2"/>
      <c r="K1735" s="2"/>
    </row>
    <row r="1736" spans="1:11" x14ac:dyDescent="0.25">
      <c r="A1736" s="36"/>
      <c r="B1736" s="2"/>
      <c r="C1736" s="2"/>
      <c r="D1736" s="2"/>
      <c r="E1736" s="2"/>
      <c r="F1736" s="2"/>
      <c r="G1736" s="2"/>
      <c r="H1736" s="1"/>
      <c r="I1736" s="2"/>
      <c r="J1736" s="2"/>
      <c r="K1736" s="2"/>
    </row>
    <row r="1737" spans="1:11" x14ac:dyDescent="0.25">
      <c r="A1737" s="36"/>
      <c r="B1737" s="2"/>
      <c r="C1737" s="2"/>
      <c r="D1737" s="2"/>
      <c r="E1737" s="2"/>
      <c r="F1737" s="2"/>
      <c r="G1737" s="2"/>
      <c r="H1737" s="1"/>
      <c r="I1737" s="2"/>
      <c r="J1737" s="2"/>
      <c r="K1737" s="2"/>
    </row>
    <row r="1738" spans="1:11" x14ac:dyDescent="0.25">
      <c r="A1738" s="36"/>
      <c r="B1738" s="2"/>
      <c r="C1738" s="2"/>
      <c r="D1738" s="2"/>
      <c r="E1738" s="2"/>
      <c r="F1738" s="2"/>
      <c r="G1738" s="2"/>
      <c r="H1738" s="1"/>
      <c r="I1738" s="2"/>
      <c r="J1738" s="2"/>
      <c r="K1738" s="2"/>
    </row>
    <row r="1739" spans="1:11" x14ac:dyDescent="0.25">
      <c r="A1739" s="36"/>
      <c r="B1739" s="2"/>
      <c r="C1739" s="2"/>
      <c r="D1739" s="2"/>
      <c r="E1739" s="2"/>
      <c r="F1739" s="2"/>
      <c r="G1739" s="2"/>
      <c r="H1739" s="1"/>
      <c r="I1739" s="2"/>
      <c r="J1739" s="2"/>
      <c r="K1739" s="2"/>
    </row>
    <row r="1740" spans="1:11" x14ac:dyDescent="0.25">
      <c r="A1740" s="36"/>
      <c r="B1740" s="2"/>
      <c r="C1740" s="2"/>
      <c r="D1740" s="2"/>
      <c r="E1740" s="2"/>
      <c r="F1740" s="2"/>
      <c r="G1740" s="2"/>
      <c r="H1740" s="1"/>
      <c r="I1740" s="2"/>
      <c r="J1740" s="2"/>
      <c r="K1740" s="2"/>
    </row>
    <row r="1741" spans="1:11" x14ac:dyDescent="0.25">
      <c r="A1741" s="36"/>
      <c r="B1741" s="2"/>
      <c r="C1741" s="2"/>
      <c r="D1741" s="2"/>
      <c r="E1741" s="2"/>
      <c r="F1741" s="2"/>
      <c r="G1741" s="2"/>
      <c r="H1741" s="1"/>
      <c r="I1741" s="2"/>
      <c r="J1741" s="2"/>
      <c r="K1741" s="2"/>
    </row>
    <row r="1742" spans="1:11" x14ac:dyDescent="0.25">
      <c r="A1742" s="36"/>
      <c r="B1742" s="2"/>
      <c r="C1742" s="2"/>
      <c r="D1742" s="2"/>
      <c r="E1742" s="2"/>
      <c r="F1742" s="2"/>
      <c r="G1742" s="2"/>
      <c r="H1742" s="1"/>
      <c r="I1742" s="2"/>
      <c r="J1742" s="2"/>
      <c r="K1742" s="2"/>
    </row>
    <row r="1743" spans="1:11" x14ac:dyDescent="0.25">
      <c r="A1743" s="36"/>
      <c r="B1743" s="2"/>
      <c r="C1743" s="2"/>
      <c r="D1743" s="2"/>
      <c r="E1743" s="2"/>
      <c r="F1743" s="2"/>
      <c r="G1743" s="2"/>
      <c r="H1743" s="1"/>
      <c r="I1743" s="1"/>
      <c r="J1743" s="2"/>
      <c r="K1743" s="2"/>
    </row>
    <row r="1744" spans="1:11" x14ac:dyDescent="0.25">
      <c r="A1744" s="36"/>
      <c r="B1744" s="2"/>
      <c r="C1744" s="2"/>
      <c r="D1744" s="2"/>
      <c r="E1744" s="2"/>
      <c r="F1744" s="2"/>
      <c r="G1744" s="2"/>
      <c r="H1744" s="1"/>
      <c r="I1744" s="2"/>
      <c r="J1744" s="2"/>
      <c r="K1744" s="2"/>
    </row>
    <row r="1745" spans="1:11" x14ac:dyDescent="0.25">
      <c r="A1745" s="36"/>
      <c r="B1745" s="2"/>
      <c r="C1745" s="2"/>
      <c r="D1745" s="2"/>
      <c r="E1745" s="2"/>
      <c r="F1745" s="2"/>
      <c r="G1745" s="2"/>
      <c r="H1745" s="1"/>
      <c r="I1745" s="2"/>
      <c r="J1745" s="2"/>
      <c r="K1745" s="2"/>
    </row>
    <row r="1746" spans="1:11" x14ac:dyDescent="0.25">
      <c r="A1746" s="36"/>
      <c r="B1746" s="2"/>
      <c r="C1746" s="2"/>
      <c r="D1746" s="2"/>
      <c r="E1746" s="2"/>
      <c r="F1746" s="2"/>
      <c r="G1746" s="2"/>
      <c r="H1746" s="1"/>
      <c r="I1746" s="1"/>
      <c r="J1746" s="2"/>
      <c r="K1746" s="2"/>
    </row>
    <row r="1747" spans="1:11" x14ac:dyDescent="0.25">
      <c r="A1747" s="36"/>
      <c r="B1747" s="2"/>
      <c r="C1747" s="2"/>
      <c r="D1747" s="2"/>
      <c r="E1747" s="2"/>
      <c r="F1747" s="2"/>
      <c r="G1747" s="2"/>
      <c r="H1747" s="1"/>
      <c r="I1747" s="1"/>
      <c r="J1747" s="2"/>
      <c r="K1747" s="2"/>
    </row>
    <row r="1748" spans="1:11" x14ac:dyDescent="0.25">
      <c r="A1748" s="36"/>
      <c r="B1748" s="2"/>
      <c r="C1748" s="2"/>
      <c r="D1748" s="2"/>
      <c r="E1748" s="2"/>
      <c r="F1748" s="2"/>
      <c r="G1748" s="2"/>
      <c r="H1748" s="1"/>
      <c r="I1748" s="1"/>
      <c r="J1748" s="2"/>
      <c r="K1748" s="2"/>
    </row>
    <row r="1749" spans="1:11" x14ac:dyDescent="0.25">
      <c r="A1749" s="36"/>
      <c r="B1749" s="2"/>
      <c r="C1749" s="2"/>
      <c r="D1749" s="2"/>
      <c r="E1749" s="2"/>
      <c r="F1749" s="2"/>
      <c r="G1749" s="2"/>
      <c r="H1749" s="1"/>
      <c r="I1749" s="1"/>
      <c r="J1749" s="2"/>
      <c r="K1749" s="2"/>
    </row>
    <row r="1750" spans="1:11" x14ac:dyDescent="0.25">
      <c r="A1750" s="36"/>
      <c r="B1750" s="2"/>
      <c r="C1750" s="2"/>
      <c r="D1750" s="2"/>
      <c r="E1750" s="2"/>
      <c r="F1750" s="2"/>
      <c r="G1750" s="2"/>
      <c r="H1750" s="1"/>
      <c r="I1750" s="1"/>
      <c r="J1750" s="2"/>
      <c r="K1750" s="2"/>
    </row>
    <row r="1751" spans="1:11" x14ac:dyDescent="0.25">
      <c r="A1751" s="36"/>
      <c r="B1751" s="2"/>
      <c r="C1751" s="2"/>
      <c r="D1751" s="2"/>
      <c r="E1751" s="2"/>
      <c r="F1751" s="2"/>
      <c r="G1751" s="2"/>
      <c r="H1751" s="1"/>
      <c r="I1751" s="1"/>
      <c r="J1751" s="2"/>
      <c r="K1751" s="2"/>
    </row>
    <row r="1752" spans="1:11" x14ac:dyDescent="0.25">
      <c r="A1752" s="36"/>
      <c r="B1752" s="2"/>
      <c r="C1752" s="2"/>
      <c r="D1752" s="2"/>
      <c r="E1752" s="2"/>
      <c r="F1752" s="2"/>
      <c r="G1752" s="2"/>
      <c r="H1752" s="1"/>
      <c r="I1752" s="2"/>
      <c r="J1752" s="2"/>
      <c r="K1752" s="2"/>
    </row>
    <row r="1753" spans="1:11" x14ac:dyDescent="0.25">
      <c r="A1753" s="36"/>
      <c r="B1753" s="2"/>
      <c r="C1753" s="2"/>
      <c r="D1753" s="2"/>
      <c r="E1753" s="2"/>
      <c r="F1753" s="2"/>
      <c r="G1753" s="2"/>
      <c r="H1753" s="1"/>
      <c r="I1753" s="1"/>
      <c r="J1753" s="2"/>
      <c r="K1753" s="2"/>
    </row>
    <row r="1754" spans="1:11" x14ac:dyDescent="0.25">
      <c r="A1754" s="36"/>
      <c r="B1754" s="2"/>
      <c r="C1754" s="2"/>
      <c r="D1754" s="2"/>
      <c r="E1754" s="2"/>
      <c r="F1754" s="2"/>
      <c r="G1754" s="2"/>
      <c r="H1754" s="1"/>
      <c r="I1754" s="1"/>
      <c r="J1754" s="2"/>
      <c r="K1754" s="2"/>
    </row>
    <row r="1755" spans="1:11" x14ac:dyDescent="0.25">
      <c r="A1755" s="36"/>
      <c r="B1755" s="2"/>
      <c r="C1755" s="2"/>
      <c r="D1755" s="2"/>
      <c r="E1755" s="2"/>
      <c r="F1755" s="2"/>
      <c r="G1755" s="2"/>
      <c r="H1755" s="1"/>
      <c r="I1755" s="2"/>
      <c r="J1755" s="2"/>
      <c r="K1755" s="2"/>
    </row>
    <row r="1756" spans="1:11" x14ac:dyDescent="0.25">
      <c r="A1756" s="36"/>
      <c r="B1756" s="2"/>
      <c r="C1756" s="2"/>
      <c r="D1756" s="2"/>
      <c r="E1756" s="2"/>
      <c r="F1756" s="2"/>
      <c r="G1756" s="2"/>
      <c r="H1756" s="1"/>
      <c r="I1756" s="2"/>
      <c r="J1756" s="2"/>
      <c r="K1756" s="2"/>
    </row>
    <row r="1757" spans="1:11" x14ac:dyDescent="0.25">
      <c r="A1757" s="36"/>
      <c r="B1757" s="2"/>
      <c r="C1757" s="2"/>
      <c r="D1757" s="2"/>
      <c r="E1757" s="2"/>
      <c r="F1757" s="2"/>
      <c r="G1757" s="2"/>
      <c r="H1757" s="1"/>
      <c r="I1757" s="1"/>
      <c r="J1757" s="2"/>
      <c r="K1757" s="2"/>
    </row>
    <row r="1758" spans="1:11" x14ac:dyDescent="0.25">
      <c r="A1758" s="36"/>
      <c r="B1758" s="2"/>
      <c r="C1758" s="2"/>
      <c r="D1758" s="2"/>
      <c r="E1758" s="2"/>
      <c r="F1758" s="2"/>
      <c r="G1758" s="2"/>
      <c r="H1758" s="1"/>
      <c r="I1758" s="2"/>
      <c r="J1758" s="2"/>
      <c r="K1758" s="2"/>
    </row>
    <row r="1759" spans="1:11" x14ac:dyDescent="0.25">
      <c r="A1759" s="36"/>
      <c r="B1759" s="2"/>
      <c r="C1759" s="2"/>
      <c r="D1759" s="2"/>
      <c r="E1759" s="2"/>
      <c r="F1759" s="2"/>
      <c r="G1759" s="2"/>
      <c r="H1759" s="1"/>
      <c r="I1759" s="1"/>
      <c r="J1759" s="2"/>
      <c r="K1759" s="2"/>
    </row>
    <row r="1760" spans="1:11" x14ac:dyDescent="0.25">
      <c r="A1760" s="36"/>
      <c r="B1760" s="2"/>
      <c r="C1760" s="2"/>
      <c r="D1760" s="2"/>
      <c r="E1760" s="2"/>
      <c r="F1760" s="2"/>
      <c r="G1760" s="2"/>
      <c r="H1760" s="1"/>
      <c r="I1760" s="1"/>
      <c r="J1760" s="2"/>
      <c r="K1760" s="2"/>
    </row>
    <row r="1761" spans="1:11" x14ac:dyDescent="0.25">
      <c r="A1761" s="36"/>
      <c r="B1761" s="2"/>
      <c r="C1761" s="2"/>
      <c r="D1761" s="2"/>
      <c r="E1761" s="2"/>
      <c r="F1761" s="2"/>
      <c r="G1761" s="2"/>
      <c r="H1761" s="1"/>
      <c r="I1761" s="2"/>
      <c r="J1761" s="2"/>
      <c r="K1761" s="2"/>
    </row>
    <row r="1762" spans="1:11" x14ac:dyDescent="0.25">
      <c r="A1762" s="36"/>
      <c r="B1762" s="2"/>
      <c r="C1762" s="2"/>
      <c r="D1762" s="2"/>
      <c r="E1762" s="2"/>
      <c r="F1762" s="2"/>
      <c r="G1762" s="2"/>
      <c r="H1762" s="1"/>
      <c r="I1762" s="1"/>
      <c r="J1762" s="2"/>
      <c r="K1762" s="2"/>
    </row>
    <row r="1763" spans="1:11" x14ac:dyDescent="0.25">
      <c r="A1763" s="36"/>
      <c r="B1763" s="2"/>
      <c r="C1763" s="2"/>
      <c r="D1763" s="2"/>
      <c r="E1763" s="2"/>
      <c r="F1763" s="2"/>
      <c r="G1763" s="2"/>
      <c r="H1763" s="1"/>
      <c r="I1763" s="2"/>
      <c r="J1763" s="2"/>
      <c r="K1763" s="2"/>
    </row>
    <row r="1764" spans="1:11" x14ac:dyDescent="0.25">
      <c r="A1764" s="36"/>
      <c r="B1764" s="2"/>
      <c r="C1764" s="2"/>
      <c r="D1764" s="2"/>
      <c r="E1764" s="2"/>
      <c r="F1764" s="2"/>
      <c r="G1764" s="2"/>
      <c r="H1764" s="1"/>
      <c r="I1764" s="1"/>
      <c r="J1764" s="2"/>
      <c r="K1764" s="2"/>
    </row>
    <row r="1765" spans="1:11" x14ac:dyDescent="0.25">
      <c r="A1765" s="36"/>
      <c r="B1765" s="2"/>
      <c r="C1765" s="2"/>
      <c r="D1765" s="2"/>
      <c r="E1765" s="2"/>
      <c r="F1765" s="2"/>
      <c r="G1765" s="2"/>
      <c r="H1765" s="1"/>
      <c r="I1765" s="2"/>
      <c r="J1765" s="2"/>
      <c r="K1765" s="2"/>
    </row>
    <row r="1766" spans="1:11" x14ac:dyDescent="0.25">
      <c r="A1766" s="36"/>
      <c r="B1766" s="2"/>
      <c r="C1766" s="2"/>
      <c r="D1766" s="2"/>
      <c r="E1766" s="2"/>
      <c r="F1766" s="2"/>
      <c r="G1766" s="2"/>
      <c r="H1766" s="1"/>
      <c r="I1766" s="1"/>
      <c r="J1766" s="2"/>
      <c r="K1766" s="2"/>
    </row>
    <row r="1767" spans="1:11" x14ac:dyDescent="0.25">
      <c r="A1767" s="36"/>
      <c r="B1767" s="2"/>
      <c r="C1767" s="2"/>
      <c r="D1767" s="2"/>
      <c r="E1767" s="2"/>
      <c r="F1767" s="2"/>
      <c r="G1767" s="2"/>
      <c r="H1767" s="1"/>
      <c r="I1767" s="2"/>
      <c r="J1767" s="2"/>
      <c r="K1767" s="2"/>
    </row>
    <row r="1768" spans="1:11" x14ac:dyDescent="0.25">
      <c r="A1768" s="36"/>
      <c r="B1768" s="2"/>
      <c r="C1768" s="2"/>
      <c r="D1768" s="2"/>
      <c r="E1768" s="2"/>
      <c r="F1768" s="2"/>
      <c r="G1768" s="2"/>
      <c r="H1768" s="1"/>
      <c r="I1768" s="2"/>
      <c r="J1768" s="2"/>
      <c r="K1768" s="2"/>
    </row>
    <row r="1769" spans="1:11" x14ac:dyDescent="0.25">
      <c r="A1769" s="36"/>
      <c r="B1769" s="2"/>
      <c r="C1769" s="2"/>
      <c r="D1769" s="2"/>
      <c r="E1769" s="2"/>
      <c r="F1769" s="2"/>
      <c r="G1769" s="2"/>
      <c r="H1769" s="1"/>
      <c r="I1769" s="2"/>
      <c r="J1769" s="2"/>
      <c r="K1769" s="2"/>
    </row>
    <row r="1770" spans="1:11" x14ac:dyDescent="0.25">
      <c r="A1770" s="36"/>
      <c r="B1770" s="2"/>
      <c r="C1770" s="2"/>
      <c r="D1770" s="2"/>
      <c r="E1770" s="2"/>
      <c r="F1770" s="2"/>
      <c r="G1770" s="2"/>
      <c r="H1770" s="1"/>
      <c r="I1770" s="1"/>
      <c r="J1770" s="2"/>
      <c r="K1770" s="2"/>
    </row>
    <row r="1771" spans="1:11" x14ac:dyDescent="0.25">
      <c r="A1771" s="36"/>
      <c r="B1771" s="2"/>
      <c r="C1771" s="2"/>
      <c r="D1771" s="2"/>
      <c r="E1771" s="2"/>
      <c r="F1771" s="2"/>
      <c r="G1771" s="2"/>
      <c r="H1771" s="1"/>
      <c r="I1771" s="1"/>
      <c r="J1771" s="2"/>
      <c r="K1771" s="2"/>
    </row>
    <row r="1772" spans="1:11" x14ac:dyDescent="0.25">
      <c r="A1772" s="36"/>
      <c r="B1772" s="2"/>
      <c r="C1772" s="2"/>
      <c r="D1772" s="2"/>
      <c r="E1772" s="2"/>
      <c r="F1772" s="2"/>
      <c r="G1772" s="2"/>
      <c r="H1772" s="1"/>
      <c r="I1772" s="2"/>
      <c r="J1772" s="2"/>
      <c r="K1772" s="2"/>
    </row>
    <row r="1773" spans="1:11" x14ac:dyDescent="0.25">
      <c r="A1773" s="36"/>
      <c r="B1773" s="2"/>
      <c r="C1773" s="2"/>
      <c r="D1773" s="2"/>
      <c r="E1773" s="2"/>
      <c r="F1773" s="2"/>
      <c r="G1773" s="2"/>
      <c r="H1773" s="1"/>
      <c r="I1773" s="2"/>
      <c r="J1773" s="2"/>
      <c r="K1773" s="2"/>
    </row>
    <row r="1774" spans="1:11" x14ac:dyDescent="0.25">
      <c r="A1774" s="36"/>
      <c r="B1774" s="2"/>
      <c r="C1774" s="2"/>
      <c r="D1774" s="2"/>
      <c r="E1774" s="2"/>
      <c r="F1774" s="2"/>
      <c r="G1774" s="2"/>
      <c r="H1774" s="1"/>
      <c r="I1774" s="2"/>
      <c r="J1774" s="2"/>
      <c r="K1774" s="2"/>
    </row>
    <row r="1775" spans="1:11" x14ac:dyDescent="0.25">
      <c r="A1775" s="36"/>
      <c r="B1775" s="2"/>
      <c r="C1775" s="2"/>
      <c r="D1775" s="2"/>
      <c r="E1775" s="2"/>
      <c r="F1775" s="2"/>
      <c r="G1775" s="2"/>
      <c r="H1775" s="1"/>
      <c r="I1775" s="2"/>
      <c r="J1775" s="2"/>
      <c r="K1775" s="2"/>
    </row>
    <row r="1776" spans="1:11" x14ac:dyDescent="0.25">
      <c r="A1776" s="36"/>
      <c r="B1776" s="2"/>
      <c r="C1776" s="2"/>
      <c r="D1776" s="2"/>
      <c r="E1776" s="2"/>
      <c r="F1776" s="2"/>
      <c r="G1776" s="2"/>
      <c r="H1776" s="1"/>
      <c r="I1776" s="2"/>
      <c r="J1776" s="2"/>
      <c r="K1776" s="2"/>
    </row>
    <row r="1777" spans="1:11" x14ac:dyDescent="0.25">
      <c r="A1777" s="36"/>
      <c r="B1777" s="2"/>
      <c r="C1777" s="2"/>
      <c r="D1777" s="2"/>
      <c r="E1777" s="2"/>
      <c r="F1777" s="2"/>
      <c r="G1777" s="2"/>
      <c r="H1777" s="1"/>
      <c r="I1777" s="2"/>
      <c r="J1777" s="2"/>
      <c r="K1777" s="2"/>
    </row>
    <row r="1778" spans="1:11" x14ac:dyDescent="0.25">
      <c r="A1778" s="36"/>
      <c r="B1778" s="2"/>
      <c r="C1778" s="2"/>
      <c r="D1778" s="2"/>
      <c r="E1778" s="2"/>
      <c r="F1778" s="2"/>
      <c r="G1778" s="2"/>
      <c r="H1778" s="1"/>
      <c r="I1778" s="2"/>
      <c r="J1778" s="2"/>
      <c r="K1778" s="2"/>
    </row>
    <row r="1779" spans="1:11" x14ac:dyDescent="0.25">
      <c r="A1779" s="36"/>
      <c r="B1779" s="2"/>
      <c r="C1779" s="2"/>
      <c r="D1779" s="2"/>
      <c r="E1779" s="2"/>
      <c r="F1779" s="2"/>
      <c r="G1779" s="2"/>
      <c r="H1779" s="1"/>
      <c r="I1779" s="2"/>
      <c r="J1779" s="2"/>
      <c r="K1779" s="2"/>
    </row>
    <row r="1780" spans="1:11" x14ac:dyDescent="0.25">
      <c r="A1780" s="36"/>
      <c r="B1780" s="2"/>
      <c r="C1780" s="2"/>
      <c r="D1780" s="2"/>
      <c r="E1780" s="2"/>
      <c r="F1780" s="2"/>
      <c r="G1780" s="2"/>
      <c r="H1780" s="1"/>
      <c r="I1780" s="1"/>
      <c r="J1780" s="2"/>
      <c r="K1780" s="2"/>
    </row>
    <row r="1781" spans="1:11" x14ac:dyDescent="0.25">
      <c r="A1781" s="36"/>
      <c r="B1781" s="2"/>
      <c r="C1781" s="2"/>
      <c r="D1781" s="2"/>
      <c r="E1781" s="2"/>
      <c r="F1781" s="2"/>
      <c r="G1781" s="2"/>
      <c r="H1781" s="1"/>
      <c r="I1781" s="1"/>
      <c r="J1781" s="2"/>
      <c r="K1781" s="2"/>
    </row>
    <row r="1782" spans="1:11" x14ac:dyDescent="0.25">
      <c r="A1782" s="36"/>
      <c r="B1782" s="2"/>
      <c r="C1782" s="2"/>
      <c r="D1782" s="2"/>
      <c r="E1782" s="2"/>
      <c r="F1782" s="2"/>
      <c r="G1782" s="2"/>
      <c r="H1782" s="1"/>
      <c r="I1782" s="2"/>
      <c r="J1782" s="2"/>
      <c r="K1782" s="2"/>
    </row>
    <row r="1783" spans="1:11" x14ac:dyDescent="0.25">
      <c r="A1783" s="36"/>
      <c r="B1783" s="2"/>
      <c r="C1783" s="2"/>
      <c r="D1783" s="2"/>
      <c r="E1783" s="2"/>
      <c r="F1783" s="2"/>
      <c r="G1783" s="2"/>
      <c r="H1783" s="1"/>
      <c r="I1783" s="1"/>
      <c r="J1783" s="2"/>
      <c r="K1783" s="2"/>
    </row>
    <row r="1784" spans="1:11" x14ac:dyDescent="0.25">
      <c r="A1784" s="36"/>
      <c r="B1784" s="2"/>
      <c r="C1784" s="2"/>
      <c r="D1784" s="2"/>
      <c r="E1784" s="2"/>
      <c r="F1784" s="2"/>
      <c r="G1784" s="2"/>
      <c r="H1784" s="1"/>
      <c r="I1784" s="2"/>
      <c r="J1784" s="2"/>
      <c r="K1784" s="2"/>
    </row>
    <row r="1785" spans="1:11" x14ac:dyDescent="0.25">
      <c r="A1785" s="36"/>
      <c r="B1785" s="2"/>
      <c r="C1785" s="2"/>
      <c r="D1785" s="2"/>
      <c r="E1785" s="2"/>
      <c r="F1785" s="2"/>
      <c r="G1785" s="2"/>
      <c r="H1785" s="1"/>
      <c r="I1785" s="1"/>
      <c r="J1785" s="2"/>
      <c r="K1785" s="2"/>
    </row>
    <row r="1786" spans="1:11" x14ac:dyDescent="0.25">
      <c r="A1786" s="36"/>
      <c r="B1786" s="2"/>
      <c r="C1786" s="2"/>
      <c r="D1786" s="2"/>
      <c r="E1786" s="2"/>
      <c r="F1786" s="2"/>
      <c r="G1786" s="2"/>
      <c r="H1786" s="1"/>
      <c r="I1786" s="1"/>
      <c r="J1786" s="2"/>
      <c r="K1786" s="2"/>
    </row>
    <row r="1787" spans="1:11" x14ac:dyDescent="0.25">
      <c r="A1787" s="36"/>
      <c r="B1787" s="2"/>
      <c r="C1787" s="2"/>
      <c r="D1787" s="2"/>
      <c r="E1787" s="2"/>
      <c r="F1787" s="2"/>
      <c r="G1787" s="2"/>
      <c r="H1787" s="1"/>
      <c r="I1787" s="1"/>
      <c r="J1787" s="2"/>
      <c r="K1787" s="2"/>
    </row>
    <row r="1788" spans="1:11" x14ac:dyDescent="0.25">
      <c r="A1788" s="36"/>
      <c r="B1788" s="2"/>
      <c r="C1788" s="2"/>
      <c r="D1788" s="2"/>
      <c r="E1788" s="2"/>
      <c r="F1788" s="2"/>
      <c r="G1788" s="2"/>
      <c r="H1788" s="1"/>
      <c r="I1788" s="2"/>
      <c r="J1788" s="2"/>
      <c r="K1788" s="2"/>
    </row>
    <row r="1789" spans="1:11" x14ac:dyDescent="0.25">
      <c r="A1789" s="36"/>
      <c r="B1789" s="2"/>
      <c r="C1789" s="2"/>
      <c r="D1789" s="2"/>
      <c r="E1789" s="2"/>
      <c r="F1789" s="2"/>
      <c r="G1789" s="2"/>
      <c r="H1789" s="1"/>
      <c r="I1789" s="1"/>
      <c r="J1789" s="2"/>
      <c r="K1789" s="2"/>
    </row>
    <row r="1790" spans="1:11" x14ac:dyDescent="0.25">
      <c r="A1790" s="36"/>
      <c r="B1790" s="2"/>
      <c r="C1790" s="2"/>
      <c r="D1790" s="2"/>
      <c r="E1790" s="2"/>
      <c r="F1790" s="2"/>
      <c r="G1790" s="2"/>
      <c r="H1790" s="1"/>
      <c r="I1790" s="1"/>
      <c r="J1790" s="2"/>
      <c r="K1790" s="2"/>
    </row>
    <row r="1791" spans="1:11" x14ac:dyDescent="0.25">
      <c r="A1791" s="36"/>
      <c r="B1791" s="2"/>
      <c r="C1791" s="2"/>
      <c r="D1791" s="2"/>
      <c r="E1791" s="2"/>
      <c r="F1791" s="2"/>
      <c r="G1791" s="2"/>
      <c r="H1791" s="1"/>
      <c r="I1791" s="2"/>
      <c r="J1791" s="2"/>
      <c r="K1791" s="2"/>
    </row>
    <row r="1792" spans="1:11" x14ac:dyDescent="0.25">
      <c r="A1792" s="36"/>
      <c r="B1792" s="2"/>
      <c r="C1792" s="2"/>
      <c r="D1792" s="2"/>
      <c r="E1792" s="2"/>
      <c r="F1792" s="2"/>
      <c r="G1792" s="2"/>
      <c r="H1792" s="1"/>
      <c r="I1792" s="1"/>
      <c r="J1792" s="2"/>
      <c r="K1792" s="2"/>
    </row>
    <row r="1793" spans="1:11" x14ac:dyDescent="0.25">
      <c r="A1793" s="36"/>
      <c r="B1793" s="2"/>
      <c r="C1793" s="2"/>
      <c r="D1793" s="2"/>
      <c r="E1793" s="2"/>
      <c r="F1793" s="2"/>
      <c r="G1793" s="2"/>
      <c r="H1793" s="1"/>
      <c r="I1793" s="1"/>
      <c r="J1793" s="2"/>
      <c r="K1793" s="2"/>
    </row>
    <row r="1794" spans="1:11" x14ac:dyDescent="0.25">
      <c r="A1794" s="36"/>
      <c r="B1794" s="2"/>
      <c r="C1794" s="2"/>
      <c r="D1794" s="2"/>
      <c r="E1794" s="2"/>
      <c r="F1794" s="2"/>
      <c r="G1794" s="2"/>
      <c r="H1794" s="1"/>
      <c r="I1794" s="1"/>
      <c r="J1794" s="2"/>
      <c r="K1794" s="2"/>
    </row>
    <row r="1795" spans="1:11" x14ac:dyDescent="0.25">
      <c r="A1795" s="36"/>
      <c r="B1795" s="2"/>
      <c r="C1795" s="2"/>
      <c r="D1795" s="2"/>
      <c r="E1795" s="2"/>
      <c r="F1795" s="2"/>
      <c r="G1795" s="2"/>
      <c r="H1795" s="1"/>
      <c r="I1795" s="2"/>
      <c r="J1795" s="2"/>
      <c r="K1795" s="2"/>
    </row>
    <row r="1796" spans="1:11" x14ac:dyDescent="0.25">
      <c r="A1796" s="36"/>
      <c r="B1796" s="2"/>
      <c r="C1796" s="2"/>
      <c r="D1796" s="2"/>
      <c r="E1796" s="2"/>
      <c r="F1796" s="2"/>
      <c r="G1796" s="2"/>
      <c r="H1796" s="1"/>
      <c r="I1796" s="1"/>
      <c r="J1796" s="2"/>
      <c r="K1796" s="2"/>
    </row>
    <row r="1797" spans="1:11" x14ac:dyDescent="0.25">
      <c r="A1797" s="36"/>
      <c r="B1797" s="2"/>
      <c r="C1797" s="2"/>
      <c r="D1797" s="2"/>
      <c r="E1797" s="2"/>
      <c r="F1797" s="2"/>
      <c r="G1797" s="2"/>
      <c r="H1797" s="1"/>
      <c r="I1797" s="1"/>
      <c r="J1797" s="2"/>
      <c r="K1797" s="2"/>
    </row>
    <row r="1798" spans="1:11" x14ac:dyDescent="0.25">
      <c r="A1798" s="36"/>
      <c r="B1798" s="2"/>
      <c r="C1798" s="2"/>
      <c r="D1798" s="2"/>
      <c r="E1798" s="2"/>
      <c r="F1798" s="2"/>
      <c r="G1798" s="2"/>
      <c r="H1798" s="1"/>
      <c r="I1798" s="1"/>
      <c r="J1798" s="2"/>
      <c r="K1798" s="2"/>
    </row>
    <row r="1799" spans="1:11" x14ac:dyDescent="0.25">
      <c r="A1799" s="36"/>
      <c r="B1799" s="2"/>
      <c r="C1799" s="2"/>
      <c r="D1799" s="2"/>
      <c r="E1799" s="2"/>
      <c r="F1799" s="2"/>
      <c r="G1799" s="2"/>
      <c r="H1799" s="1"/>
      <c r="I1799" s="1"/>
      <c r="J1799" s="2"/>
      <c r="K1799" s="2"/>
    </row>
    <row r="1800" spans="1:11" x14ac:dyDescent="0.25">
      <c r="A1800" s="36"/>
      <c r="B1800" s="2"/>
      <c r="C1800" s="2"/>
      <c r="D1800" s="2"/>
      <c r="E1800" s="2"/>
      <c r="F1800" s="2"/>
      <c r="G1800" s="2"/>
      <c r="H1800" s="1"/>
      <c r="I1800" s="1"/>
      <c r="J1800" s="2"/>
      <c r="K1800" s="2"/>
    </row>
    <row r="1801" spans="1:11" x14ac:dyDescent="0.25">
      <c r="A1801" s="36"/>
      <c r="B1801" s="2"/>
      <c r="C1801" s="2"/>
      <c r="D1801" s="2"/>
      <c r="E1801" s="2"/>
      <c r="F1801" s="2"/>
      <c r="G1801" s="2"/>
      <c r="H1801" s="1"/>
      <c r="I1801" s="1"/>
      <c r="J1801" s="2"/>
      <c r="K1801" s="2"/>
    </row>
    <row r="1802" spans="1:11" x14ac:dyDescent="0.25">
      <c r="A1802" s="36"/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1:11" x14ac:dyDescent="0.25">
      <c r="A1803" s="36"/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1:11" x14ac:dyDescent="0.25">
      <c r="A1804" s="36"/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1:11" x14ac:dyDescent="0.25">
      <c r="A1805" s="36"/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1:11" x14ac:dyDescent="0.25">
      <c r="A1806" s="36"/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1:11" x14ac:dyDescent="0.25">
      <c r="A1807" s="36"/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1:11" x14ac:dyDescent="0.25">
      <c r="A1808" s="36"/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1:11" x14ac:dyDescent="0.25">
      <c r="A1809" s="36"/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1:11" x14ac:dyDescent="0.25">
      <c r="A1810" s="36"/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1:11" x14ac:dyDescent="0.25">
      <c r="A1811" s="36"/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1:11" x14ac:dyDescent="0.25">
      <c r="A1812" s="36"/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1:11" x14ac:dyDescent="0.25">
      <c r="A1813" s="36"/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1:11" x14ac:dyDescent="0.25">
      <c r="A1814" s="36"/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1:11" x14ac:dyDescent="0.25">
      <c r="A1815" s="36"/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1:11" x14ac:dyDescent="0.25">
      <c r="A1816" s="36"/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1:11" x14ac:dyDescent="0.25">
      <c r="A1817" s="36"/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1:11" x14ac:dyDescent="0.25">
      <c r="A1818" s="36"/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1:11" x14ac:dyDescent="0.25">
      <c r="A1819" s="36"/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1:11" x14ac:dyDescent="0.25">
      <c r="A1820" s="36"/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1:11" x14ac:dyDescent="0.25">
      <c r="A1821" s="36"/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1:11" x14ac:dyDescent="0.25">
      <c r="A1822" s="36"/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1:11" x14ac:dyDescent="0.25">
      <c r="A1823" s="36"/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1:11" x14ac:dyDescent="0.25">
      <c r="A1824" s="36"/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1:11" x14ac:dyDescent="0.25">
      <c r="A1825" s="36"/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1:11" x14ac:dyDescent="0.25">
      <c r="A1826" s="36"/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1:11" x14ac:dyDescent="0.25">
      <c r="A1827" s="36"/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1:11" x14ac:dyDescent="0.25">
      <c r="A1828" s="36"/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1:11" x14ac:dyDescent="0.25">
      <c r="A1829" s="36"/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1:11" x14ac:dyDescent="0.25">
      <c r="A1830" s="36"/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1:11" x14ac:dyDescent="0.25">
      <c r="A1831" s="36"/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1:11" x14ac:dyDescent="0.25">
      <c r="A1832" s="36"/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1:11" x14ac:dyDescent="0.25">
      <c r="A1833" s="36"/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1:11" x14ac:dyDescent="0.25">
      <c r="A1834" s="36"/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1:11" x14ac:dyDescent="0.25">
      <c r="A1835" s="36"/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1:11" x14ac:dyDescent="0.25">
      <c r="A1836" s="36"/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1:11" x14ac:dyDescent="0.25">
      <c r="A1837" s="36"/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1:11" x14ac:dyDescent="0.25">
      <c r="A1838" s="36"/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1:11" x14ac:dyDescent="0.25">
      <c r="A1839" s="36"/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1:11" x14ac:dyDescent="0.25">
      <c r="A1840" s="36"/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1:11" x14ac:dyDescent="0.25">
      <c r="A1841" s="36"/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1:11" x14ac:dyDescent="0.25">
      <c r="A1842" s="36"/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1:11" x14ac:dyDescent="0.25">
      <c r="A1843" s="36"/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1:11" x14ac:dyDescent="0.25">
      <c r="A1844" s="36"/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1:11" x14ac:dyDescent="0.25">
      <c r="A1845" s="36"/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1:11" x14ac:dyDescent="0.25">
      <c r="A1846" s="36"/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1:11" x14ac:dyDescent="0.25">
      <c r="A1847" s="36"/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1:11" x14ac:dyDescent="0.25">
      <c r="A1848" s="36"/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1:11" x14ac:dyDescent="0.25">
      <c r="A1849" s="36"/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1:11" x14ac:dyDescent="0.25">
      <c r="A1850" s="36"/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1:11" x14ac:dyDescent="0.25">
      <c r="A1851" s="36"/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1:11" x14ac:dyDescent="0.25">
      <c r="A1852" s="36"/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1:11" x14ac:dyDescent="0.25">
      <c r="A1853" s="36"/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1:11" x14ac:dyDescent="0.25">
      <c r="A1854" s="36"/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1:11" x14ac:dyDescent="0.25">
      <c r="A1855" s="36"/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1:11" x14ac:dyDescent="0.25">
      <c r="A1856" s="36"/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1:11" x14ac:dyDescent="0.25">
      <c r="A1857" s="36"/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1:11" x14ac:dyDescent="0.25">
      <c r="A1858" s="36"/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1:11" x14ac:dyDescent="0.25">
      <c r="A1859" s="36"/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1:11" x14ac:dyDescent="0.25">
      <c r="A1860" s="36"/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1:11" x14ac:dyDescent="0.25">
      <c r="A1861" s="36"/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1:11" x14ac:dyDescent="0.25">
      <c r="A1862" s="36"/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1:11" x14ac:dyDescent="0.25">
      <c r="A1863" s="36"/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1:11" x14ac:dyDescent="0.25">
      <c r="A1864" s="36"/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1:11" x14ac:dyDescent="0.25">
      <c r="A1865" s="36"/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1:11" x14ac:dyDescent="0.25">
      <c r="A1866" s="36"/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1:11" x14ac:dyDescent="0.25">
      <c r="A1867" s="36"/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1:11" x14ac:dyDescent="0.25">
      <c r="A1868" s="36"/>
      <c r="B1868" s="2"/>
      <c r="C1868" s="2"/>
      <c r="D1868" s="2"/>
      <c r="E1868" s="2"/>
      <c r="F1868" s="2"/>
      <c r="G1868" s="2"/>
      <c r="H1868" s="2"/>
      <c r="I1868" s="8"/>
      <c r="J1868" s="2"/>
      <c r="K1868" s="2"/>
    </row>
  </sheetData>
  <mergeCells count="18">
    <mergeCell ref="K11:K13"/>
    <mergeCell ref="A11:A13"/>
    <mergeCell ref="B11:B13"/>
    <mergeCell ref="C11:C13"/>
    <mergeCell ref="D11:D13"/>
    <mergeCell ref="E11:E13"/>
    <mergeCell ref="G11:G13"/>
    <mergeCell ref="H11:H13"/>
    <mergeCell ref="I11:I13"/>
    <mergeCell ref="J11:J13"/>
    <mergeCell ref="F11:F13"/>
    <mergeCell ref="A1:C5"/>
    <mergeCell ref="D1:I3"/>
    <mergeCell ref="D4:I4"/>
    <mergeCell ref="A6:C10"/>
    <mergeCell ref="D6:K8"/>
    <mergeCell ref="D9:K9"/>
    <mergeCell ref="D10:K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PREMIUM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2017-02-19T02:18:54Z</dcterms:created>
  <dcterms:modified xsi:type="dcterms:W3CDTF">2021-01-29T12:13:58Z</dcterms:modified>
</cp:coreProperties>
</file>