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20"/>
  </bookViews>
  <sheets>
    <sheet name="BASIC" sheetId="1" r:id="rId1"/>
    <sheet name="PREMIUM" sheetId="3" state="hidden" r:id="rId2"/>
  </sheets>
  <calcPr calcId="124519"/>
</workbook>
</file>

<file path=xl/calcChain.xml><?xml version="1.0" encoding="utf-8"?>
<calcChain xmlns="http://schemas.openxmlformats.org/spreadsheetml/2006/main">
  <c r="L10" i="1"/>
  <c r="K10"/>
  <c r="K11"/>
  <c r="N11" s="1"/>
  <c r="O11" s="1"/>
  <c r="L12"/>
  <c r="K12"/>
  <c r="K13"/>
  <c r="L14"/>
  <c r="K14"/>
  <c r="K15"/>
  <c r="N15" s="1"/>
  <c r="O15" s="1"/>
  <c r="L16"/>
  <c r="N16" s="1"/>
  <c r="O16" s="1"/>
  <c r="K16"/>
  <c r="K17"/>
  <c r="N17" s="1"/>
  <c r="O17" s="1"/>
  <c r="L18"/>
  <c r="K18"/>
  <c r="N19"/>
  <c r="O19" s="1"/>
  <c r="K19"/>
  <c r="L20"/>
  <c r="K20"/>
  <c r="K21"/>
  <c r="N21" s="1"/>
  <c r="O21" s="1"/>
  <c r="O22"/>
  <c r="N22"/>
  <c r="K22"/>
  <c r="K23"/>
  <c r="N23" s="1"/>
  <c r="O23" s="1"/>
  <c r="K24"/>
  <c r="N24" s="1"/>
  <c r="O24" s="1"/>
  <c r="K25"/>
  <c r="N25" s="1"/>
  <c r="O25" s="1"/>
  <c r="K26"/>
  <c r="N26" s="1"/>
  <c r="O26" s="1"/>
  <c r="K27"/>
  <c r="N27" s="1"/>
  <c r="O27" s="1"/>
  <c r="K28"/>
  <c r="N28" s="1"/>
  <c r="O28" s="1"/>
  <c r="L29"/>
  <c r="K29"/>
  <c r="N29" s="1"/>
  <c r="O29" s="1"/>
  <c r="L30"/>
  <c r="K30"/>
  <c r="K31"/>
  <c r="N31" s="1"/>
  <c r="O31" s="1"/>
  <c r="K32"/>
  <c r="N32" s="1"/>
  <c r="O32" s="1"/>
  <c r="K33"/>
  <c r="N33" s="1"/>
  <c r="O33" s="1"/>
  <c r="K34"/>
  <c r="N34" s="1"/>
  <c r="O34" s="1"/>
  <c r="K35"/>
  <c r="N35" s="1"/>
  <c r="O35" s="1"/>
  <c r="K36"/>
  <c r="N36" s="1"/>
  <c r="O36" s="1"/>
  <c r="K37"/>
  <c r="N37" s="1"/>
  <c r="O37" s="1"/>
  <c r="K38"/>
  <c r="N38" s="1"/>
  <c r="O38" s="1"/>
  <c r="L39"/>
  <c r="K39"/>
  <c r="K40"/>
  <c r="N40" s="1"/>
  <c r="O40" s="1"/>
  <c r="K41"/>
  <c r="N41" s="1"/>
  <c r="O41" s="1"/>
  <c r="K42"/>
  <c r="N42" s="1"/>
  <c r="O42" s="1"/>
  <c r="K43"/>
  <c r="N43" s="1"/>
  <c r="O43" s="1"/>
  <c r="K44"/>
  <c r="N44" s="1"/>
  <c r="O44" s="1"/>
  <c r="K45"/>
  <c r="N45" s="1"/>
  <c r="O45" s="1"/>
  <c r="K46"/>
  <c r="N46" s="1"/>
  <c r="O46" s="1"/>
  <c r="K47"/>
  <c r="N47" s="1"/>
  <c r="O47" s="1"/>
  <c r="K48"/>
  <c r="N48" s="1"/>
  <c r="O48" s="1"/>
  <c r="N49"/>
  <c r="O49" s="1"/>
  <c r="K49"/>
  <c r="L50"/>
  <c r="N50"/>
  <c r="O50" s="1"/>
  <c r="K50"/>
  <c r="M51"/>
  <c r="L51"/>
  <c r="K51"/>
  <c r="M52"/>
  <c r="L52"/>
  <c r="K52"/>
  <c r="N52" s="1"/>
  <c r="O52" s="1"/>
  <c r="K53"/>
  <c r="N53" s="1"/>
  <c r="O53" s="1"/>
  <c r="K54"/>
  <c r="N54" s="1"/>
  <c r="O54" s="1"/>
  <c r="K55"/>
  <c r="N55" s="1"/>
  <c r="O55" s="1"/>
  <c r="K56"/>
  <c r="N56" s="1"/>
  <c r="O56" s="1"/>
  <c r="K57"/>
  <c r="N57" s="1"/>
  <c r="O57" s="1"/>
  <c r="K58"/>
  <c r="N58" s="1"/>
  <c r="O58" s="1"/>
  <c r="K59"/>
  <c r="N59" s="1"/>
  <c r="O59" s="1"/>
  <c r="K60"/>
  <c r="N60" s="1"/>
  <c r="O60" s="1"/>
  <c r="K61"/>
  <c r="N61" s="1"/>
  <c r="O61" s="1"/>
  <c r="K62"/>
  <c r="M63"/>
  <c r="L63"/>
  <c r="K63"/>
  <c r="K64"/>
  <c r="N64" s="1"/>
  <c r="O64" s="1"/>
  <c r="K65"/>
  <c r="L66"/>
  <c r="K66"/>
  <c r="N66" s="1"/>
  <c r="O66" s="1"/>
  <c r="K67"/>
  <c r="N67" s="1"/>
  <c r="O67" s="1"/>
  <c r="K68"/>
  <c r="E68"/>
  <c r="M69"/>
  <c r="K69"/>
  <c r="E69"/>
  <c r="L69" s="1"/>
  <c r="K70"/>
  <c r="E70"/>
  <c r="E71"/>
  <c r="K71" s="1"/>
  <c r="E82"/>
  <c r="E81"/>
  <c r="E80"/>
  <c r="E79"/>
  <c r="E78"/>
  <c r="E77"/>
  <c r="K77" s="1"/>
  <c r="E76"/>
  <c r="E75"/>
  <c r="K75" s="1"/>
  <c r="E74"/>
  <c r="E73"/>
  <c r="K73" s="1"/>
  <c r="E72"/>
  <c r="K79"/>
  <c r="N79" s="1"/>
  <c r="O79" s="1"/>
  <c r="E83"/>
  <c r="K72"/>
  <c r="N72" s="1"/>
  <c r="O72" s="1"/>
  <c r="M74"/>
  <c r="L74"/>
  <c r="K74"/>
  <c r="M76"/>
  <c r="L76"/>
  <c r="K76"/>
  <c r="K78"/>
  <c r="N78" s="1"/>
  <c r="O78" s="1"/>
  <c r="N10" l="1"/>
  <c r="O10" s="1"/>
  <c r="N12"/>
  <c r="O12" s="1"/>
  <c r="N13"/>
  <c r="O13" s="1"/>
  <c r="N14"/>
  <c r="O14" s="1"/>
  <c r="N18"/>
  <c r="O18" s="1"/>
  <c r="N20"/>
  <c r="O20" s="1"/>
  <c r="N30"/>
  <c r="O30" s="1"/>
  <c r="N39"/>
  <c r="O39" s="1"/>
  <c r="N51"/>
  <c r="O51" s="1"/>
  <c r="N62"/>
  <c r="O62" s="1"/>
  <c r="N63"/>
  <c r="O63" s="1"/>
  <c r="N65"/>
  <c r="O65" s="1"/>
  <c r="M71"/>
  <c r="L77"/>
  <c r="L71"/>
  <c r="N68"/>
  <c r="O68" s="1"/>
  <c r="N69"/>
  <c r="O69" s="1"/>
  <c r="N70"/>
  <c r="O70" s="1"/>
  <c r="N71"/>
  <c r="O71" s="1"/>
  <c r="N73"/>
  <c r="O73" s="1"/>
  <c r="N74"/>
  <c r="O74" s="1"/>
  <c r="N75"/>
  <c r="O75" s="1"/>
  <c r="N76"/>
  <c r="O76" s="1"/>
  <c r="N77"/>
  <c r="O77" s="1"/>
  <c r="K80"/>
  <c r="N80" s="1"/>
  <c r="O80" s="1"/>
  <c r="K81"/>
  <c r="L82"/>
  <c r="K82"/>
  <c r="K83"/>
  <c r="N83" s="1"/>
  <c r="O83" s="1"/>
  <c r="K84"/>
  <c r="N81" l="1"/>
  <c r="O81" s="1"/>
  <c r="N82"/>
  <c r="O82" s="1"/>
  <c r="N84"/>
  <c r="O84" s="1"/>
  <c r="L85"/>
  <c r="K85"/>
  <c r="N85" s="1"/>
  <c r="O85" s="1"/>
  <c r="K86"/>
  <c r="N86" l="1"/>
  <c r="O86" s="1"/>
  <c r="L87"/>
  <c r="K87"/>
  <c r="L88"/>
  <c r="K88"/>
  <c r="K89"/>
  <c r="N89" s="1"/>
  <c r="O89" s="1"/>
  <c r="N87" l="1"/>
  <c r="O87" s="1"/>
  <c r="N88"/>
  <c r="O88" s="1"/>
  <c r="K90"/>
  <c r="N90" s="1"/>
  <c r="O90" s="1"/>
  <c r="K91"/>
  <c r="N91" s="1"/>
  <c r="O91" s="1"/>
  <c r="K92"/>
  <c r="N92" l="1"/>
  <c r="O92" s="1"/>
  <c r="M93"/>
  <c r="L93"/>
  <c r="K93"/>
  <c r="N93" s="1"/>
  <c r="O93" s="1"/>
  <c r="K94"/>
  <c r="N94" s="1"/>
  <c r="O94" s="1"/>
  <c r="K95"/>
  <c r="N95" s="1"/>
  <c r="O95" s="1"/>
  <c r="K96"/>
  <c r="N96" s="1"/>
  <c r="O96" s="1"/>
  <c r="K97" l="1"/>
  <c r="N97" s="1"/>
  <c r="O97" s="1"/>
  <c r="K98"/>
  <c r="N98" s="1"/>
  <c r="O98" s="1"/>
  <c r="K99"/>
  <c r="N99" s="1"/>
  <c r="O99" s="1"/>
  <c r="K100" l="1"/>
  <c r="N100" s="1"/>
  <c r="O100" s="1"/>
  <c r="K101"/>
  <c r="M102"/>
  <c r="L102"/>
  <c r="K102"/>
  <c r="N102" s="1"/>
  <c r="O102" s="1"/>
  <c r="K103"/>
  <c r="N103" s="1"/>
  <c r="O103" s="1"/>
  <c r="K104"/>
  <c r="N104" s="1"/>
  <c r="O104" s="1"/>
  <c r="K105"/>
  <c r="N105" s="1"/>
  <c r="O105" s="1"/>
  <c r="K106"/>
  <c r="N106" s="1"/>
  <c r="O106" s="1"/>
  <c r="K107"/>
  <c r="M108"/>
  <c r="L108"/>
  <c r="K108"/>
  <c r="L109"/>
  <c r="N109" s="1"/>
  <c r="O109" s="1"/>
  <c r="K109"/>
  <c r="L110"/>
  <c r="K110"/>
  <c r="K111"/>
  <c r="N101" l="1"/>
  <c r="O101" s="1"/>
  <c r="N107"/>
  <c r="O107" s="1"/>
  <c r="N108"/>
  <c r="O108" s="1"/>
  <c r="N110"/>
  <c r="O110" s="1"/>
  <c r="N111"/>
  <c r="O111" s="1"/>
  <c r="L112"/>
  <c r="K112"/>
  <c r="K113"/>
  <c r="N113" s="1"/>
  <c r="O113" s="1"/>
  <c r="N112" l="1"/>
  <c r="O112" s="1"/>
  <c r="K114"/>
  <c r="N114" l="1"/>
  <c r="O114" s="1"/>
  <c r="M115"/>
  <c r="L115"/>
  <c r="K115"/>
  <c r="M116"/>
  <c r="L116"/>
  <c r="K116"/>
  <c r="M117"/>
  <c r="L117"/>
  <c r="K117"/>
  <c r="K118"/>
  <c r="N118" s="1"/>
  <c r="O118" s="1"/>
  <c r="N115" l="1"/>
  <c r="O115" s="1"/>
  <c r="N116"/>
  <c r="O116" s="1"/>
  <c r="N117"/>
  <c r="O117" s="1"/>
  <c r="K119"/>
  <c r="N119" s="1"/>
  <c r="O119" s="1"/>
  <c r="K120" l="1"/>
  <c r="N120" s="1"/>
  <c r="O120" s="1"/>
  <c r="K121"/>
  <c r="N121" s="1"/>
  <c r="O121" s="1"/>
  <c r="K122" l="1"/>
  <c r="N122" s="1"/>
  <c r="O122" s="1"/>
  <c r="K123"/>
  <c r="N123" l="1"/>
  <c r="O123" s="1"/>
  <c r="L124"/>
  <c r="K124"/>
  <c r="N124" l="1"/>
  <c r="O124" s="1"/>
  <c r="K125"/>
  <c r="N125" l="1"/>
  <c r="O125" s="1"/>
  <c r="M126"/>
  <c r="L126"/>
  <c r="K126"/>
  <c r="N126" s="1"/>
  <c r="O126" s="1"/>
  <c r="K127"/>
  <c r="N127" s="1"/>
  <c r="O127" s="1"/>
  <c r="K128"/>
  <c r="N128" s="1"/>
  <c r="O128" s="1"/>
  <c r="K129" l="1"/>
  <c r="N129" l="1"/>
  <c r="O129" s="1"/>
  <c r="L130"/>
  <c r="K130"/>
  <c r="N130" l="1"/>
  <c r="O130" s="1"/>
  <c r="K131"/>
  <c r="N131" s="1"/>
  <c r="O131" s="1"/>
  <c r="K132" l="1"/>
  <c r="N132" l="1"/>
  <c r="O132" s="1"/>
  <c r="L133"/>
  <c r="K133"/>
  <c r="L134"/>
  <c r="K134"/>
  <c r="K135"/>
  <c r="N135" s="1"/>
  <c r="O135" s="1"/>
  <c r="K136"/>
  <c r="N136" s="1"/>
  <c r="O136" s="1"/>
  <c r="K137"/>
  <c r="N133" l="1"/>
  <c r="O133" s="1"/>
  <c r="N134"/>
  <c r="O134" s="1"/>
  <c r="N137"/>
  <c r="O137" s="1"/>
  <c r="L138"/>
  <c r="K138"/>
  <c r="N138" s="1"/>
  <c r="O138" s="1"/>
  <c r="K139" l="1"/>
  <c r="N139" s="1"/>
  <c r="O139" s="1"/>
  <c r="K140" l="1"/>
  <c r="N140" s="1"/>
  <c r="O140" s="1"/>
  <c r="K141"/>
  <c r="N141" s="1"/>
  <c r="O141" s="1"/>
  <c r="K142" l="1"/>
  <c r="N142" s="1"/>
  <c r="O142" s="1"/>
  <c r="K143" l="1"/>
  <c r="N143" s="1"/>
  <c r="O143" s="1"/>
  <c r="K144" l="1"/>
  <c r="N144" l="1"/>
  <c r="O144" s="1"/>
  <c r="L145"/>
  <c r="K145"/>
  <c r="N145" s="1"/>
  <c r="O145" s="1"/>
  <c r="K146"/>
  <c r="N146" s="1"/>
  <c r="O146" s="1"/>
  <c r="K147"/>
  <c r="N147" s="1"/>
  <c r="O147" s="1"/>
  <c r="K148"/>
  <c r="N148" s="1"/>
  <c r="O148" s="1"/>
  <c r="K149"/>
  <c r="N149" s="1"/>
  <c r="O149" s="1"/>
  <c r="K150"/>
  <c r="N150" s="1"/>
  <c r="O150" s="1"/>
  <c r="M151"/>
  <c r="L151"/>
  <c r="K151"/>
  <c r="K152"/>
  <c r="N152" s="1"/>
  <c r="O152" s="1"/>
  <c r="N151" l="1"/>
  <c r="O151" s="1"/>
  <c r="K153"/>
  <c r="N153" s="1"/>
  <c r="O153" s="1"/>
  <c r="L154"/>
  <c r="K154"/>
  <c r="N155"/>
  <c r="O155" s="1"/>
  <c r="K155"/>
  <c r="K156"/>
  <c r="N156" s="1"/>
  <c r="O156" s="1"/>
  <c r="K157"/>
  <c r="N157" s="1"/>
  <c r="O157" s="1"/>
  <c r="N158"/>
  <c r="O158" s="1"/>
  <c r="K158"/>
  <c r="M159"/>
  <c r="L159"/>
  <c r="K159"/>
  <c r="L160"/>
  <c r="K160"/>
  <c r="K161"/>
  <c r="N161" s="1"/>
  <c r="O161" s="1"/>
  <c r="K162"/>
  <c r="N162" s="1"/>
  <c r="O162" s="1"/>
  <c r="L163"/>
  <c r="K163"/>
  <c r="K164"/>
  <c r="N164" s="1"/>
  <c r="O164" s="1"/>
  <c r="K165"/>
  <c r="N165" s="1"/>
  <c r="O165" s="1"/>
  <c r="K166"/>
  <c r="N166" s="1"/>
  <c r="O166" s="1"/>
  <c r="L167"/>
  <c r="K167"/>
  <c r="K168"/>
  <c r="N168" s="1"/>
  <c r="O168" s="1"/>
  <c r="L169"/>
  <c r="K169"/>
  <c r="K170"/>
  <c r="N170" s="1"/>
  <c r="O170" s="1"/>
  <c r="L171"/>
  <c r="K171"/>
  <c r="K172"/>
  <c r="N172" s="1"/>
  <c r="O172" s="1"/>
  <c r="K173"/>
  <c r="N173" s="1"/>
  <c r="O173" s="1"/>
  <c r="K174"/>
  <c r="N174" s="1"/>
  <c r="O174" s="1"/>
  <c r="K175"/>
  <c r="N175" s="1"/>
  <c r="O175" s="1"/>
  <c r="K176"/>
  <c r="N176" s="1"/>
  <c r="O176" s="1"/>
  <c r="K177"/>
  <c r="N177" s="1"/>
  <c r="O177" s="1"/>
  <c r="K178"/>
  <c r="N178" s="1"/>
  <c r="O178" s="1"/>
  <c r="K179"/>
  <c r="N179" s="1"/>
  <c r="O179" s="1"/>
  <c r="K180"/>
  <c r="N180" s="1"/>
  <c r="O180" s="1"/>
  <c r="L181"/>
  <c r="K181"/>
  <c r="L182"/>
  <c r="K182"/>
  <c r="K183"/>
  <c r="L184"/>
  <c r="K184"/>
  <c r="L185"/>
  <c r="N185" s="1"/>
  <c r="O185" s="1"/>
  <c r="K185"/>
  <c r="L186"/>
  <c r="K186"/>
  <c r="K187"/>
  <c r="N187" s="1"/>
  <c r="O187" s="1"/>
  <c r="K188"/>
  <c r="N188" s="1"/>
  <c r="O188" s="1"/>
  <c r="N189"/>
  <c r="O189" s="1"/>
  <c r="K189"/>
  <c r="K190"/>
  <c r="N190" s="1"/>
  <c r="O190" s="1"/>
  <c r="L191"/>
  <c r="K191"/>
  <c r="N192"/>
  <c r="O192" s="1"/>
  <c r="K192"/>
  <c r="K193"/>
  <c r="N193" s="1"/>
  <c r="O193" s="1"/>
  <c r="K194"/>
  <c r="N194" s="1"/>
  <c r="O194" s="1"/>
  <c r="L195"/>
  <c r="K195"/>
  <c r="N196"/>
  <c r="O196" s="1"/>
  <c r="K196"/>
  <c r="K197"/>
  <c r="N197" s="1"/>
  <c r="O197" s="1"/>
  <c r="K198"/>
  <c r="N198" s="1"/>
  <c r="O198" s="1"/>
  <c r="L199"/>
  <c r="K199"/>
  <c r="J10" i="3"/>
  <c r="L10" s="1"/>
  <c r="M10" s="1"/>
  <c r="K200" i="1"/>
  <c r="N200" s="1"/>
  <c r="O200" s="1"/>
  <c r="K201"/>
  <c r="L202"/>
  <c r="K202"/>
  <c r="K203"/>
  <c r="N203" s="1"/>
  <c r="O203" s="1"/>
  <c r="K204"/>
  <c r="N204" s="1"/>
  <c r="O204" s="1"/>
  <c r="K205"/>
  <c r="N205" s="1"/>
  <c r="O205" s="1"/>
  <c r="J11" i="3"/>
  <c r="L11" s="1"/>
  <c r="M11" s="1"/>
  <c r="K206" i="1"/>
  <c r="N206" s="1"/>
  <c r="O206" s="1"/>
  <c r="K12" i="3"/>
  <c r="L12" s="1"/>
  <c r="M12" s="1"/>
  <c r="J12"/>
  <c r="L207" i="1"/>
  <c r="K207"/>
  <c r="K13" i="3"/>
  <c r="J13"/>
  <c r="J14"/>
  <c r="L14" s="1"/>
  <c r="M14" s="1"/>
  <c r="K15"/>
  <c r="J15"/>
  <c r="L16"/>
  <c r="M16" s="1"/>
  <c r="J16"/>
  <c r="J17"/>
  <c r="L17" s="1"/>
  <c r="M17" s="1"/>
  <c r="J18"/>
  <c r="L18" s="1"/>
  <c r="M18" s="1"/>
  <c r="J19"/>
  <c r="L19" s="1"/>
  <c r="M19" s="1"/>
  <c r="L209" i="1"/>
  <c r="K208"/>
  <c r="N208" s="1"/>
  <c r="O208" s="1"/>
  <c r="K209"/>
  <c r="L210"/>
  <c r="N210" s="1"/>
  <c r="O210" s="1"/>
  <c r="K210"/>
  <c r="K211"/>
  <c r="N211" s="1"/>
  <c r="O211" s="1"/>
  <c r="K214"/>
  <c r="N214" s="1"/>
  <c r="O214" s="1"/>
  <c r="N212"/>
  <c r="O212" s="1"/>
  <c r="K212"/>
  <c r="K213"/>
  <c r="N213" s="1"/>
  <c r="O213" s="1"/>
  <c r="K215"/>
  <c r="N215" s="1"/>
  <c r="O215" s="1"/>
  <c r="K216"/>
  <c r="N216" s="1"/>
  <c r="O216" s="1"/>
  <c r="N217"/>
  <c r="O217" s="1"/>
  <c r="K217"/>
  <c r="K218"/>
  <c r="N218" s="1"/>
  <c r="O218" s="1"/>
  <c r="K219"/>
  <c r="N219" s="1"/>
  <c r="O219" s="1"/>
  <c r="M220"/>
  <c r="L220"/>
  <c r="K220"/>
  <c r="K221"/>
  <c r="N221" s="1"/>
  <c r="O221" s="1"/>
  <c r="J20" i="3"/>
  <c r="L20" s="1"/>
  <c r="M20" s="1"/>
  <c r="K222" i="1"/>
  <c r="N222" s="1"/>
  <c r="O222" s="1"/>
  <c r="K223"/>
  <c r="N223" s="1"/>
  <c r="O223" s="1"/>
  <c r="K224"/>
  <c r="N224" s="1"/>
  <c r="O224" s="1"/>
  <c r="J21" i="3"/>
  <c r="L21" s="1"/>
  <c r="M21" s="1"/>
  <c r="K225" i="1"/>
  <c r="N225" s="1"/>
  <c r="O225" s="1"/>
  <c r="K226"/>
  <c r="N226" s="1"/>
  <c r="O226" s="1"/>
  <c r="K227"/>
  <c r="N227" s="1"/>
  <c r="O227" s="1"/>
  <c r="J22" i="3"/>
  <c r="L22" s="1"/>
  <c r="M22" s="1"/>
  <c r="J23"/>
  <c r="L23" s="1"/>
  <c r="M23" s="1"/>
  <c r="K228" i="1"/>
  <c r="N228" s="1"/>
  <c r="O228" s="1"/>
  <c r="K229"/>
  <c r="N229" s="1"/>
  <c r="O229" s="1"/>
  <c r="K230"/>
  <c r="N230" s="1"/>
  <c r="O230" s="1"/>
  <c r="K231"/>
  <c r="N231" s="1"/>
  <c r="O231" s="1"/>
  <c r="L232"/>
  <c r="K232"/>
  <c r="K233"/>
  <c r="N233" s="1"/>
  <c r="O233" s="1"/>
  <c r="K234"/>
  <c r="L235"/>
  <c r="K235"/>
  <c r="K236"/>
  <c r="N236" s="1"/>
  <c r="O236" s="1"/>
  <c r="M237"/>
  <c r="L237"/>
  <c r="K237"/>
  <c r="L238"/>
  <c r="K238"/>
  <c r="M239"/>
  <c r="L239"/>
  <c r="K239"/>
  <c r="M240"/>
  <c r="L240"/>
  <c r="K240"/>
  <c r="M241"/>
  <c r="L241"/>
  <c r="K241"/>
  <c r="K242"/>
  <c r="N242" s="1"/>
  <c r="O242" s="1"/>
  <c r="K243"/>
  <c r="N243" s="1"/>
  <c r="O243" s="1"/>
  <c r="K244"/>
  <c r="N244" s="1"/>
  <c r="O244" s="1"/>
  <c r="K245"/>
  <c r="N245" s="1"/>
  <c r="O245" s="1"/>
  <c r="K246"/>
  <c r="N246" s="1"/>
  <c r="O246" s="1"/>
  <c r="K247"/>
  <c r="N247" s="1"/>
  <c r="O247" s="1"/>
  <c r="E24" i="3"/>
  <c r="J24" s="1"/>
  <c r="L24" s="1"/>
  <c r="M24" s="1"/>
  <c r="E26"/>
  <c r="K26" s="1"/>
  <c r="E25"/>
  <c r="J25" s="1"/>
  <c r="K248" i="1"/>
  <c r="N248" s="1"/>
  <c r="O248" s="1"/>
  <c r="K250"/>
  <c r="N250" s="1"/>
  <c r="O250" s="1"/>
  <c r="K249"/>
  <c r="N249" s="1"/>
  <c r="O249" s="1"/>
  <c r="K251"/>
  <c r="N251" s="1"/>
  <c r="O251" s="1"/>
  <c r="E27" i="3"/>
  <c r="J27" s="1"/>
  <c r="L27" s="1"/>
  <c r="L252" i="1"/>
  <c r="K252"/>
  <c r="K254"/>
  <c r="N254" s="1"/>
  <c r="O254" s="1"/>
  <c r="K253"/>
  <c r="N253" s="1"/>
  <c r="O253" s="1"/>
  <c r="M255"/>
  <c r="L255"/>
  <c r="K255"/>
  <c r="K256"/>
  <c r="N256" s="1"/>
  <c r="O256" s="1"/>
  <c r="K257"/>
  <c r="N257" s="1"/>
  <c r="O257" s="1"/>
  <c r="L258"/>
  <c r="K258"/>
  <c r="K259"/>
  <c r="N259" s="1"/>
  <c r="O259" s="1"/>
  <c r="E28" i="3"/>
  <c r="J28" s="1"/>
  <c r="L28" s="1"/>
  <c r="E29"/>
  <c r="J29" s="1"/>
  <c r="E30"/>
  <c r="J30" s="1"/>
  <c r="L30" s="1"/>
  <c r="E31"/>
  <c r="J31" s="1"/>
  <c r="L31" s="1"/>
  <c r="E32"/>
  <c r="J32" s="1"/>
  <c r="L32" s="1"/>
  <c r="E33"/>
  <c r="J33" s="1"/>
  <c r="E34"/>
  <c r="J34" s="1"/>
  <c r="L34" s="1"/>
  <c r="E35"/>
  <c r="J35" s="1"/>
  <c r="L35" s="1"/>
  <c r="E36"/>
  <c r="J36" s="1"/>
  <c r="L36" s="1"/>
  <c r="E37"/>
  <c r="J37" s="1"/>
  <c r="E38"/>
  <c r="J38" s="1"/>
  <c r="L38" s="1"/>
  <c r="E39"/>
  <c r="J39" s="1"/>
  <c r="L39" s="1"/>
  <c r="E40"/>
  <c r="J40" s="1"/>
  <c r="L40" s="1"/>
  <c r="E41"/>
  <c r="J41" s="1"/>
  <c r="E42"/>
  <c r="J42" s="1"/>
  <c r="L42" s="1"/>
  <c r="E43"/>
  <c r="J43" s="1"/>
  <c r="L43" s="1"/>
  <c r="N171" i="1" l="1"/>
  <c r="O171" s="1"/>
  <c r="N186"/>
  <c r="O186" s="1"/>
  <c r="N184"/>
  <c r="O184" s="1"/>
  <c r="N160"/>
  <c r="O160" s="1"/>
  <c r="N154"/>
  <c r="O154" s="1"/>
  <c r="N159"/>
  <c r="O159" s="1"/>
  <c r="N163"/>
  <c r="O163" s="1"/>
  <c r="N167"/>
  <c r="O167" s="1"/>
  <c r="N169"/>
  <c r="O169" s="1"/>
  <c r="N181"/>
  <c r="O181" s="1"/>
  <c r="N182"/>
  <c r="O182" s="1"/>
  <c r="N183"/>
  <c r="O183" s="1"/>
  <c r="N191"/>
  <c r="O191" s="1"/>
  <c r="N195"/>
  <c r="O195" s="1"/>
  <c r="N199"/>
  <c r="O199" s="1"/>
  <c r="N201"/>
  <c r="O201" s="1"/>
  <c r="N202"/>
  <c r="O202" s="1"/>
  <c r="N207"/>
  <c r="O207" s="1"/>
  <c r="L13" i="3"/>
  <c r="M13" s="1"/>
  <c r="L15"/>
  <c r="M15" s="1"/>
  <c r="N209" i="1"/>
  <c r="O209" s="1"/>
  <c r="N220"/>
  <c r="O220" s="1"/>
  <c r="J26" i="3"/>
  <c r="L26" s="1"/>
  <c r="M26" s="1"/>
  <c r="L29"/>
  <c r="M29" s="1"/>
  <c r="L33"/>
  <c r="M33" s="1"/>
  <c r="L37"/>
  <c r="M37" s="1"/>
  <c r="L41"/>
  <c r="M41" s="1"/>
  <c r="M43"/>
  <c r="M39"/>
  <c r="M35"/>
  <c r="M31"/>
  <c r="M27"/>
  <c r="N232" i="1"/>
  <c r="O232" s="1"/>
  <c r="N234"/>
  <c r="O234" s="1"/>
  <c r="N235"/>
  <c r="O235" s="1"/>
  <c r="N237"/>
  <c r="O237" s="1"/>
  <c r="N238"/>
  <c r="O238" s="1"/>
  <c r="N239"/>
  <c r="O239" s="1"/>
  <c r="N240"/>
  <c r="O240" s="1"/>
  <c r="N241"/>
  <c r="O241" s="1"/>
  <c r="L25" i="3"/>
  <c r="M25" s="1"/>
  <c r="M40"/>
  <c r="M36"/>
  <c r="M32"/>
  <c r="M28"/>
  <c r="M42"/>
  <c r="M38"/>
  <c r="M34"/>
  <c r="M30"/>
  <c r="N252" i="1"/>
  <c r="O252" s="1"/>
  <c r="N255"/>
  <c r="O255" s="1"/>
  <c r="N258"/>
  <c r="O258" s="1"/>
  <c r="L260"/>
  <c r="K260"/>
  <c r="K261"/>
  <c r="N261" s="1"/>
  <c r="O261" s="1"/>
  <c r="E262"/>
  <c r="K262" s="1"/>
  <c r="N262" s="1"/>
  <c r="O262" s="1"/>
  <c r="E264"/>
  <c r="K264" s="1"/>
  <c r="E263"/>
  <c r="K263" s="1"/>
  <c r="N263" s="1"/>
  <c r="O263" s="1"/>
  <c r="E265"/>
  <c r="K265" s="1"/>
  <c r="E266"/>
  <c r="K266" s="1"/>
  <c r="N266" s="1"/>
  <c r="O266" s="1"/>
  <c r="E267"/>
  <c r="K267" s="1"/>
  <c r="N267" s="1"/>
  <c r="O267" s="1"/>
  <c r="E270"/>
  <c r="K270" s="1"/>
  <c r="N270" s="1"/>
  <c r="O270" s="1"/>
  <c r="E269"/>
  <c r="K269" s="1"/>
  <c r="N269" s="1"/>
  <c r="O269" s="1"/>
  <c r="E268"/>
  <c r="K268" s="1"/>
  <c r="N268" s="1"/>
  <c r="O268" s="1"/>
  <c r="E271"/>
  <c r="K271" s="1"/>
  <c r="N271" s="1"/>
  <c r="O271" s="1"/>
  <c r="E273"/>
  <c r="K273" s="1"/>
  <c r="N273" s="1"/>
  <c r="O273" s="1"/>
  <c r="E272"/>
  <c r="K272" s="1"/>
  <c r="N272" s="1"/>
  <c r="O272" s="1"/>
  <c r="E274"/>
  <c r="K274" s="1"/>
  <c r="N274" s="1"/>
  <c r="O274" s="1"/>
  <c r="E275"/>
  <c r="K275" s="1"/>
  <c r="N275" s="1"/>
  <c r="O275" s="1"/>
  <c r="E277"/>
  <c r="K277" s="1"/>
  <c r="N277" s="1"/>
  <c r="O277" s="1"/>
  <c r="E276"/>
  <c r="K276" s="1"/>
  <c r="N276" s="1"/>
  <c r="O276" s="1"/>
  <c r="E278"/>
  <c r="K278" s="1"/>
  <c r="N278" s="1"/>
  <c r="O278" s="1"/>
  <c r="E279"/>
  <c r="K279" s="1"/>
  <c r="N279" s="1"/>
  <c r="O279" s="1"/>
  <c r="E281"/>
  <c r="K281" s="1"/>
  <c r="N281" s="1"/>
  <c r="O281" s="1"/>
  <c r="E280"/>
  <c r="K280" s="1"/>
  <c r="N280" s="1"/>
  <c r="O280" s="1"/>
  <c r="E282"/>
  <c r="K282" s="1"/>
  <c r="K284"/>
  <c r="N284" s="1"/>
  <c r="O284" s="1"/>
  <c r="E283"/>
  <c r="K283" s="1"/>
  <c r="N283" s="1"/>
  <c r="O283" s="1"/>
  <c r="E285"/>
  <c r="K285" s="1"/>
  <c r="N285" s="1"/>
  <c r="O285" s="1"/>
  <c r="E287"/>
  <c r="K287" s="1"/>
  <c r="E286"/>
  <c r="K286" s="1"/>
  <c r="E288"/>
  <c r="L288" s="1"/>
  <c r="E289"/>
  <c r="K289" s="1"/>
  <c r="N289" s="1"/>
  <c r="O289" s="1"/>
  <c r="E290"/>
  <c r="K290" s="1"/>
  <c r="N290" s="1"/>
  <c r="O290" s="1"/>
  <c r="E291"/>
  <c r="K291" s="1"/>
  <c r="E292"/>
  <c r="K292" s="1"/>
  <c r="E293"/>
  <c r="K293" s="1"/>
  <c r="E294"/>
  <c r="K294" s="1"/>
  <c r="E295"/>
  <c r="K295" s="1"/>
  <c r="E296"/>
  <c r="K296" s="1"/>
  <c r="E297"/>
  <c r="K297" s="1"/>
  <c r="E298"/>
  <c r="L298" s="1"/>
  <c r="E299"/>
  <c r="K299" s="1"/>
  <c r="E300"/>
  <c r="K300" s="1"/>
  <c r="N300" s="1"/>
  <c r="E301"/>
  <c r="K301" s="1"/>
  <c r="E302"/>
  <c r="K302" s="1"/>
  <c r="N302" s="1"/>
  <c r="E303"/>
  <c r="K303" s="1"/>
  <c r="N303" s="1"/>
  <c r="E308"/>
  <c r="K308" s="1"/>
  <c r="E319"/>
  <c r="K319" s="1"/>
  <c r="N319" s="1"/>
  <c r="E326"/>
  <c r="K326" s="1"/>
  <c r="E331"/>
  <c r="K331" s="1"/>
  <c r="N331" s="1"/>
  <c r="E334"/>
  <c r="K334" s="1"/>
  <c r="N334" s="1"/>
  <c r="E333"/>
  <c r="K333" s="1"/>
  <c r="N333" s="1"/>
  <c r="E336"/>
  <c r="K336" s="1"/>
  <c r="E338"/>
  <c r="K338" s="1"/>
  <c r="N338" s="1"/>
  <c r="E339"/>
  <c r="K339" s="1"/>
  <c r="N339" s="1"/>
  <c r="E337"/>
  <c r="K337" s="1"/>
  <c r="N337" s="1"/>
  <c r="E335"/>
  <c r="K335" s="1"/>
  <c r="N335" s="1"/>
  <c r="E332"/>
  <c r="K332" s="1"/>
  <c r="E330"/>
  <c r="K330" s="1"/>
  <c r="N330" s="1"/>
  <c r="E329"/>
  <c r="K329" s="1"/>
  <c r="N329" s="1"/>
  <c r="E328"/>
  <c r="K328" s="1"/>
  <c r="E327"/>
  <c r="K327" s="1"/>
  <c r="N327" s="1"/>
  <c r="E325"/>
  <c r="K325" s="1"/>
  <c r="N325" s="1"/>
  <c r="E324"/>
  <c r="K324" s="1"/>
  <c r="N324" s="1"/>
  <c r="E323"/>
  <c r="K323" s="1"/>
  <c r="N323" s="1"/>
  <c r="E322"/>
  <c r="K322" s="1"/>
  <c r="N322" s="1"/>
  <c r="E321"/>
  <c r="K321" s="1"/>
  <c r="N321" s="1"/>
  <c r="E320"/>
  <c r="K320" s="1"/>
  <c r="N320" s="1"/>
  <c r="E318"/>
  <c r="K318" s="1"/>
  <c r="N318" s="1"/>
  <c r="E317"/>
  <c r="K317" s="1"/>
  <c r="N317" s="1"/>
  <c r="E316"/>
  <c r="K316" s="1"/>
  <c r="N316" s="1"/>
  <c r="E315"/>
  <c r="E314"/>
  <c r="K314" s="1"/>
  <c r="N314" s="1"/>
  <c r="E313"/>
  <c r="K313" s="1"/>
  <c r="N313" s="1"/>
  <c r="E312"/>
  <c r="K312" s="1"/>
  <c r="N312" s="1"/>
  <c r="E311"/>
  <c r="K311" s="1"/>
  <c r="N311" s="1"/>
  <c r="E310"/>
  <c r="K310" s="1"/>
  <c r="N310" s="1"/>
  <c r="E309"/>
  <c r="K309" s="1"/>
  <c r="E307"/>
  <c r="K307" s="1"/>
  <c r="E306"/>
  <c r="L306" s="1"/>
  <c r="E304"/>
  <c r="K304" s="1"/>
  <c r="N304" s="1"/>
  <c r="E305"/>
  <c r="K305" s="1"/>
  <c r="N305" s="1"/>
  <c r="L308"/>
  <c r="N308" s="1"/>
  <c r="K315"/>
  <c r="N315" s="1"/>
  <c r="N260" l="1"/>
  <c r="O260" s="1"/>
  <c r="L265"/>
  <c r="N265" s="1"/>
  <c r="O265" s="1"/>
  <c r="N264"/>
  <c r="O264" s="1"/>
  <c r="L282"/>
  <c r="N282" s="1"/>
  <c r="O282" s="1"/>
  <c r="K288"/>
  <c r="N288" s="1"/>
  <c r="O288" s="1"/>
  <c r="N286"/>
  <c r="O286" s="1"/>
  <c r="N287"/>
  <c r="O287" s="1"/>
  <c r="L293"/>
  <c r="L292"/>
  <c r="N292" s="1"/>
  <c r="O292" s="1"/>
  <c r="N291"/>
  <c r="O291" s="1"/>
  <c r="K298"/>
  <c r="N298" s="1"/>
  <c r="O298" s="1"/>
  <c r="M293"/>
  <c r="L297"/>
  <c r="N297" s="1"/>
  <c r="O297" s="1"/>
  <c r="M295"/>
  <c r="L295"/>
  <c r="N294"/>
  <c r="O294" s="1"/>
  <c r="N296"/>
  <c r="O296" s="1"/>
  <c r="L299"/>
  <c r="N299" s="1"/>
  <c r="O299" s="1"/>
  <c r="O330"/>
  <c r="O339"/>
  <c r="O334"/>
  <c r="N332"/>
  <c r="O332" s="1"/>
  <c r="N336"/>
  <c r="O336" s="1"/>
  <c r="O305"/>
  <c r="O313"/>
  <c r="O317"/>
  <c r="O312"/>
  <c r="O316"/>
  <c r="O321"/>
  <c r="O325"/>
  <c r="O320"/>
  <c r="O324"/>
  <c r="O329"/>
  <c r="O337"/>
  <c r="O333"/>
  <c r="O315"/>
  <c r="O319"/>
  <c r="O310"/>
  <c r="O314"/>
  <c r="O318"/>
  <c r="O323"/>
  <c r="O335"/>
  <c r="O302"/>
  <c r="O311"/>
  <c r="O327"/>
  <c r="O322"/>
  <c r="O338"/>
  <c r="O331"/>
  <c r="O303"/>
  <c r="O300"/>
  <c r="L309"/>
  <c r="L301"/>
  <c r="K306"/>
  <c r="N306" s="1"/>
  <c r="L328"/>
  <c r="L307"/>
  <c r="N307" s="1"/>
  <c r="O307" s="1"/>
  <c r="L326"/>
  <c r="O304"/>
  <c r="O308"/>
  <c r="N293" l="1"/>
  <c r="O293" s="1"/>
  <c r="N295"/>
  <c r="O295" s="1"/>
  <c r="N309"/>
  <c r="O309" s="1"/>
  <c r="N326"/>
  <c r="O326" s="1"/>
  <c r="N301"/>
  <c r="O301" s="1"/>
  <c r="N328"/>
  <c r="O328" s="1"/>
  <c r="O306"/>
</calcChain>
</file>

<file path=xl/sharedStrings.xml><?xml version="1.0" encoding="utf-8"?>
<sst xmlns="http://schemas.openxmlformats.org/spreadsheetml/2006/main" count="1124" uniqueCount="23">
  <si>
    <t>DATE</t>
  </si>
  <si>
    <t>SCRIPT</t>
  </si>
  <si>
    <t>RECO</t>
  </si>
  <si>
    <t>RATE</t>
  </si>
  <si>
    <t>BOOKED AT 1</t>
  </si>
  <si>
    <t>BOOKED AT 2</t>
  </si>
  <si>
    <t>TOTAL POINTS</t>
  </si>
  <si>
    <t>BUY</t>
  </si>
  <si>
    <t>CALL/PUT</t>
  </si>
  <si>
    <t>PUT</t>
  </si>
  <si>
    <t>CALL</t>
  </si>
  <si>
    <t>STRICK PRICE</t>
  </si>
  <si>
    <t>LOT</t>
  </si>
  <si>
    <t>P1</t>
  </si>
  <si>
    <t>P2</t>
  </si>
  <si>
    <t>Profit &amp; Loss</t>
  </si>
  <si>
    <t>WE WORK FOR YOU !!!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</si>
  <si>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</si>
  <si>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NIFTY</t>
  </si>
  <si>
    <t>BANKNIFTY</t>
  </si>
  <si>
    <t>BOOKED AT 3</t>
  </si>
  <si>
    <t>P3</t>
  </si>
  <si>
    <t>NIFYT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</si>
</sst>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0" xfId="0" applyFont="1" applyBorder="1"/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/>
    </xf>
    <xf numFmtId="15" fontId="0" fillId="0" borderId="19" xfId="0" applyNumberFormat="1" applyFon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0" fontId="9" fillId="4" borderId="1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 vertical="center"/>
    </xf>
    <xf numFmtId="14" fontId="9" fillId="3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438149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0725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314324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37160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19"/>
  <sheetViews>
    <sheetView tabSelected="1" zoomScale="85" zoomScaleNormal="85" workbookViewId="0">
      <selection activeCell="A9" sqref="A9"/>
    </sheetView>
  </sheetViews>
  <sheetFormatPr defaultRowHeight="15"/>
  <cols>
    <col min="1" max="1" width="11" style="9" bestFit="1" customWidth="1"/>
    <col min="2" max="2" width="14.710937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5703125" style="9" bestFit="1" customWidth="1"/>
    <col min="11" max="11" width="12.7109375" style="9" customWidth="1"/>
    <col min="12" max="12" width="11.140625" style="9" customWidth="1"/>
    <col min="13" max="13" width="10.5703125" style="9" customWidth="1"/>
    <col min="14" max="14" width="13.140625" style="9" customWidth="1"/>
    <col min="15" max="15" width="12.85546875" style="9" customWidth="1"/>
    <col min="16" max="16384" width="9.140625" style="9"/>
  </cols>
  <sheetData>
    <row r="1" spans="1:35">
      <c r="A1" s="49"/>
      <c r="B1" s="50"/>
      <c r="C1" s="51"/>
      <c r="D1" s="54" t="s">
        <v>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4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>
      <c r="A2" s="52"/>
      <c r="B2" s="53"/>
      <c r="C2" s="53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4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>
      <c r="A3" s="52"/>
      <c r="B3" s="53"/>
      <c r="C3" s="53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4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>
      <c r="A4" s="52"/>
      <c r="B4" s="53"/>
      <c r="C4" s="53"/>
      <c r="D4" s="58" t="s">
        <v>16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27"/>
      <c r="P4" s="2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>
      <c r="A5" s="52"/>
      <c r="B5" s="53"/>
      <c r="C5" s="53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28"/>
      <c r="P5" s="2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>
      <c r="A6" s="63" t="s">
        <v>0</v>
      </c>
      <c r="B6" s="62" t="s">
        <v>1</v>
      </c>
      <c r="C6" s="62" t="s">
        <v>8</v>
      </c>
      <c r="D6" s="66" t="s">
        <v>11</v>
      </c>
      <c r="E6" s="68" t="s">
        <v>12</v>
      </c>
      <c r="F6" s="47" t="s">
        <v>2</v>
      </c>
      <c r="G6" s="47" t="s">
        <v>3</v>
      </c>
      <c r="H6" s="47" t="s">
        <v>4</v>
      </c>
      <c r="I6" s="47" t="s">
        <v>5</v>
      </c>
      <c r="J6" s="30"/>
      <c r="K6" s="47" t="s">
        <v>13</v>
      </c>
      <c r="L6" s="47" t="s">
        <v>14</v>
      </c>
      <c r="M6" s="30"/>
      <c r="N6" s="47" t="s">
        <v>6</v>
      </c>
      <c r="O6" s="46" t="s">
        <v>15</v>
      </c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>
      <c r="A7" s="64"/>
      <c r="B7" s="47"/>
      <c r="C7" s="47"/>
      <c r="D7" s="66"/>
      <c r="E7" s="68"/>
      <c r="F7" s="47"/>
      <c r="G7" s="47"/>
      <c r="H7" s="47"/>
      <c r="I7" s="47"/>
      <c r="J7" s="30" t="s">
        <v>20</v>
      </c>
      <c r="K7" s="47"/>
      <c r="L7" s="47"/>
      <c r="M7" s="30" t="s">
        <v>21</v>
      </c>
      <c r="N7" s="47"/>
      <c r="O7" s="4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" customHeight="1">
      <c r="A8" s="65"/>
      <c r="B8" s="48"/>
      <c r="C8" s="48"/>
      <c r="D8" s="67"/>
      <c r="E8" s="69"/>
      <c r="F8" s="48"/>
      <c r="G8" s="48"/>
      <c r="H8" s="48"/>
      <c r="I8" s="48"/>
      <c r="J8" s="31"/>
      <c r="K8" s="48"/>
      <c r="L8" s="48"/>
      <c r="M8" s="31"/>
      <c r="N8" s="48"/>
      <c r="O8" s="4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26" customFormat="1" ht="16.5" customHeight="1">
      <c r="A9" s="19"/>
      <c r="B9" s="20"/>
      <c r="C9" s="21"/>
      <c r="D9" s="22"/>
      <c r="E9" s="23"/>
      <c r="F9" s="20"/>
      <c r="G9" s="20"/>
      <c r="H9" s="20"/>
      <c r="I9" s="20"/>
      <c r="J9" s="21"/>
      <c r="K9" s="21"/>
      <c r="L9" s="21"/>
      <c r="M9" s="34"/>
      <c r="N9" s="24"/>
      <c r="O9" s="20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6" customFormat="1" ht="16.5" customHeight="1">
      <c r="A10" s="15">
        <v>44176</v>
      </c>
      <c r="B10" s="3" t="s">
        <v>19</v>
      </c>
      <c r="C10" s="16" t="s">
        <v>9</v>
      </c>
      <c r="D10" s="16">
        <v>30200</v>
      </c>
      <c r="E10" s="17">
        <v>125</v>
      </c>
      <c r="F10" s="3" t="s">
        <v>7</v>
      </c>
      <c r="G10" s="35">
        <v>200</v>
      </c>
      <c r="H10" s="35">
        <v>250</v>
      </c>
      <c r="I10" s="1">
        <v>350</v>
      </c>
      <c r="J10" s="1">
        <v>0</v>
      </c>
      <c r="K10" s="1">
        <f t="shared" ref="K10" si="0">(IF(F10="SELL",G10-H10,IF(F10="BUY",H10-G10)))*E10</f>
        <v>6250</v>
      </c>
      <c r="L10" s="1">
        <f>E10*100</f>
        <v>12500</v>
      </c>
      <c r="M10" s="1">
        <v>0</v>
      </c>
      <c r="N10" s="2">
        <f t="shared" ref="N10" si="1">(L10+K10+M10)/E10</f>
        <v>150</v>
      </c>
      <c r="O10" s="2">
        <f t="shared" ref="O10" si="2">N10*E10</f>
        <v>18750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26" customFormat="1" ht="16.5" customHeight="1">
      <c r="A11" s="15">
        <v>44175</v>
      </c>
      <c r="B11" s="3" t="s">
        <v>19</v>
      </c>
      <c r="C11" s="16" t="s">
        <v>10</v>
      </c>
      <c r="D11" s="16">
        <v>30600</v>
      </c>
      <c r="E11" s="17">
        <v>125</v>
      </c>
      <c r="F11" s="3" t="s">
        <v>7</v>
      </c>
      <c r="G11" s="35">
        <v>65</v>
      </c>
      <c r="H11" s="35">
        <v>20</v>
      </c>
      <c r="I11" s="1">
        <v>0</v>
      </c>
      <c r="J11" s="1">
        <v>0</v>
      </c>
      <c r="K11" s="1">
        <f t="shared" ref="K11" si="3">(IF(F11="SELL",G11-H11,IF(F11="BUY",H11-G11)))*E11</f>
        <v>-5625</v>
      </c>
      <c r="L11" s="1">
        <v>0</v>
      </c>
      <c r="M11" s="1">
        <v>0</v>
      </c>
      <c r="N11" s="2">
        <f t="shared" ref="N11" si="4">(L11+K11+M11)/E11</f>
        <v>-45</v>
      </c>
      <c r="O11" s="2">
        <f t="shared" ref="O11" si="5">N11*E11</f>
        <v>-5625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26" customFormat="1" ht="16.5" customHeight="1">
      <c r="A12" s="15">
        <v>44174</v>
      </c>
      <c r="B12" s="3" t="s">
        <v>19</v>
      </c>
      <c r="C12" s="16" t="s">
        <v>10</v>
      </c>
      <c r="D12" s="16">
        <v>30500</v>
      </c>
      <c r="E12" s="17">
        <v>125</v>
      </c>
      <c r="F12" s="3" t="s">
        <v>7</v>
      </c>
      <c r="G12" s="35">
        <v>190</v>
      </c>
      <c r="H12" s="35">
        <v>240</v>
      </c>
      <c r="I12" s="1">
        <v>350</v>
      </c>
      <c r="J12" s="1">
        <v>0</v>
      </c>
      <c r="K12" s="1">
        <f t="shared" ref="K12" si="6">(IF(F12="SELL",G12-H12,IF(F12="BUY",H12-G12)))*E12</f>
        <v>6250</v>
      </c>
      <c r="L12" s="1">
        <f>E12*110</f>
        <v>13750</v>
      </c>
      <c r="M12" s="1">
        <v>0</v>
      </c>
      <c r="N12" s="2">
        <f t="shared" ref="N12" si="7">(L12+K12+M12)/E12</f>
        <v>160</v>
      </c>
      <c r="O12" s="2">
        <f t="shared" ref="O12" si="8">N12*E12</f>
        <v>20000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6" customFormat="1" ht="16.5" customHeight="1">
      <c r="A13" s="15">
        <v>44173</v>
      </c>
      <c r="B13" s="3" t="s">
        <v>19</v>
      </c>
      <c r="C13" s="16" t="s">
        <v>9</v>
      </c>
      <c r="D13" s="16">
        <v>29600</v>
      </c>
      <c r="E13" s="17">
        <v>125</v>
      </c>
      <c r="F13" s="3" t="s">
        <v>7</v>
      </c>
      <c r="G13" s="35">
        <v>105</v>
      </c>
      <c r="H13" s="35">
        <v>150</v>
      </c>
      <c r="I13" s="1">
        <v>0</v>
      </c>
      <c r="J13" s="1">
        <v>0</v>
      </c>
      <c r="K13" s="1">
        <f t="shared" ref="K13" si="9">(IF(F13="SELL",G13-H13,IF(F13="BUY",H13-G13)))*E13</f>
        <v>5625</v>
      </c>
      <c r="L13" s="1">
        <v>0</v>
      </c>
      <c r="M13" s="1">
        <v>0</v>
      </c>
      <c r="N13" s="2">
        <f t="shared" ref="N13" si="10">(L13+K13+M13)/E13</f>
        <v>45</v>
      </c>
      <c r="O13" s="2">
        <f t="shared" ref="O13" si="11">N13*E13</f>
        <v>5625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6" customFormat="1" ht="16.5" customHeight="1">
      <c r="A14" s="15">
        <v>44169</v>
      </c>
      <c r="B14" s="3" t="s">
        <v>19</v>
      </c>
      <c r="C14" s="16" t="s">
        <v>9</v>
      </c>
      <c r="D14" s="16">
        <v>29600</v>
      </c>
      <c r="E14" s="17">
        <v>125</v>
      </c>
      <c r="F14" s="3" t="s">
        <v>7</v>
      </c>
      <c r="G14" s="35">
        <v>330</v>
      </c>
      <c r="H14" s="35">
        <v>380</v>
      </c>
      <c r="I14" s="1">
        <v>400</v>
      </c>
      <c r="J14" s="1">
        <v>0</v>
      </c>
      <c r="K14" s="1">
        <f t="shared" ref="K14" si="12">(IF(F14="SELL",G14-H14,IF(F14="BUY",H14-G14)))*E14</f>
        <v>6250</v>
      </c>
      <c r="L14" s="1">
        <f>E14*20</f>
        <v>2500</v>
      </c>
      <c r="M14" s="1">
        <v>0</v>
      </c>
      <c r="N14" s="2">
        <f t="shared" ref="N14" si="13">(L14+K14+M14)/E14</f>
        <v>70</v>
      </c>
      <c r="O14" s="2">
        <f t="shared" ref="O14" si="14">N14*E14</f>
        <v>8750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26" customFormat="1" ht="16.5" customHeight="1">
      <c r="A15" s="15">
        <v>44168</v>
      </c>
      <c r="B15" s="3" t="s">
        <v>18</v>
      </c>
      <c r="C15" s="16" t="s">
        <v>9</v>
      </c>
      <c r="D15" s="16">
        <v>13100</v>
      </c>
      <c r="E15" s="17">
        <v>375</v>
      </c>
      <c r="F15" s="3" t="s">
        <v>7</v>
      </c>
      <c r="G15" s="35">
        <v>20</v>
      </c>
      <c r="H15" s="35">
        <v>33</v>
      </c>
      <c r="I15" s="1">
        <v>0</v>
      </c>
      <c r="J15" s="1">
        <v>0</v>
      </c>
      <c r="K15" s="1">
        <f t="shared" ref="K15" si="15">(IF(F15="SELL",G15-H15,IF(F15="BUY",H15-G15)))*E15</f>
        <v>4875</v>
      </c>
      <c r="L15" s="1">
        <v>0</v>
      </c>
      <c r="M15" s="1">
        <v>0</v>
      </c>
      <c r="N15" s="2">
        <f t="shared" ref="N15" si="16">(L15+K15+M15)/E15</f>
        <v>13</v>
      </c>
      <c r="O15" s="2">
        <f t="shared" ref="O15" si="17">N15*E15</f>
        <v>4875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26" customFormat="1" ht="16.5" customHeight="1">
      <c r="A16" s="15">
        <v>44167</v>
      </c>
      <c r="B16" s="3" t="s">
        <v>19</v>
      </c>
      <c r="C16" s="16" t="s">
        <v>9</v>
      </c>
      <c r="D16" s="16">
        <v>29600</v>
      </c>
      <c r="E16" s="17">
        <v>125</v>
      </c>
      <c r="F16" s="3" t="s">
        <v>7</v>
      </c>
      <c r="G16" s="35">
        <v>250</v>
      </c>
      <c r="H16" s="35">
        <v>305</v>
      </c>
      <c r="I16" s="1">
        <v>500</v>
      </c>
      <c r="J16" s="1">
        <v>0</v>
      </c>
      <c r="K16" s="1">
        <f t="shared" ref="K16" si="18">(IF(F16="SELL",G16-H16,IF(F16="BUY",H16-G16)))*E16</f>
        <v>6875</v>
      </c>
      <c r="L16" s="1">
        <f>E16*195</f>
        <v>24375</v>
      </c>
      <c r="M16" s="1">
        <v>0</v>
      </c>
      <c r="N16" s="2">
        <f t="shared" ref="N16" si="19">(L16+K16+M16)/E16</f>
        <v>250</v>
      </c>
      <c r="O16" s="2">
        <f t="shared" ref="O16" si="20">N16*E16</f>
        <v>31250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6" customFormat="1" ht="16.5" customHeight="1">
      <c r="A17" s="15">
        <v>44160</v>
      </c>
      <c r="B17" s="3" t="s">
        <v>19</v>
      </c>
      <c r="C17" s="16" t="s">
        <v>10</v>
      </c>
      <c r="D17" s="16">
        <v>29400</v>
      </c>
      <c r="E17" s="17">
        <v>125</v>
      </c>
      <c r="F17" s="3" t="s">
        <v>7</v>
      </c>
      <c r="G17" s="35">
        <v>100</v>
      </c>
      <c r="H17" s="35">
        <v>150</v>
      </c>
      <c r="I17" s="1">
        <v>0</v>
      </c>
      <c r="J17" s="1">
        <v>0</v>
      </c>
      <c r="K17" s="1">
        <f t="shared" ref="K17" si="21">(IF(F17="SELL",G17-H17,IF(F17="BUY",H17-G17)))*E17</f>
        <v>6250</v>
      </c>
      <c r="L17" s="1">
        <v>0</v>
      </c>
      <c r="M17" s="1">
        <v>0</v>
      </c>
      <c r="N17" s="2">
        <f t="shared" ref="N17" si="22">(L17+K17+M17)/E17</f>
        <v>50</v>
      </c>
      <c r="O17" s="2">
        <f t="shared" ref="O17" si="23">N17*E17</f>
        <v>6250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6" customFormat="1" ht="16.5" customHeight="1">
      <c r="A18" s="15">
        <v>44160</v>
      </c>
      <c r="B18" s="3" t="s">
        <v>19</v>
      </c>
      <c r="C18" s="16" t="s">
        <v>9</v>
      </c>
      <c r="D18" s="16">
        <v>29900</v>
      </c>
      <c r="E18" s="17">
        <v>125</v>
      </c>
      <c r="F18" s="3" t="s">
        <v>7</v>
      </c>
      <c r="G18" s="35">
        <v>200</v>
      </c>
      <c r="H18" s="35">
        <v>270</v>
      </c>
      <c r="I18" s="1">
        <v>400</v>
      </c>
      <c r="J18" s="1">
        <v>0</v>
      </c>
      <c r="K18" s="1">
        <f t="shared" ref="K18" si="24">(IF(F18="SELL",G18-H18,IF(F18="BUY",H18-G18)))*E18</f>
        <v>8750</v>
      </c>
      <c r="L18" s="1">
        <f>E18*130</f>
        <v>16250</v>
      </c>
      <c r="M18" s="1">
        <v>0</v>
      </c>
      <c r="N18" s="2">
        <f t="shared" ref="N18" si="25">(L18+K18+M18)/E18</f>
        <v>200</v>
      </c>
      <c r="O18" s="2">
        <f t="shared" ref="O18" si="26">N18*E18</f>
        <v>25000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6" customFormat="1" ht="16.5" customHeight="1">
      <c r="A19" s="15">
        <v>44158</v>
      </c>
      <c r="B19" s="3" t="s">
        <v>19</v>
      </c>
      <c r="C19" s="16" t="s">
        <v>10</v>
      </c>
      <c r="D19" s="16">
        <v>29600</v>
      </c>
      <c r="E19" s="17">
        <v>125</v>
      </c>
      <c r="F19" s="3" t="s">
        <v>7</v>
      </c>
      <c r="G19" s="35">
        <v>210</v>
      </c>
      <c r="H19" s="35">
        <v>268</v>
      </c>
      <c r="I19" s="1">
        <v>0</v>
      </c>
      <c r="J19" s="1">
        <v>0</v>
      </c>
      <c r="K19" s="1">
        <f t="shared" ref="K19" si="27">(IF(F19="SELL",G19-H19,IF(F19="BUY",H19-G19)))*E19</f>
        <v>7250</v>
      </c>
      <c r="L19" s="1">
        <v>0</v>
      </c>
      <c r="M19" s="1">
        <v>0</v>
      </c>
      <c r="N19" s="2">
        <f t="shared" ref="N19" si="28">(L19+K19+M19)/E19</f>
        <v>58</v>
      </c>
      <c r="O19" s="2">
        <f t="shared" ref="O19" si="29">N19*E19</f>
        <v>7250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6" customFormat="1" ht="16.5" customHeight="1">
      <c r="A20" s="15">
        <v>44155</v>
      </c>
      <c r="B20" s="3" t="s">
        <v>18</v>
      </c>
      <c r="C20" s="16" t="s">
        <v>10</v>
      </c>
      <c r="D20" s="16">
        <v>12900</v>
      </c>
      <c r="E20" s="17">
        <v>375</v>
      </c>
      <c r="F20" s="3" t="s">
        <v>7</v>
      </c>
      <c r="G20" s="35">
        <v>65</v>
      </c>
      <c r="H20" s="35">
        <v>76.900000000000006</v>
      </c>
      <c r="I20" s="1">
        <v>98.9</v>
      </c>
      <c r="J20" s="1">
        <v>0</v>
      </c>
      <c r="K20" s="1">
        <f t="shared" ref="K20" si="30">(IF(F20="SELL",G20-H20,IF(F20="BUY",H20-G20)))*E20</f>
        <v>4462.5000000000018</v>
      </c>
      <c r="L20" s="1">
        <f>E20*22</f>
        <v>8250</v>
      </c>
      <c r="M20" s="1">
        <v>0</v>
      </c>
      <c r="N20" s="2">
        <f t="shared" ref="N20" si="31">(L20+K20+M20)/E20</f>
        <v>33.900000000000006</v>
      </c>
      <c r="O20" s="2">
        <f t="shared" ref="O20" si="32">N20*E20</f>
        <v>12712.500000000002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6" customFormat="1" ht="16.5" customHeight="1">
      <c r="A21" s="15">
        <v>44154</v>
      </c>
      <c r="B21" s="3" t="s">
        <v>18</v>
      </c>
      <c r="C21" s="16" t="s">
        <v>10</v>
      </c>
      <c r="D21" s="16">
        <v>13000</v>
      </c>
      <c r="E21" s="17">
        <v>375</v>
      </c>
      <c r="F21" s="3" t="s">
        <v>7</v>
      </c>
      <c r="G21" s="35">
        <v>73</v>
      </c>
      <c r="H21" s="35">
        <v>95</v>
      </c>
      <c r="I21" s="1">
        <v>0</v>
      </c>
      <c r="J21" s="1">
        <v>0</v>
      </c>
      <c r="K21" s="1">
        <f t="shared" ref="K21" si="33">(IF(F21="SELL",G21-H21,IF(F21="BUY",H21-G21)))*E21</f>
        <v>8250</v>
      </c>
      <c r="L21" s="1">
        <v>0</v>
      </c>
      <c r="M21" s="1">
        <v>0</v>
      </c>
      <c r="N21" s="2">
        <f t="shared" ref="N21" si="34">(L21+K21+M21)/E21</f>
        <v>22</v>
      </c>
      <c r="O21" s="2">
        <f t="shared" ref="O21" si="35">N21*E21</f>
        <v>8250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6" customFormat="1" ht="16.5" customHeight="1">
      <c r="A22" s="15">
        <v>44152</v>
      </c>
      <c r="B22" s="3" t="s">
        <v>19</v>
      </c>
      <c r="C22" s="16" t="s">
        <v>10</v>
      </c>
      <c r="D22" s="16">
        <v>29200</v>
      </c>
      <c r="E22" s="17">
        <v>125</v>
      </c>
      <c r="F22" s="3" t="s">
        <v>7</v>
      </c>
      <c r="G22" s="35">
        <v>205</v>
      </c>
      <c r="H22" s="35">
        <v>148</v>
      </c>
      <c r="I22" s="1">
        <v>0</v>
      </c>
      <c r="J22" s="1">
        <v>0</v>
      </c>
      <c r="K22" s="1">
        <f t="shared" ref="K22" si="36">(IF(F22="SELL",G22-H22,IF(F22="BUY",H22-G22)))*E22</f>
        <v>-7125</v>
      </c>
      <c r="L22" s="1">
        <v>0</v>
      </c>
      <c r="M22" s="1">
        <v>0</v>
      </c>
      <c r="N22" s="2">
        <f t="shared" ref="N22" si="37">(L22+K22+M22)/E22</f>
        <v>-57</v>
      </c>
      <c r="O22" s="2">
        <f t="shared" ref="O22" si="38">N22*E22</f>
        <v>-7125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6" customFormat="1" ht="16.5" customHeight="1">
      <c r="A23" s="15">
        <v>44147</v>
      </c>
      <c r="B23" s="3" t="s">
        <v>19</v>
      </c>
      <c r="C23" s="16" t="s">
        <v>9</v>
      </c>
      <c r="D23" s="16">
        <v>28200</v>
      </c>
      <c r="E23" s="17">
        <v>125</v>
      </c>
      <c r="F23" s="3" t="s">
        <v>7</v>
      </c>
      <c r="G23" s="35">
        <v>80</v>
      </c>
      <c r="H23" s="35">
        <v>130</v>
      </c>
      <c r="I23" s="1">
        <v>0</v>
      </c>
      <c r="J23" s="1">
        <v>0</v>
      </c>
      <c r="K23" s="1">
        <f t="shared" ref="K23" si="39">(IF(F23="SELL",G23-H23,IF(F23="BUY",H23-G23)))*E23</f>
        <v>6250</v>
      </c>
      <c r="L23" s="1">
        <v>0</v>
      </c>
      <c r="M23" s="1">
        <v>0</v>
      </c>
      <c r="N23" s="2">
        <f t="shared" ref="N23" si="40">(L23+K23+M23)/E23</f>
        <v>50</v>
      </c>
      <c r="O23" s="2">
        <f t="shared" ref="O23" si="41">N23*E23</f>
        <v>6250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6" customFormat="1" ht="16.5" customHeight="1">
      <c r="A24" s="15">
        <v>44146</v>
      </c>
      <c r="B24" s="3" t="s">
        <v>19</v>
      </c>
      <c r="C24" s="16" t="s">
        <v>9</v>
      </c>
      <c r="D24" s="16">
        <v>28000</v>
      </c>
      <c r="E24" s="17">
        <v>125</v>
      </c>
      <c r="F24" s="3" t="s">
        <v>7</v>
      </c>
      <c r="G24" s="35">
        <v>135</v>
      </c>
      <c r="H24" s="35">
        <v>180</v>
      </c>
      <c r="I24" s="1">
        <v>0</v>
      </c>
      <c r="J24" s="1">
        <v>0</v>
      </c>
      <c r="K24" s="1">
        <f t="shared" ref="K24" si="42">(IF(F24="SELL",G24-H24,IF(F24="BUY",H24-G24)))*E24</f>
        <v>5625</v>
      </c>
      <c r="L24" s="1">
        <v>0</v>
      </c>
      <c r="M24" s="1">
        <v>0</v>
      </c>
      <c r="N24" s="2">
        <f t="shared" ref="N24" si="43">(L24+K24+M24)/E24</f>
        <v>45</v>
      </c>
      <c r="O24" s="2">
        <f t="shared" ref="O24" si="44">N24*E24</f>
        <v>5625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6" customFormat="1" ht="16.5" customHeight="1">
      <c r="A25" s="15">
        <v>44145</v>
      </c>
      <c r="B25" s="3" t="s">
        <v>19</v>
      </c>
      <c r="C25" s="16" t="s">
        <v>9</v>
      </c>
      <c r="D25" s="16">
        <v>27500</v>
      </c>
      <c r="E25" s="17">
        <v>125</v>
      </c>
      <c r="F25" s="3" t="s">
        <v>7</v>
      </c>
      <c r="G25" s="35">
        <v>125</v>
      </c>
      <c r="H25" s="35">
        <v>80</v>
      </c>
      <c r="I25" s="1">
        <v>0</v>
      </c>
      <c r="J25" s="1">
        <v>0</v>
      </c>
      <c r="K25" s="1">
        <f t="shared" ref="K25" si="45">(IF(F25="SELL",G25-H25,IF(F25="BUY",H25-G25)))*E25</f>
        <v>-5625</v>
      </c>
      <c r="L25" s="1">
        <v>0</v>
      </c>
      <c r="M25" s="1">
        <v>0</v>
      </c>
      <c r="N25" s="2">
        <f t="shared" ref="N25" si="46">(L25+K25+M25)/E25</f>
        <v>-45</v>
      </c>
      <c r="O25" s="2">
        <f t="shared" ref="O25" si="47">N25*E25</f>
        <v>-5625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customHeight="1">
      <c r="A26" s="15">
        <v>44144</v>
      </c>
      <c r="B26" s="3" t="s">
        <v>19</v>
      </c>
      <c r="C26" s="16" t="s">
        <v>9</v>
      </c>
      <c r="D26" s="16">
        <v>26500</v>
      </c>
      <c r="E26" s="17">
        <v>125</v>
      </c>
      <c r="F26" s="3" t="s">
        <v>7</v>
      </c>
      <c r="G26" s="35">
        <v>180</v>
      </c>
      <c r="H26" s="35">
        <v>120</v>
      </c>
      <c r="I26" s="1">
        <v>0</v>
      </c>
      <c r="J26" s="1">
        <v>0</v>
      </c>
      <c r="K26" s="1">
        <f t="shared" ref="K26" si="48">(IF(F26="SELL",G26-H26,IF(F26="BUY",H26-G26)))*E26</f>
        <v>-7500</v>
      </c>
      <c r="L26" s="1">
        <v>0</v>
      </c>
      <c r="M26" s="1">
        <v>0</v>
      </c>
      <c r="N26" s="2">
        <f t="shared" ref="N26" si="49">(L26+K26+M26)/E26</f>
        <v>-60</v>
      </c>
      <c r="O26" s="2">
        <f t="shared" ref="O26" si="50">N26*E26</f>
        <v>-7500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26" customFormat="1" ht="16.5" customHeight="1">
      <c r="A27" s="15">
        <v>44139</v>
      </c>
      <c r="B27" s="3" t="s">
        <v>19</v>
      </c>
      <c r="C27" s="16" t="s">
        <v>10</v>
      </c>
      <c r="D27" s="16">
        <v>25700</v>
      </c>
      <c r="E27" s="17">
        <v>125</v>
      </c>
      <c r="F27" s="3" t="s">
        <v>7</v>
      </c>
      <c r="G27" s="35">
        <v>245</v>
      </c>
      <c r="H27" s="35">
        <v>150</v>
      </c>
      <c r="I27" s="1">
        <v>0</v>
      </c>
      <c r="J27" s="1">
        <v>0</v>
      </c>
      <c r="K27" s="1">
        <f t="shared" ref="K27" si="51">(IF(F27="SELL",G27-H27,IF(F27="BUY",H27-G27)))*E27</f>
        <v>-11875</v>
      </c>
      <c r="L27" s="1">
        <v>0</v>
      </c>
      <c r="M27" s="1">
        <v>0</v>
      </c>
      <c r="N27" s="2">
        <f t="shared" ref="N27" si="52">(L27+K27+M27)/E27</f>
        <v>-95</v>
      </c>
      <c r="O27" s="2">
        <f t="shared" ref="O27" si="53">N27*E27</f>
        <v>-11875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26" customFormat="1" ht="16.5" customHeight="1">
      <c r="A28" s="15">
        <v>44138</v>
      </c>
      <c r="B28" s="3" t="s">
        <v>19</v>
      </c>
      <c r="C28" s="16" t="s">
        <v>10</v>
      </c>
      <c r="D28" s="16">
        <v>25700</v>
      </c>
      <c r="E28" s="17">
        <v>125</v>
      </c>
      <c r="F28" s="3" t="s">
        <v>7</v>
      </c>
      <c r="G28" s="35">
        <v>355</v>
      </c>
      <c r="H28" s="35">
        <v>386</v>
      </c>
      <c r="I28" s="1">
        <v>0</v>
      </c>
      <c r="J28" s="1">
        <v>0</v>
      </c>
      <c r="K28" s="1">
        <f t="shared" ref="K28" si="54">(IF(F28="SELL",G28-H28,IF(F28="BUY",H28-G28)))*E28</f>
        <v>3875</v>
      </c>
      <c r="L28" s="1">
        <v>0</v>
      </c>
      <c r="M28" s="1">
        <v>0</v>
      </c>
      <c r="N28" s="2">
        <f t="shared" ref="N28" si="55">(L28+K28+M28)/E28</f>
        <v>31</v>
      </c>
      <c r="O28" s="2">
        <f t="shared" ref="O28" si="56">N28*E28</f>
        <v>3875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26" customFormat="1" ht="16.5" customHeight="1">
      <c r="A29" s="15">
        <v>44137</v>
      </c>
      <c r="B29" s="3" t="s">
        <v>19</v>
      </c>
      <c r="C29" s="16" t="s">
        <v>10</v>
      </c>
      <c r="D29" s="16">
        <v>24700</v>
      </c>
      <c r="E29" s="17">
        <v>125</v>
      </c>
      <c r="F29" s="3" t="s">
        <v>7</v>
      </c>
      <c r="G29" s="35">
        <v>285</v>
      </c>
      <c r="H29" s="35">
        <v>350</v>
      </c>
      <c r="I29" s="1">
        <v>500</v>
      </c>
      <c r="J29" s="1">
        <v>0</v>
      </c>
      <c r="K29" s="1">
        <f t="shared" ref="K29" si="57">(IF(F29="SELL",G29-H29,IF(F29="BUY",H29-G29)))*E29</f>
        <v>8125</v>
      </c>
      <c r="L29" s="1">
        <f>E29*150</f>
        <v>18750</v>
      </c>
      <c r="M29" s="1">
        <v>0</v>
      </c>
      <c r="N29" s="2">
        <f t="shared" ref="N29" si="58">(L29+K29+M29)/E29</f>
        <v>215</v>
      </c>
      <c r="O29" s="2">
        <f t="shared" ref="O29" si="59">N29*E29</f>
        <v>26875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6.5" customHeight="1">
      <c r="A30" s="15">
        <v>44134</v>
      </c>
      <c r="B30" s="3" t="s">
        <v>19</v>
      </c>
      <c r="C30" s="16" t="s">
        <v>9</v>
      </c>
      <c r="D30" s="16">
        <v>24000</v>
      </c>
      <c r="E30" s="17">
        <v>125</v>
      </c>
      <c r="F30" s="3" t="s">
        <v>7</v>
      </c>
      <c r="G30" s="35">
        <v>480</v>
      </c>
      <c r="H30" s="35">
        <v>650</v>
      </c>
      <c r="I30" s="1">
        <v>800</v>
      </c>
      <c r="J30" s="1">
        <v>0</v>
      </c>
      <c r="K30" s="1">
        <f t="shared" ref="K30" si="60">(IF(F30="SELL",G30-H30,IF(F30="BUY",H30-G30)))*E30</f>
        <v>21250</v>
      </c>
      <c r="L30" s="1">
        <f>E30*150</f>
        <v>18750</v>
      </c>
      <c r="M30" s="1">
        <v>0</v>
      </c>
      <c r="N30" s="2">
        <f t="shared" ref="N30" si="61">(L30+K30+M30)/E30</f>
        <v>320</v>
      </c>
      <c r="O30" s="2">
        <f t="shared" ref="O30" si="62">N30*E30</f>
        <v>40000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26" customFormat="1" ht="16.5" customHeight="1">
      <c r="A31" s="15">
        <v>44132</v>
      </c>
      <c r="B31" s="3" t="s">
        <v>18</v>
      </c>
      <c r="C31" s="16" t="s">
        <v>10</v>
      </c>
      <c r="D31" s="16">
        <v>11900</v>
      </c>
      <c r="E31" s="17">
        <v>375</v>
      </c>
      <c r="F31" s="3" t="s">
        <v>7</v>
      </c>
      <c r="G31" s="35">
        <v>137</v>
      </c>
      <c r="H31" s="35">
        <v>117</v>
      </c>
      <c r="I31" s="1">
        <v>0</v>
      </c>
      <c r="J31" s="1">
        <v>0</v>
      </c>
      <c r="K31" s="1">
        <f t="shared" ref="K31" si="63">(IF(F31="SELL",G31-H31,IF(F31="BUY",H31-G31)))*E31</f>
        <v>-7500</v>
      </c>
      <c r="L31" s="1">
        <v>0</v>
      </c>
      <c r="M31" s="1">
        <v>0</v>
      </c>
      <c r="N31" s="2">
        <f t="shared" ref="N31" si="64">(L31+K31+M31)/E31</f>
        <v>-20</v>
      </c>
      <c r="O31" s="2">
        <f t="shared" ref="O31" si="65">N31*E31</f>
        <v>-7500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6" customFormat="1" ht="16.5" customHeight="1">
      <c r="A32" s="15">
        <v>44131</v>
      </c>
      <c r="B32" s="3" t="s">
        <v>18</v>
      </c>
      <c r="C32" s="16" t="s">
        <v>10</v>
      </c>
      <c r="D32" s="16">
        <v>11850</v>
      </c>
      <c r="E32" s="17">
        <v>375</v>
      </c>
      <c r="F32" s="3" t="s">
        <v>7</v>
      </c>
      <c r="G32" s="35">
        <v>101</v>
      </c>
      <c r="H32" s="35">
        <v>71</v>
      </c>
      <c r="I32" s="1">
        <v>0</v>
      </c>
      <c r="J32" s="1">
        <v>0</v>
      </c>
      <c r="K32" s="1">
        <f t="shared" ref="K32" si="66">(IF(F32="SELL",G32-H32,IF(F32="BUY",H32-G32)))*E32</f>
        <v>-11250</v>
      </c>
      <c r="L32" s="1">
        <v>0</v>
      </c>
      <c r="M32" s="1">
        <v>0</v>
      </c>
      <c r="N32" s="2">
        <f t="shared" ref="N32" si="67">(L32+K32+M32)/E32</f>
        <v>-30</v>
      </c>
      <c r="O32" s="2">
        <f t="shared" ref="O32" si="68">N32*E32</f>
        <v>-11250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6" customFormat="1" ht="16.5" customHeight="1">
      <c r="A33" s="15">
        <v>44127</v>
      </c>
      <c r="B33" s="3" t="s">
        <v>18</v>
      </c>
      <c r="C33" s="16" t="s">
        <v>10</v>
      </c>
      <c r="D33" s="16">
        <v>11850</v>
      </c>
      <c r="E33" s="17">
        <v>375</v>
      </c>
      <c r="F33" s="3" t="s">
        <v>7</v>
      </c>
      <c r="G33" s="35">
        <v>153</v>
      </c>
      <c r="H33" s="35">
        <v>175</v>
      </c>
      <c r="I33" s="1">
        <v>0</v>
      </c>
      <c r="J33" s="1">
        <v>0</v>
      </c>
      <c r="K33" s="1">
        <f t="shared" ref="K33" si="69">(IF(F33="SELL",G33-H33,IF(F33="BUY",H33-G33)))*E33</f>
        <v>8250</v>
      </c>
      <c r="L33" s="1">
        <v>0</v>
      </c>
      <c r="M33" s="1">
        <v>0</v>
      </c>
      <c r="N33" s="2">
        <f t="shared" ref="N33" si="70">(L33+K33+M33)/E33</f>
        <v>22</v>
      </c>
      <c r="O33" s="2">
        <f t="shared" ref="O33" si="71">N33*E33</f>
        <v>8250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26" customFormat="1" ht="16.5" customHeight="1">
      <c r="A34" s="15">
        <v>44125</v>
      </c>
      <c r="B34" s="3" t="s">
        <v>18</v>
      </c>
      <c r="C34" s="16" t="s">
        <v>10</v>
      </c>
      <c r="D34" s="16">
        <v>12000</v>
      </c>
      <c r="E34" s="17">
        <v>375</v>
      </c>
      <c r="F34" s="3" t="s">
        <v>7</v>
      </c>
      <c r="G34" s="35">
        <v>122</v>
      </c>
      <c r="H34" s="35">
        <v>92</v>
      </c>
      <c r="I34" s="1">
        <v>0</v>
      </c>
      <c r="J34" s="1">
        <v>0</v>
      </c>
      <c r="K34" s="1">
        <f t="shared" ref="K34" si="72">(IF(F34="SELL",G34-H34,IF(F34="BUY",H34-G34)))*E34</f>
        <v>-11250</v>
      </c>
      <c r="L34" s="1">
        <v>0</v>
      </c>
      <c r="M34" s="1">
        <v>0</v>
      </c>
      <c r="N34" s="2">
        <f t="shared" ref="N34" si="73">(L34+K34+M34)/E34</f>
        <v>-30</v>
      </c>
      <c r="O34" s="2">
        <f t="shared" ref="O34" si="74">N34*E34</f>
        <v>-11250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6" customFormat="1" ht="16.5" customHeight="1">
      <c r="A35" s="15">
        <v>44124</v>
      </c>
      <c r="B35" s="3" t="s">
        <v>18</v>
      </c>
      <c r="C35" s="16" t="s">
        <v>10</v>
      </c>
      <c r="D35" s="16">
        <v>11850</v>
      </c>
      <c r="E35" s="17">
        <v>375</v>
      </c>
      <c r="F35" s="3" t="s">
        <v>7</v>
      </c>
      <c r="G35" s="35">
        <v>170</v>
      </c>
      <c r="H35" s="35">
        <v>172</v>
      </c>
      <c r="I35" s="1">
        <v>0</v>
      </c>
      <c r="J35" s="1">
        <v>0</v>
      </c>
      <c r="K35" s="1">
        <f t="shared" ref="K35" si="75">(IF(F35="SELL",G35-H35,IF(F35="BUY",H35-G35)))*E35</f>
        <v>750</v>
      </c>
      <c r="L35" s="1">
        <v>0</v>
      </c>
      <c r="M35" s="1">
        <v>0</v>
      </c>
      <c r="N35" s="2">
        <f t="shared" ref="N35" si="76">(L35+K35+M35)/E35</f>
        <v>2</v>
      </c>
      <c r="O35" s="2">
        <f t="shared" ref="O35" si="77">N35*E35</f>
        <v>750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customHeight="1">
      <c r="A36" s="15">
        <v>44123</v>
      </c>
      <c r="B36" s="3" t="s">
        <v>18</v>
      </c>
      <c r="C36" s="16" t="s">
        <v>10</v>
      </c>
      <c r="D36" s="16">
        <v>11850</v>
      </c>
      <c r="E36" s="17">
        <v>375</v>
      </c>
      <c r="F36" s="3" t="s">
        <v>7</v>
      </c>
      <c r="G36" s="35">
        <v>85</v>
      </c>
      <c r="H36" s="35">
        <v>105</v>
      </c>
      <c r="I36" s="1">
        <v>0</v>
      </c>
      <c r="J36" s="1">
        <v>0</v>
      </c>
      <c r="K36" s="1">
        <f t="shared" ref="K36" si="78">(IF(F36="SELL",G36-H36,IF(F36="BUY",H36-G36)))*E36</f>
        <v>7500</v>
      </c>
      <c r="L36" s="1">
        <v>0</v>
      </c>
      <c r="M36" s="1">
        <v>0</v>
      </c>
      <c r="N36" s="2">
        <f t="shared" ref="N36" si="79">(L36+K36+M36)/E36</f>
        <v>20</v>
      </c>
      <c r="O36" s="2">
        <f t="shared" ref="O36" si="80">N36*E36</f>
        <v>7500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6" customFormat="1" ht="16.5" customHeight="1">
      <c r="A37" s="15">
        <v>44120</v>
      </c>
      <c r="B37" s="3" t="s">
        <v>18</v>
      </c>
      <c r="C37" s="16" t="s">
        <v>10</v>
      </c>
      <c r="D37" s="16">
        <v>11850</v>
      </c>
      <c r="E37" s="17">
        <v>375</v>
      </c>
      <c r="F37" s="3" t="s">
        <v>7</v>
      </c>
      <c r="G37" s="35">
        <v>74</v>
      </c>
      <c r="H37" s="35">
        <v>74</v>
      </c>
      <c r="I37" s="1">
        <v>0</v>
      </c>
      <c r="J37" s="1">
        <v>0</v>
      </c>
      <c r="K37" s="1">
        <f t="shared" ref="K37" si="81">(IF(F37="SELL",G37-H37,IF(F37="BUY",H37-G37)))*E37</f>
        <v>0</v>
      </c>
      <c r="L37" s="1">
        <v>0</v>
      </c>
      <c r="M37" s="1">
        <v>0</v>
      </c>
      <c r="N37" s="2">
        <f t="shared" ref="N37" si="82">(L37+K37+M37)/E37</f>
        <v>0</v>
      </c>
      <c r="O37" s="2">
        <f t="shared" ref="O37" si="83">N37*E37</f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6" customFormat="1" ht="16.5" customHeight="1">
      <c r="A38" s="15">
        <v>44119</v>
      </c>
      <c r="B38" s="3" t="s">
        <v>18</v>
      </c>
      <c r="C38" s="16" t="s">
        <v>10</v>
      </c>
      <c r="D38" s="16">
        <v>11850</v>
      </c>
      <c r="E38" s="17">
        <v>375</v>
      </c>
      <c r="F38" s="3" t="s">
        <v>7</v>
      </c>
      <c r="G38" s="35">
        <v>165</v>
      </c>
      <c r="H38" s="35">
        <v>135</v>
      </c>
      <c r="I38" s="1">
        <v>0</v>
      </c>
      <c r="J38" s="1">
        <v>0</v>
      </c>
      <c r="K38" s="1">
        <f t="shared" ref="K38" si="84">(IF(F38="SELL",G38-H38,IF(F38="BUY",H38-G38)))*E38</f>
        <v>-11250</v>
      </c>
      <c r="L38" s="1">
        <v>0</v>
      </c>
      <c r="M38" s="1">
        <v>0</v>
      </c>
      <c r="N38" s="2">
        <f t="shared" ref="N38" si="85">(L38+K38+M38)/E38</f>
        <v>-30</v>
      </c>
      <c r="O38" s="2">
        <f t="shared" ref="O38" si="86">N38*E38</f>
        <v>-11250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26" customFormat="1" ht="16.5" customHeight="1">
      <c r="A39" s="15">
        <v>44118</v>
      </c>
      <c r="B39" s="3" t="s">
        <v>18</v>
      </c>
      <c r="C39" s="16" t="s">
        <v>10</v>
      </c>
      <c r="D39" s="16">
        <v>11850</v>
      </c>
      <c r="E39" s="17">
        <v>375</v>
      </c>
      <c r="F39" s="3" t="s">
        <v>7</v>
      </c>
      <c r="G39" s="35">
        <v>133</v>
      </c>
      <c r="H39" s="35">
        <v>153</v>
      </c>
      <c r="I39" s="1">
        <v>175</v>
      </c>
      <c r="J39" s="1">
        <v>0</v>
      </c>
      <c r="K39" s="1">
        <f t="shared" ref="K39" si="87">(IF(F39="SELL",G39-H39,IF(F39="BUY",H39-G39)))*E39</f>
        <v>7500</v>
      </c>
      <c r="L39" s="1">
        <f>E39*22</f>
        <v>8250</v>
      </c>
      <c r="M39" s="1">
        <v>0</v>
      </c>
      <c r="N39" s="2">
        <f t="shared" ref="N39" si="88">(L39+K39+M39)/E39</f>
        <v>42</v>
      </c>
      <c r="O39" s="2">
        <f t="shared" ref="O39" si="89">N39*E39</f>
        <v>15750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26" customFormat="1" ht="16.5" customHeight="1">
      <c r="A40" s="15">
        <v>44117</v>
      </c>
      <c r="B40" s="3" t="s">
        <v>19</v>
      </c>
      <c r="C40" s="16" t="s">
        <v>10</v>
      </c>
      <c r="D40" s="16">
        <v>24300</v>
      </c>
      <c r="E40" s="17">
        <v>125</v>
      </c>
      <c r="F40" s="3" t="s">
        <v>7</v>
      </c>
      <c r="G40" s="35">
        <v>140</v>
      </c>
      <c r="H40" s="35">
        <v>90</v>
      </c>
      <c r="I40" s="1">
        <v>0</v>
      </c>
      <c r="J40" s="1">
        <v>0</v>
      </c>
      <c r="K40" s="1">
        <f t="shared" ref="K40" si="90">(IF(F40="SELL",G40-H40,IF(F40="BUY",H40-G40)))*E40</f>
        <v>-6250</v>
      </c>
      <c r="L40" s="1">
        <v>0</v>
      </c>
      <c r="M40" s="1">
        <v>0</v>
      </c>
      <c r="N40" s="2">
        <f t="shared" ref="N40" si="91">(L40+K40+M40)/E40</f>
        <v>-50</v>
      </c>
      <c r="O40" s="2">
        <f t="shared" ref="O40" si="92">N40*E40</f>
        <v>-6250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6" customFormat="1" ht="16.5" customHeight="1">
      <c r="A41" s="15">
        <v>44116</v>
      </c>
      <c r="B41" s="3" t="s">
        <v>18</v>
      </c>
      <c r="C41" s="16" t="s">
        <v>9</v>
      </c>
      <c r="D41" s="16">
        <v>12000</v>
      </c>
      <c r="E41" s="17">
        <v>375</v>
      </c>
      <c r="F41" s="3" t="s">
        <v>7</v>
      </c>
      <c r="G41" s="35">
        <v>136</v>
      </c>
      <c r="H41" s="35">
        <v>142</v>
      </c>
      <c r="I41" s="1">
        <v>0</v>
      </c>
      <c r="J41" s="1">
        <v>0</v>
      </c>
      <c r="K41" s="1">
        <f t="shared" ref="K41" si="93">(IF(F41="SELL",G41-H41,IF(F41="BUY",H41-G41)))*E41</f>
        <v>2250</v>
      </c>
      <c r="L41" s="1">
        <v>0</v>
      </c>
      <c r="M41" s="1">
        <v>0</v>
      </c>
      <c r="N41" s="2">
        <f t="shared" ref="N41" si="94">(L41+K41+M41)/E41</f>
        <v>6</v>
      </c>
      <c r="O41" s="2">
        <f t="shared" ref="O41" si="95">N41*E41</f>
        <v>2250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26" customFormat="1" ht="16.5" customHeight="1">
      <c r="A42" s="15">
        <v>44113</v>
      </c>
      <c r="B42" s="3" t="s">
        <v>18</v>
      </c>
      <c r="C42" s="16" t="s">
        <v>10</v>
      </c>
      <c r="D42" s="16">
        <v>11850</v>
      </c>
      <c r="E42" s="17">
        <v>375</v>
      </c>
      <c r="F42" s="3" t="s">
        <v>7</v>
      </c>
      <c r="G42" s="35">
        <v>123</v>
      </c>
      <c r="H42" s="35">
        <v>130</v>
      </c>
      <c r="I42" s="1">
        <v>0</v>
      </c>
      <c r="J42" s="1">
        <v>0</v>
      </c>
      <c r="K42" s="1">
        <f t="shared" ref="K42" si="96">(IF(F42="SELL",G42-H42,IF(F42="BUY",H42-G42)))*E42</f>
        <v>2625</v>
      </c>
      <c r="L42" s="1">
        <v>0</v>
      </c>
      <c r="M42" s="1">
        <v>0</v>
      </c>
      <c r="N42" s="2">
        <f t="shared" ref="N42" si="97">(L42+K42+M42)/E42</f>
        <v>7</v>
      </c>
      <c r="O42" s="2">
        <f t="shared" ref="O42" si="98">N42*E42</f>
        <v>2625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26" customFormat="1" ht="16.5" customHeight="1">
      <c r="A43" s="15">
        <v>44112</v>
      </c>
      <c r="B43" s="3" t="s">
        <v>18</v>
      </c>
      <c r="C43" s="16" t="s">
        <v>10</v>
      </c>
      <c r="D43" s="16">
        <v>11850</v>
      </c>
      <c r="E43" s="17">
        <v>375</v>
      </c>
      <c r="F43" s="3" t="s">
        <v>7</v>
      </c>
      <c r="G43" s="35">
        <v>140</v>
      </c>
      <c r="H43" s="35">
        <v>160</v>
      </c>
      <c r="I43" s="1">
        <v>0</v>
      </c>
      <c r="J43" s="1">
        <v>0</v>
      </c>
      <c r="K43" s="1">
        <f t="shared" ref="K43" si="99">(IF(F43="SELL",G43-H43,IF(F43="BUY",H43-G43)))*E43</f>
        <v>7500</v>
      </c>
      <c r="L43" s="1">
        <v>0</v>
      </c>
      <c r="M43" s="1">
        <v>0</v>
      </c>
      <c r="N43" s="2">
        <f t="shared" ref="N43" si="100">(L43+K43+M43)/E43</f>
        <v>20</v>
      </c>
      <c r="O43" s="2">
        <f t="shared" ref="O43" si="101">N43*E43</f>
        <v>7500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26" customFormat="1" ht="15" customHeight="1">
      <c r="A44" s="15">
        <v>44111</v>
      </c>
      <c r="B44" s="3" t="s">
        <v>19</v>
      </c>
      <c r="C44" s="16" t="s">
        <v>10</v>
      </c>
      <c r="D44" s="16">
        <v>23000</v>
      </c>
      <c r="E44" s="17">
        <v>125</v>
      </c>
      <c r="F44" s="3" t="s">
        <v>7</v>
      </c>
      <c r="G44" s="35">
        <v>150</v>
      </c>
      <c r="H44" s="35">
        <v>200</v>
      </c>
      <c r="I44" s="1">
        <v>0</v>
      </c>
      <c r="J44" s="1">
        <v>0</v>
      </c>
      <c r="K44" s="1">
        <f t="shared" ref="K44" si="102">(IF(F44="SELL",G44-H44,IF(F44="BUY",H44-G44)))*E44</f>
        <v>6250</v>
      </c>
      <c r="L44" s="1">
        <v>0</v>
      </c>
      <c r="M44" s="1">
        <v>0</v>
      </c>
      <c r="N44" s="2">
        <f t="shared" ref="N44" si="103">(L44+K44+M44)/E44</f>
        <v>50</v>
      </c>
      <c r="O44" s="2">
        <f t="shared" ref="O44" si="104">N44*E44</f>
        <v>6250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26" customFormat="1" ht="15" customHeight="1">
      <c r="A45" s="15">
        <v>44110</v>
      </c>
      <c r="B45" s="3" t="s">
        <v>19</v>
      </c>
      <c r="C45" s="16" t="s">
        <v>9</v>
      </c>
      <c r="D45" s="16">
        <v>22600</v>
      </c>
      <c r="E45" s="17">
        <v>125</v>
      </c>
      <c r="F45" s="3" t="s">
        <v>7</v>
      </c>
      <c r="G45" s="35">
        <v>250</v>
      </c>
      <c r="H45" s="35">
        <v>180</v>
      </c>
      <c r="I45" s="1">
        <v>0</v>
      </c>
      <c r="J45" s="1">
        <v>0</v>
      </c>
      <c r="K45" s="1">
        <f t="shared" ref="K45" si="105">(IF(F45="SELL",G45-H45,IF(F45="BUY",H45-G45)))*E45</f>
        <v>-8750</v>
      </c>
      <c r="L45" s="1">
        <v>0</v>
      </c>
      <c r="M45" s="1">
        <v>0</v>
      </c>
      <c r="N45" s="2">
        <f t="shared" ref="N45" si="106">(L45+K45+M45)/E45</f>
        <v>-70</v>
      </c>
      <c r="O45" s="2">
        <f t="shared" ref="O45" si="107">N45*E45</f>
        <v>-8750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26" customFormat="1" ht="15" customHeight="1">
      <c r="A46" s="15">
        <v>44109</v>
      </c>
      <c r="B46" s="3" t="s">
        <v>18</v>
      </c>
      <c r="C46" s="16" t="s">
        <v>9</v>
      </c>
      <c r="D46" s="16">
        <v>11500</v>
      </c>
      <c r="E46" s="17">
        <v>375</v>
      </c>
      <c r="F46" s="3" t="s">
        <v>7</v>
      </c>
      <c r="G46" s="35">
        <v>85</v>
      </c>
      <c r="H46" s="35">
        <v>110</v>
      </c>
      <c r="I46" s="1">
        <v>0</v>
      </c>
      <c r="J46" s="1">
        <v>0</v>
      </c>
      <c r="K46" s="1">
        <f t="shared" ref="K46" si="108">(IF(F46="SELL",G46-H46,IF(F46="BUY",H46-G46)))*E46</f>
        <v>9375</v>
      </c>
      <c r="L46" s="1">
        <v>0</v>
      </c>
      <c r="M46" s="1">
        <v>0</v>
      </c>
      <c r="N46" s="2">
        <f t="shared" ref="N46" si="109">(L46+K46+M46)/E46</f>
        <v>25</v>
      </c>
      <c r="O46" s="2">
        <f t="shared" ref="O46" si="110">N46*E46</f>
        <v>9375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26" customFormat="1" ht="15" customHeight="1">
      <c r="A47" s="15">
        <v>44109</v>
      </c>
      <c r="B47" s="3" t="s">
        <v>19</v>
      </c>
      <c r="C47" s="16" t="s">
        <v>9</v>
      </c>
      <c r="D47" s="16">
        <v>22600</v>
      </c>
      <c r="E47" s="17">
        <v>125</v>
      </c>
      <c r="F47" s="3" t="s">
        <v>7</v>
      </c>
      <c r="G47" s="35">
        <v>330</v>
      </c>
      <c r="H47" s="35">
        <v>250</v>
      </c>
      <c r="I47" s="1">
        <v>0</v>
      </c>
      <c r="J47" s="1">
        <v>0</v>
      </c>
      <c r="K47" s="1">
        <f t="shared" ref="K47" si="111">(IF(F47="SELL",G47-H47,IF(F47="BUY",H47-G47)))*E47</f>
        <v>-10000</v>
      </c>
      <c r="L47" s="1">
        <v>0</v>
      </c>
      <c r="M47" s="1">
        <v>0</v>
      </c>
      <c r="N47" s="2">
        <f t="shared" ref="N47" si="112">(L47+K47+M47)/E47</f>
        <v>-80</v>
      </c>
      <c r="O47" s="2">
        <f t="shared" ref="O47" si="113">N47*E47</f>
        <v>-10000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26" customFormat="1" ht="15" customHeight="1">
      <c r="A48" s="15">
        <v>44104</v>
      </c>
      <c r="B48" s="3" t="s">
        <v>19</v>
      </c>
      <c r="C48" s="16" t="s">
        <v>9</v>
      </c>
      <c r="D48" s="16">
        <v>21500</v>
      </c>
      <c r="E48" s="17">
        <v>125</v>
      </c>
      <c r="F48" s="3" t="s">
        <v>7</v>
      </c>
      <c r="G48" s="35">
        <v>380</v>
      </c>
      <c r="H48" s="35">
        <v>420</v>
      </c>
      <c r="I48" s="1">
        <v>0</v>
      </c>
      <c r="J48" s="1">
        <v>0</v>
      </c>
      <c r="K48" s="1">
        <f t="shared" ref="K48" si="114">(IF(F48="SELL",G48-H48,IF(F48="BUY",H48-G48)))*E48</f>
        <v>5000</v>
      </c>
      <c r="L48" s="1">
        <v>0</v>
      </c>
      <c r="M48" s="1">
        <v>0</v>
      </c>
      <c r="N48" s="2">
        <f t="shared" ref="N48" si="115">(L48+K48+M48)/E48</f>
        <v>40</v>
      </c>
      <c r="O48" s="2">
        <f t="shared" ref="O48" si="116">N48*E48</f>
        <v>5000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26" customFormat="1" ht="15" customHeight="1">
      <c r="A49" s="15">
        <v>44103</v>
      </c>
      <c r="B49" s="3" t="s">
        <v>19</v>
      </c>
      <c r="C49" s="16" t="s">
        <v>9</v>
      </c>
      <c r="D49" s="16">
        <v>21500</v>
      </c>
      <c r="E49" s="17">
        <v>125</v>
      </c>
      <c r="F49" s="3" t="s">
        <v>7</v>
      </c>
      <c r="G49" s="35">
        <v>260</v>
      </c>
      <c r="H49" s="35">
        <v>320</v>
      </c>
      <c r="I49" s="1">
        <v>0</v>
      </c>
      <c r="J49" s="1">
        <v>0</v>
      </c>
      <c r="K49" s="1">
        <f t="shared" ref="K49" si="117">(IF(F49="SELL",G49-H49,IF(F49="BUY",H49-G49)))*E49</f>
        <v>7500</v>
      </c>
      <c r="L49" s="1">
        <v>0</v>
      </c>
      <c r="M49" s="1">
        <v>0</v>
      </c>
      <c r="N49" s="2">
        <f t="shared" ref="N49" si="118">(L49+K49+M49)/E49</f>
        <v>60</v>
      </c>
      <c r="O49" s="2">
        <f t="shared" ref="O49" si="119">N49*E49</f>
        <v>7500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26" customFormat="1" ht="15" customHeight="1">
      <c r="A50" s="15">
        <v>44102</v>
      </c>
      <c r="B50" s="3" t="s">
        <v>19</v>
      </c>
      <c r="C50" s="16" t="s">
        <v>10</v>
      </c>
      <c r="D50" s="16">
        <v>21500</v>
      </c>
      <c r="E50" s="17">
        <v>125</v>
      </c>
      <c r="F50" s="3" t="s">
        <v>7</v>
      </c>
      <c r="G50" s="35">
        <v>262</v>
      </c>
      <c r="H50" s="35">
        <v>320</v>
      </c>
      <c r="I50" s="1">
        <v>420</v>
      </c>
      <c r="J50" s="1">
        <v>0</v>
      </c>
      <c r="K50" s="1">
        <f t="shared" ref="K50" si="120">(IF(F50="SELL",G50-H50,IF(F50="BUY",H50-G50)))*E50</f>
        <v>7250</v>
      </c>
      <c r="L50" s="1">
        <f>E50*100</f>
        <v>12500</v>
      </c>
      <c r="M50" s="1">
        <v>0</v>
      </c>
      <c r="N50" s="2">
        <f t="shared" ref="N50" si="121">(L50+K50+M50)/E50</f>
        <v>158</v>
      </c>
      <c r="O50" s="2">
        <f t="shared" ref="O50" si="122">N50*E50</f>
        <v>19750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26" customFormat="1" ht="15" customHeight="1">
      <c r="A51" s="15">
        <v>44099</v>
      </c>
      <c r="B51" s="3" t="s">
        <v>19</v>
      </c>
      <c r="C51" s="16" t="s">
        <v>10</v>
      </c>
      <c r="D51" s="16">
        <v>20600</v>
      </c>
      <c r="E51" s="17">
        <v>125</v>
      </c>
      <c r="F51" s="3" t="s">
        <v>7</v>
      </c>
      <c r="G51" s="35">
        <v>380</v>
      </c>
      <c r="H51" s="35">
        <v>427</v>
      </c>
      <c r="I51" s="1">
        <v>550</v>
      </c>
      <c r="J51" s="1">
        <v>630</v>
      </c>
      <c r="K51" s="1">
        <f t="shared" ref="K51" si="123">(IF(F51="SELL",G51-H51,IF(F51="BUY",H51-G51)))*E51</f>
        <v>5875</v>
      </c>
      <c r="L51" s="1">
        <f>E51*123</f>
        <v>15375</v>
      </c>
      <c r="M51" s="1">
        <f>E51*80</f>
        <v>10000</v>
      </c>
      <c r="N51" s="2">
        <f t="shared" ref="N51" si="124">(L51+K51+M51)/E51</f>
        <v>250</v>
      </c>
      <c r="O51" s="2">
        <f t="shared" ref="O51" si="125">N51*E51</f>
        <v>31250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26" customFormat="1" ht="15" customHeight="1">
      <c r="A52" s="15">
        <v>44098</v>
      </c>
      <c r="B52" s="3" t="s">
        <v>18</v>
      </c>
      <c r="C52" s="16" t="s">
        <v>9</v>
      </c>
      <c r="D52" s="16">
        <v>10800</v>
      </c>
      <c r="E52" s="17">
        <v>375</v>
      </c>
      <c r="F52" s="3" t="s">
        <v>7</v>
      </c>
      <c r="G52" s="35">
        <v>100</v>
      </c>
      <c r="H52" s="35">
        <v>106</v>
      </c>
      <c r="I52" s="1">
        <v>120</v>
      </c>
      <c r="J52" s="1">
        <v>130</v>
      </c>
      <c r="K52" s="1">
        <f t="shared" ref="K52" si="126">(IF(F52="SELL",G52-H52,IF(F52="BUY",H52-G52)))*E52</f>
        <v>2250</v>
      </c>
      <c r="L52" s="1">
        <f>E52*14</f>
        <v>5250</v>
      </c>
      <c r="M52" s="1">
        <f>E52*10</f>
        <v>3750</v>
      </c>
      <c r="N52" s="2">
        <f t="shared" ref="N52" si="127">(L52+K52+M52)/E52</f>
        <v>30</v>
      </c>
      <c r="O52" s="2">
        <f t="shared" ref="O52" si="128">N52*E52</f>
        <v>11250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26" customFormat="1" ht="15" customHeight="1">
      <c r="A53" s="15">
        <v>44097</v>
      </c>
      <c r="B53" s="3" t="s">
        <v>19</v>
      </c>
      <c r="C53" s="16" t="s">
        <v>10</v>
      </c>
      <c r="D53" s="16">
        <v>21300</v>
      </c>
      <c r="E53" s="17">
        <v>125</v>
      </c>
      <c r="F53" s="3" t="s">
        <v>7</v>
      </c>
      <c r="G53" s="35">
        <v>155</v>
      </c>
      <c r="H53" s="35">
        <v>99</v>
      </c>
      <c r="I53" s="1">
        <v>0</v>
      </c>
      <c r="J53" s="1">
        <v>0</v>
      </c>
      <c r="K53" s="1">
        <f t="shared" ref="K53" si="129">(IF(F53="SELL",G53-H53,IF(F53="BUY",H53-G53)))*E53</f>
        <v>-7000</v>
      </c>
      <c r="L53" s="1">
        <v>0</v>
      </c>
      <c r="M53" s="1">
        <v>0</v>
      </c>
      <c r="N53" s="2">
        <f t="shared" ref="N53" si="130">(L53+K53+M53)/E53</f>
        <v>-56</v>
      </c>
      <c r="O53" s="2">
        <f t="shared" ref="O53" si="131">N53*E53</f>
        <v>-7000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6" customFormat="1" ht="15" customHeight="1">
      <c r="A54" s="15">
        <v>44096</v>
      </c>
      <c r="B54" s="3" t="s">
        <v>18</v>
      </c>
      <c r="C54" s="16" t="s">
        <v>10</v>
      </c>
      <c r="D54" s="16">
        <v>11200</v>
      </c>
      <c r="E54" s="17">
        <v>375</v>
      </c>
      <c r="F54" s="3" t="s">
        <v>7</v>
      </c>
      <c r="G54" s="35">
        <v>76</v>
      </c>
      <c r="H54" s="35">
        <v>91</v>
      </c>
      <c r="I54" s="1">
        <v>0</v>
      </c>
      <c r="J54" s="1">
        <v>0</v>
      </c>
      <c r="K54" s="1">
        <f t="shared" ref="K54" si="132">(IF(F54="SELL",G54-H54,IF(F54="BUY",H54-G54)))*E54</f>
        <v>5625</v>
      </c>
      <c r="L54" s="1">
        <v>0</v>
      </c>
      <c r="M54" s="1">
        <v>0</v>
      </c>
      <c r="N54" s="2">
        <f t="shared" ref="N54" si="133">(L54+K54+M54)/E54</f>
        <v>15</v>
      </c>
      <c r="O54" s="2">
        <f t="shared" ref="O54" si="134">N54*E54</f>
        <v>5625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26" customFormat="1" ht="15" customHeight="1">
      <c r="A55" s="15">
        <v>44095</v>
      </c>
      <c r="B55" s="3" t="s">
        <v>19</v>
      </c>
      <c r="C55" s="16" t="s">
        <v>10</v>
      </c>
      <c r="D55" s="16">
        <v>21900</v>
      </c>
      <c r="E55" s="17">
        <v>125</v>
      </c>
      <c r="F55" s="3" t="s">
        <v>7</v>
      </c>
      <c r="G55" s="35">
        <v>360</v>
      </c>
      <c r="H55" s="35">
        <v>430</v>
      </c>
      <c r="I55" s="1">
        <v>0</v>
      </c>
      <c r="J55" s="1">
        <v>0</v>
      </c>
      <c r="K55" s="1">
        <f t="shared" ref="K55" si="135">(IF(F55="SELL",G55-H55,IF(F55="BUY",H55-G55)))*E55</f>
        <v>8750</v>
      </c>
      <c r="L55" s="1">
        <v>0</v>
      </c>
      <c r="M55" s="1">
        <v>0</v>
      </c>
      <c r="N55" s="2">
        <f t="shared" ref="N55" si="136">(L55+K55+M55)/E55</f>
        <v>70</v>
      </c>
      <c r="O55" s="2">
        <f t="shared" ref="O55" si="137">N55*E55</f>
        <v>8750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5" customHeight="1">
      <c r="A56" s="15">
        <v>44091</v>
      </c>
      <c r="B56" s="3" t="s">
        <v>18</v>
      </c>
      <c r="C56" s="16" t="s">
        <v>10</v>
      </c>
      <c r="D56" s="16">
        <v>11550</v>
      </c>
      <c r="E56" s="17">
        <v>375</v>
      </c>
      <c r="F56" s="3" t="s">
        <v>7</v>
      </c>
      <c r="G56" s="35">
        <v>115</v>
      </c>
      <c r="H56" s="35">
        <v>110</v>
      </c>
      <c r="I56" s="1">
        <v>0</v>
      </c>
      <c r="J56" s="1">
        <v>0</v>
      </c>
      <c r="K56" s="1">
        <f t="shared" ref="K56" si="138">(IF(F56="SELL",G56-H56,IF(F56="BUY",H56-G56)))*E56</f>
        <v>-1875</v>
      </c>
      <c r="L56" s="1">
        <v>0</v>
      </c>
      <c r="M56" s="1">
        <v>0</v>
      </c>
      <c r="N56" s="2">
        <f t="shared" ref="N56" si="139">(L56+K56+M56)/E56</f>
        <v>-5</v>
      </c>
      <c r="O56" s="2">
        <f t="shared" ref="O56" si="140">N56*E56</f>
        <v>-1875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26" customFormat="1" ht="15" customHeight="1">
      <c r="A57" s="15">
        <v>44090</v>
      </c>
      <c r="B57" s="3" t="s">
        <v>19</v>
      </c>
      <c r="C57" s="16" t="s">
        <v>9</v>
      </c>
      <c r="D57" s="16">
        <v>22400</v>
      </c>
      <c r="E57" s="17">
        <v>125</v>
      </c>
      <c r="F57" s="3" t="s">
        <v>7</v>
      </c>
      <c r="G57" s="35">
        <v>265</v>
      </c>
      <c r="H57" s="35">
        <v>190</v>
      </c>
      <c r="I57" s="1">
        <v>0</v>
      </c>
      <c r="J57" s="1">
        <v>0</v>
      </c>
      <c r="K57" s="1">
        <f t="shared" ref="K57" si="141">(IF(F57="SELL",G57-H57,IF(F57="BUY",H57-G57)))*E57</f>
        <v>-9375</v>
      </c>
      <c r="L57" s="1">
        <v>0</v>
      </c>
      <c r="M57" s="1">
        <v>0</v>
      </c>
      <c r="N57" s="2">
        <f t="shared" ref="N57" si="142">(L57+K57+M57)/E57</f>
        <v>-75</v>
      </c>
      <c r="O57" s="2">
        <f t="shared" ref="O57" si="143">N57*E57</f>
        <v>-9375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26" customFormat="1" ht="15" customHeight="1">
      <c r="A58" s="15">
        <v>44089</v>
      </c>
      <c r="B58" s="3" t="s">
        <v>19</v>
      </c>
      <c r="C58" s="16" t="s">
        <v>10</v>
      </c>
      <c r="D58" s="16">
        <v>22500</v>
      </c>
      <c r="E58" s="17">
        <v>125</v>
      </c>
      <c r="F58" s="3" t="s">
        <v>7</v>
      </c>
      <c r="G58" s="35">
        <v>200</v>
      </c>
      <c r="H58" s="35">
        <v>244</v>
      </c>
      <c r="I58" s="1">
        <v>0</v>
      </c>
      <c r="J58" s="1">
        <v>0</v>
      </c>
      <c r="K58" s="1">
        <f t="shared" ref="K58" si="144">(IF(F58="SELL",G58-H58,IF(F58="BUY",H58-G58)))*E58</f>
        <v>5500</v>
      </c>
      <c r="L58" s="1">
        <v>0</v>
      </c>
      <c r="M58" s="1">
        <v>0</v>
      </c>
      <c r="N58" s="2">
        <f t="shared" ref="N58" si="145">(L58+K58+M58)/E58</f>
        <v>44</v>
      </c>
      <c r="O58" s="2">
        <f t="shared" ref="O58" si="146">N58*E58</f>
        <v>5500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s="26" customFormat="1" ht="15" customHeight="1">
      <c r="A59" s="15">
        <v>44088</v>
      </c>
      <c r="B59" s="3" t="s">
        <v>19</v>
      </c>
      <c r="C59" s="16" t="s">
        <v>10</v>
      </c>
      <c r="D59" s="16">
        <v>22500</v>
      </c>
      <c r="E59" s="17">
        <v>125</v>
      </c>
      <c r="F59" s="3" t="s">
        <v>7</v>
      </c>
      <c r="G59" s="35">
        <v>200</v>
      </c>
      <c r="H59" s="35">
        <v>240</v>
      </c>
      <c r="I59" s="1">
        <v>0</v>
      </c>
      <c r="J59" s="1">
        <v>0</v>
      </c>
      <c r="K59" s="1">
        <f t="shared" ref="K59" si="147">(IF(F59="SELL",G59-H59,IF(F59="BUY",H59-G59)))*E59</f>
        <v>5000</v>
      </c>
      <c r="L59" s="1">
        <v>0</v>
      </c>
      <c r="M59" s="1">
        <v>0</v>
      </c>
      <c r="N59" s="2">
        <f t="shared" ref="N59" si="148">(L59+K59+M59)/E59</f>
        <v>40</v>
      </c>
      <c r="O59" s="2">
        <f t="shared" ref="O59" si="149">N59*E59</f>
        <v>5000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s="26" customFormat="1" ht="15" customHeight="1">
      <c r="A60" s="15">
        <v>44085</v>
      </c>
      <c r="B60" s="3" t="s">
        <v>18</v>
      </c>
      <c r="C60" s="16" t="s">
        <v>10</v>
      </c>
      <c r="D60" s="16">
        <v>11450</v>
      </c>
      <c r="E60" s="17">
        <v>375</v>
      </c>
      <c r="F60" s="3" t="s">
        <v>7</v>
      </c>
      <c r="G60" s="35">
        <v>108</v>
      </c>
      <c r="H60" s="35">
        <v>108</v>
      </c>
      <c r="I60" s="1">
        <v>0</v>
      </c>
      <c r="J60" s="1">
        <v>0</v>
      </c>
      <c r="K60" s="1">
        <f t="shared" ref="K60" si="150">(IF(F60="SELL",G60-H60,IF(F60="BUY",H60-G60)))*E60</f>
        <v>0</v>
      </c>
      <c r="L60" s="1">
        <v>0</v>
      </c>
      <c r="M60" s="1">
        <v>0</v>
      </c>
      <c r="N60" s="2">
        <f t="shared" ref="N60" si="151">(L60+K60+M60)/E60</f>
        <v>0</v>
      </c>
      <c r="O60" s="2">
        <f t="shared" ref="O60" si="152">N60*E60</f>
        <v>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26" customFormat="1" ht="15" customHeight="1">
      <c r="A61" s="15">
        <v>44084</v>
      </c>
      <c r="B61" s="3" t="s">
        <v>19</v>
      </c>
      <c r="C61" s="16" t="s">
        <v>10</v>
      </c>
      <c r="D61" s="16">
        <v>22500</v>
      </c>
      <c r="E61" s="17">
        <v>125</v>
      </c>
      <c r="F61" s="3" t="s">
        <v>7</v>
      </c>
      <c r="G61" s="35">
        <v>110</v>
      </c>
      <c r="H61" s="35">
        <v>180</v>
      </c>
      <c r="I61" s="1">
        <v>0</v>
      </c>
      <c r="J61" s="1">
        <v>0</v>
      </c>
      <c r="K61" s="1">
        <f t="shared" ref="K61" si="153">(IF(F61="SELL",G61-H61,IF(F61="BUY",H61-G61)))*E61</f>
        <v>8750</v>
      </c>
      <c r="L61" s="1">
        <v>0</v>
      </c>
      <c r="M61" s="1">
        <v>0</v>
      </c>
      <c r="N61" s="2">
        <f t="shared" ref="N61" si="154">(L61+K61+M61)/E61</f>
        <v>70</v>
      </c>
      <c r="O61" s="2">
        <f t="shared" ref="O61" si="155">N61*E61</f>
        <v>8750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26" customFormat="1" ht="15" customHeight="1">
      <c r="A62" s="15">
        <v>44083</v>
      </c>
      <c r="B62" s="3" t="s">
        <v>19</v>
      </c>
      <c r="C62" s="16" t="s">
        <v>9</v>
      </c>
      <c r="D62" s="16">
        <v>22200</v>
      </c>
      <c r="E62" s="17">
        <v>125</v>
      </c>
      <c r="F62" s="3" t="s">
        <v>7</v>
      </c>
      <c r="G62" s="35">
        <v>210</v>
      </c>
      <c r="H62" s="35">
        <v>178</v>
      </c>
      <c r="I62" s="1">
        <v>0</v>
      </c>
      <c r="J62" s="1">
        <v>0</v>
      </c>
      <c r="K62" s="1">
        <f t="shared" ref="K62" si="156">(IF(F62="SELL",G62-H62,IF(F62="BUY",H62-G62)))*E62</f>
        <v>-4000</v>
      </c>
      <c r="L62" s="1">
        <v>0</v>
      </c>
      <c r="M62" s="1">
        <v>0</v>
      </c>
      <c r="N62" s="2">
        <f t="shared" ref="N62" si="157">(L62+K62+M62)/E62</f>
        <v>-32</v>
      </c>
      <c r="O62" s="2">
        <f t="shared" ref="O62" si="158">N62*E62</f>
        <v>-4000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s="26" customFormat="1" ht="15" customHeight="1">
      <c r="A63" s="15">
        <v>44082</v>
      </c>
      <c r="B63" s="3" t="s">
        <v>19</v>
      </c>
      <c r="C63" s="16" t="s">
        <v>9</v>
      </c>
      <c r="D63" s="16">
        <v>23100</v>
      </c>
      <c r="E63" s="17">
        <v>125</v>
      </c>
      <c r="F63" s="3" t="s">
        <v>7</v>
      </c>
      <c r="G63" s="35">
        <v>355</v>
      </c>
      <c r="H63" s="35">
        <v>397</v>
      </c>
      <c r="I63" s="1">
        <v>480</v>
      </c>
      <c r="J63" s="1">
        <v>528</v>
      </c>
      <c r="K63" s="1">
        <f t="shared" ref="K63" si="159">(IF(F63="SELL",G63-H63,IF(F63="BUY",H63-G63)))*E63</f>
        <v>5250</v>
      </c>
      <c r="L63" s="1">
        <f>E63*83</f>
        <v>10375</v>
      </c>
      <c r="M63" s="1">
        <f>E63*48</f>
        <v>6000</v>
      </c>
      <c r="N63" s="2">
        <f t="shared" ref="N63" si="160">(L63+K63+M63)/E63</f>
        <v>173</v>
      </c>
      <c r="O63" s="2">
        <f t="shared" ref="O63" si="161">N63*E63</f>
        <v>21625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26" customFormat="1" ht="15" customHeight="1">
      <c r="A64" s="15">
        <v>44078</v>
      </c>
      <c r="B64" s="3" t="s">
        <v>19</v>
      </c>
      <c r="C64" s="16" t="s">
        <v>10</v>
      </c>
      <c r="D64" s="16">
        <v>23300</v>
      </c>
      <c r="E64" s="17">
        <v>125</v>
      </c>
      <c r="F64" s="3" t="s">
        <v>7</v>
      </c>
      <c r="G64" s="35">
        <v>420</v>
      </c>
      <c r="H64" s="35">
        <v>345</v>
      </c>
      <c r="I64" s="1">
        <v>0</v>
      </c>
      <c r="J64" s="1">
        <v>0</v>
      </c>
      <c r="K64" s="1">
        <f t="shared" ref="K64" si="162">(IF(F64="SELL",G64-H64,IF(F64="BUY",H64-G64)))*E64</f>
        <v>-9375</v>
      </c>
      <c r="L64" s="1">
        <v>0</v>
      </c>
      <c r="M64" s="1">
        <v>0</v>
      </c>
      <c r="N64" s="2">
        <f t="shared" ref="N64" si="163">(L64+K64+M64)/E64</f>
        <v>-75</v>
      </c>
      <c r="O64" s="2">
        <f t="shared" ref="O64" si="164">N64*E64</f>
        <v>-9375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26" customFormat="1" ht="15" customHeight="1">
      <c r="A65" s="15">
        <v>44077</v>
      </c>
      <c r="B65" s="3" t="s">
        <v>19</v>
      </c>
      <c r="C65" s="16" t="s">
        <v>9</v>
      </c>
      <c r="D65" s="16">
        <v>24000</v>
      </c>
      <c r="E65" s="17">
        <v>125</v>
      </c>
      <c r="F65" s="3" t="s">
        <v>7</v>
      </c>
      <c r="G65" s="35">
        <v>200</v>
      </c>
      <c r="H65" s="35">
        <v>325</v>
      </c>
      <c r="I65" s="1">
        <v>0</v>
      </c>
      <c r="J65" s="1">
        <v>0</v>
      </c>
      <c r="K65" s="1">
        <f t="shared" ref="K65" si="165">(IF(F65="SELL",G65-H65,IF(F65="BUY",H65-G65)))*E65</f>
        <v>15625</v>
      </c>
      <c r="L65" s="1">
        <v>0</v>
      </c>
      <c r="M65" s="1">
        <v>0</v>
      </c>
      <c r="N65" s="2">
        <f t="shared" ref="N65" si="166">(L65+K65+M65)/E65</f>
        <v>125</v>
      </c>
      <c r="O65" s="2">
        <f t="shared" ref="O65" si="167">N65*E65</f>
        <v>15625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26" customFormat="1" ht="15" customHeight="1">
      <c r="A66" s="15">
        <v>44076</v>
      </c>
      <c r="B66" s="3" t="s">
        <v>19</v>
      </c>
      <c r="C66" s="16" t="s">
        <v>10</v>
      </c>
      <c r="D66" s="16">
        <v>23700</v>
      </c>
      <c r="E66" s="17">
        <v>125</v>
      </c>
      <c r="F66" s="3" t="s">
        <v>7</v>
      </c>
      <c r="G66" s="35">
        <v>210</v>
      </c>
      <c r="H66" s="35">
        <v>260</v>
      </c>
      <c r="I66" s="1">
        <v>350</v>
      </c>
      <c r="J66" s="1">
        <v>0</v>
      </c>
      <c r="K66" s="1">
        <f t="shared" ref="K66" si="168">(IF(F66="SELL",G66-H66,IF(F66="BUY",H66-G66)))*E66</f>
        <v>6250</v>
      </c>
      <c r="L66" s="1">
        <f>E66*90</f>
        <v>11250</v>
      </c>
      <c r="M66" s="1">
        <v>0</v>
      </c>
      <c r="N66" s="2">
        <f t="shared" ref="N66" si="169">(L66+K66+M66)/E66</f>
        <v>140</v>
      </c>
      <c r="O66" s="2">
        <f t="shared" ref="O66" si="170">N66*E66</f>
        <v>17500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s="26" customFormat="1" ht="15" customHeight="1">
      <c r="A67" s="15">
        <v>44076</v>
      </c>
      <c r="B67" s="3" t="s">
        <v>18</v>
      </c>
      <c r="C67" s="16" t="s">
        <v>10</v>
      </c>
      <c r="D67" s="16">
        <v>11600</v>
      </c>
      <c r="E67" s="17">
        <v>375</v>
      </c>
      <c r="F67" s="3" t="s">
        <v>7</v>
      </c>
      <c r="G67" s="35">
        <v>89</v>
      </c>
      <c r="H67" s="35">
        <v>113</v>
      </c>
      <c r="I67" s="1">
        <v>0</v>
      </c>
      <c r="J67" s="1">
        <v>0</v>
      </c>
      <c r="K67" s="1">
        <f t="shared" ref="K67" si="171">(IF(F67="SELL",G67-H67,IF(F67="BUY",H67-G67)))*E67</f>
        <v>9000</v>
      </c>
      <c r="L67" s="1">
        <v>0</v>
      </c>
      <c r="M67" s="1">
        <v>0</v>
      </c>
      <c r="N67" s="2">
        <f t="shared" ref="N67" si="172">(L67+K67+M67)/E67</f>
        <v>24</v>
      </c>
      <c r="O67" s="2">
        <f t="shared" ref="O67" si="173">N67*E67</f>
        <v>9000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26" customFormat="1" ht="15" customHeight="1">
      <c r="A68" s="15">
        <v>44075</v>
      </c>
      <c r="B68" s="3" t="s">
        <v>19</v>
      </c>
      <c r="C68" s="16" t="s">
        <v>10</v>
      </c>
      <c r="D68" s="16">
        <v>24100</v>
      </c>
      <c r="E68" s="17">
        <f t="shared" ref="E68:E82" si="174">25*5</f>
        <v>125</v>
      </c>
      <c r="F68" s="3" t="s">
        <v>7</v>
      </c>
      <c r="G68" s="35">
        <v>350</v>
      </c>
      <c r="H68" s="35">
        <v>250</v>
      </c>
      <c r="I68" s="1">
        <v>0</v>
      </c>
      <c r="J68" s="1">
        <v>0</v>
      </c>
      <c r="K68" s="1">
        <f t="shared" ref="K68" si="175">(IF(F68="SELL",G68-H68,IF(F68="BUY",H68-G68)))*E68</f>
        <v>-12500</v>
      </c>
      <c r="L68" s="1">
        <v>0</v>
      </c>
      <c r="M68" s="1">
        <v>0</v>
      </c>
      <c r="N68" s="2">
        <f t="shared" ref="N68" si="176">(L68+K68+M68)/E68</f>
        <v>-100</v>
      </c>
      <c r="O68" s="2">
        <f t="shared" ref="O68" si="177">N68*E68</f>
        <v>-12500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s="26" customFormat="1" ht="15" customHeight="1">
      <c r="A69" s="15">
        <v>44074</v>
      </c>
      <c r="B69" s="3" t="s">
        <v>19</v>
      </c>
      <c r="C69" s="16" t="s">
        <v>9</v>
      </c>
      <c r="D69" s="16">
        <v>24000</v>
      </c>
      <c r="E69" s="17">
        <f t="shared" si="174"/>
        <v>125</v>
      </c>
      <c r="F69" s="3" t="s">
        <v>7</v>
      </c>
      <c r="G69" s="35">
        <v>170</v>
      </c>
      <c r="H69" s="35">
        <v>250</v>
      </c>
      <c r="I69" s="1">
        <v>400</v>
      </c>
      <c r="J69" s="1">
        <v>600</v>
      </c>
      <c r="K69" s="1">
        <f t="shared" ref="K69" si="178">(IF(F69="SELL",G69-H69,IF(F69="BUY",H69-G69)))*E69</f>
        <v>10000</v>
      </c>
      <c r="L69" s="1">
        <f>E69*150</f>
        <v>18750</v>
      </c>
      <c r="M69" s="1">
        <f>E69*200</f>
        <v>25000</v>
      </c>
      <c r="N69" s="2">
        <f t="shared" ref="N69" si="179">(L69+K69+M69)/E69</f>
        <v>430</v>
      </c>
      <c r="O69" s="2">
        <f t="shared" ref="O69" si="180">N69*E69</f>
        <v>53750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s="26" customFormat="1" ht="15" customHeight="1">
      <c r="A70" s="15">
        <v>44070</v>
      </c>
      <c r="B70" s="3" t="s">
        <v>19</v>
      </c>
      <c r="C70" s="16" t="s">
        <v>9</v>
      </c>
      <c r="D70" s="16">
        <v>23600</v>
      </c>
      <c r="E70" s="17">
        <f t="shared" si="174"/>
        <v>125</v>
      </c>
      <c r="F70" s="3" t="s">
        <v>7</v>
      </c>
      <c r="G70" s="35">
        <v>60</v>
      </c>
      <c r="H70" s="35">
        <v>2</v>
      </c>
      <c r="I70" s="1">
        <v>0</v>
      </c>
      <c r="J70" s="1">
        <v>0</v>
      </c>
      <c r="K70" s="1">
        <f t="shared" ref="K70" si="181">(IF(F70="SELL",G70-H70,IF(F70="BUY",H70-G70)))*E70</f>
        <v>-7250</v>
      </c>
      <c r="L70" s="1">
        <v>0</v>
      </c>
      <c r="M70" s="1">
        <v>0</v>
      </c>
      <c r="N70" s="2">
        <f t="shared" ref="N70" si="182">(L70+K70+M70)/E70</f>
        <v>-58</v>
      </c>
      <c r="O70" s="2">
        <f t="shared" ref="O70" si="183">N70*E70</f>
        <v>-7250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s="26" customFormat="1" ht="15" customHeight="1">
      <c r="A71" s="15">
        <v>44069</v>
      </c>
      <c r="B71" s="3" t="s">
        <v>19</v>
      </c>
      <c r="C71" s="16" t="s">
        <v>10</v>
      </c>
      <c r="D71" s="16">
        <v>23000</v>
      </c>
      <c r="E71" s="17">
        <f t="shared" si="174"/>
        <v>125</v>
      </c>
      <c r="F71" s="3" t="s">
        <v>7</v>
      </c>
      <c r="G71" s="35">
        <v>340</v>
      </c>
      <c r="H71" s="35">
        <v>380</v>
      </c>
      <c r="I71" s="1">
        <v>437</v>
      </c>
      <c r="J71" s="1">
        <v>475</v>
      </c>
      <c r="K71" s="1">
        <f t="shared" ref="K71" si="184">(IF(F71="SELL",G71-H71,IF(F71="BUY",H71-G71)))*E71</f>
        <v>5000</v>
      </c>
      <c r="L71" s="1">
        <f>E71*57</f>
        <v>7125</v>
      </c>
      <c r="M71" s="1">
        <f>E71*38</f>
        <v>4750</v>
      </c>
      <c r="N71" s="2">
        <f t="shared" ref="N71" si="185">(L71+K71+M71)/E71</f>
        <v>135</v>
      </c>
      <c r="O71" s="2">
        <f t="shared" ref="O71" si="186">N71*E71</f>
        <v>16875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s="26" customFormat="1" ht="15" customHeight="1">
      <c r="A72" s="15">
        <v>44068</v>
      </c>
      <c r="B72" s="3" t="s">
        <v>19</v>
      </c>
      <c r="C72" s="16" t="s">
        <v>10</v>
      </c>
      <c r="D72" s="16">
        <v>23100</v>
      </c>
      <c r="E72" s="17">
        <f t="shared" si="174"/>
        <v>125</v>
      </c>
      <c r="F72" s="3" t="s">
        <v>7</v>
      </c>
      <c r="G72" s="35">
        <v>190</v>
      </c>
      <c r="H72" s="35">
        <v>142</v>
      </c>
      <c r="I72" s="1">
        <v>0</v>
      </c>
      <c r="J72" s="1">
        <v>0</v>
      </c>
      <c r="K72" s="1">
        <f t="shared" ref="K72" si="187">(IF(F72="SELL",G72-H72,IF(F72="BUY",H72-G72)))*E72</f>
        <v>-6000</v>
      </c>
      <c r="L72" s="1">
        <v>0</v>
      </c>
      <c r="M72" s="1">
        <v>0</v>
      </c>
      <c r="N72" s="2">
        <f t="shared" ref="N72" si="188">(L72+K72+M72)/E72</f>
        <v>-48</v>
      </c>
      <c r="O72" s="2">
        <f t="shared" ref="O72" si="189">N72*E72</f>
        <v>-6000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s="26" customFormat="1" ht="15" customHeight="1">
      <c r="A73" s="15">
        <v>44062</v>
      </c>
      <c r="B73" s="3" t="s">
        <v>19</v>
      </c>
      <c r="C73" s="16" t="s">
        <v>9</v>
      </c>
      <c r="D73" s="16">
        <v>22300</v>
      </c>
      <c r="E73" s="17">
        <f t="shared" si="174"/>
        <v>125</v>
      </c>
      <c r="F73" s="3" t="s">
        <v>7</v>
      </c>
      <c r="G73" s="35">
        <v>160</v>
      </c>
      <c r="H73" s="35">
        <v>210</v>
      </c>
      <c r="I73" s="1">
        <v>0</v>
      </c>
      <c r="J73" s="1">
        <v>0</v>
      </c>
      <c r="K73" s="1">
        <f t="shared" ref="K73" si="190">(IF(F73="SELL",G73-H73,IF(F73="BUY",H73-G73)))*E73</f>
        <v>6250</v>
      </c>
      <c r="L73" s="1">
        <v>0</v>
      </c>
      <c r="M73" s="1">
        <v>0</v>
      </c>
      <c r="N73" s="2">
        <f t="shared" ref="N73" si="191">(L73+K73+M73)/E73</f>
        <v>50</v>
      </c>
      <c r="O73" s="2">
        <f t="shared" ref="O73" si="192">N73*E73</f>
        <v>6250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s="26" customFormat="1" ht="15" customHeight="1">
      <c r="A74" s="15">
        <v>44061</v>
      </c>
      <c r="B74" s="3" t="s">
        <v>19</v>
      </c>
      <c r="C74" s="16" t="s">
        <v>10</v>
      </c>
      <c r="D74" s="16">
        <v>21700</v>
      </c>
      <c r="E74" s="17">
        <f t="shared" si="174"/>
        <v>125</v>
      </c>
      <c r="F74" s="3" t="s">
        <v>7</v>
      </c>
      <c r="G74" s="35">
        <v>310</v>
      </c>
      <c r="H74" s="35">
        <v>380</v>
      </c>
      <c r="I74" s="1">
        <v>520</v>
      </c>
      <c r="J74" s="1">
        <v>629</v>
      </c>
      <c r="K74" s="1">
        <f t="shared" ref="K74" si="193">(IF(F74="SELL",G74-H74,IF(F74="BUY",H74-G74)))*E74</f>
        <v>8750</v>
      </c>
      <c r="L74" s="1">
        <f>E74*140</f>
        <v>17500</v>
      </c>
      <c r="M74" s="1">
        <f>E74*109</f>
        <v>13625</v>
      </c>
      <c r="N74" s="2">
        <f t="shared" ref="N74" si="194">(L74+K74+M74)/E74</f>
        <v>319</v>
      </c>
      <c r="O74" s="2">
        <f t="shared" ref="O74" si="195">N74*E74</f>
        <v>39875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s="26" customFormat="1" ht="15" customHeight="1">
      <c r="A75" s="15">
        <v>44060</v>
      </c>
      <c r="B75" s="3" t="s">
        <v>19</v>
      </c>
      <c r="C75" s="16" t="s">
        <v>10</v>
      </c>
      <c r="D75" s="16">
        <v>21600</v>
      </c>
      <c r="E75" s="17">
        <f t="shared" si="174"/>
        <v>125</v>
      </c>
      <c r="F75" s="3" t="s">
        <v>7</v>
      </c>
      <c r="G75" s="35">
        <v>320</v>
      </c>
      <c r="H75" s="35">
        <v>260</v>
      </c>
      <c r="I75" s="1">
        <v>0</v>
      </c>
      <c r="J75" s="1">
        <v>0</v>
      </c>
      <c r="K75" s="1">
        <f t="shared" ref="K75" si="196">(IF(F75="SELL",G75-H75,IF(F75="BUY",H75-G75)))*E75</f>
        <v>-7500</v>
      </c>
      <c r="L75" s="1">
        <v>0</v>
      </c>
      <c r="M75" s="1">
        <v>0</v>
      </c>
      <c r="N75" s="2">
        <f t="shared" ref="N75" si="197">(L75+K75+M75)/E75</f>
        <v>-60</v>
      </c>
      <c r="O75" s="2">
        <f t="shared" ref="O75" si="198">N75*E75</f>
        <v>-7500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s="26" customFormat="1" ht="15" customHeight="1">
      <c r="A76" s="15">
        <v>44057</v>
      </c>
      <c r="B76" s="3" t="s">
        <v>19</v>
      </c>
      <c r="C76" s="16" t="s">
        <v>9</v>
      </c>
      <c r="D76" s="16">
        <v>22200</v>
      </c>
      <c r="E76" s="17">
        <f t="shared" si="174"/>
        <v>125</v>
      </c>
      <c r="F76" s="3" t="s">
        <v>7</v>
      </c>
      <c r="G76" s="35">
        <v>300</v>
      </c>
      <c r="H76" s="35">
        <v>360</v>
      </c>
      <c r="I76" s="1">
        <v>450</v>
      </c>
      <c r="J76" s="1">
        <v>550</v>
      </c>
      <c r="K76" s="1">
        <f t="shared" ref="K76" si="199">(IF(F76="SELL",G76-H76,IF(F76="BUY",H76-G76)))*E76</f>
        <v>7500</v>
      </c>
      <c r="L76" s="1">
        <f>E76*100</f>
        <v>12500</v>
      </c>
      <c r="M76" s="1">
        <f>E76*100</f>
        <v>12500</v>
      </c>
      <c r="N76" s="2">
        <f t="shared" ref="N76" si="200">(L76+K76+M76)/E76</f>
        <v>260</v>
      </c>
      <c r="O76" s="2">
        <f t="shared" ref="O76" si="201">N76*E76</f>
        <v>32500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s="26" customFormat="1" ht="15" customHeight="1">
      <c r="A77" s="15">
        <v>44056</v>
      </c>
      <c r="B77" s="3" t="s">
        <v>19</v>
      </c>
      <c r="C77" s="16" t="s">
        <v>9</v>
      </c>
      <c r="D77" s="16">
        <v>22300</v>
      </c>
      <c r="E77" s="17">
        <f t="shared" si="174"/>
        <v>125</v>
      </c>
      <c r="F77" s="3" t="s">
        <v>7</v>
      </c>
      <c r="G77" s="35">
        <v>55</v>
      </c>
      <c r="H77" s="35">
        <v>100</v>
      </c>
      <c r="I77" s="1">
        <v>161</v>
      </c>
      <c r="J77" s="1">
        <v>0</v>
      </c>
      <c r="K77" s="1">
        <f t="shared" ref="K77" si="202">(IF(F77="SELL",G77-H77,IF(F77="BUY",H77-G77)))*E77</f>
        <v>5625</v>
      </c>
      <c r="L77" s="1">
        <f>E77*61</f>
        <v>7625</v>
      </c>
      <c r="M77" s="1">
        <v>0</v>
      </c>
      <c r="N77" s="2">
        <f t="shared" ref="N77" si="203">(L77+K77+M77)/E77</f>
        <v>106</v>
      </c>
      <c r="O77" s="2">
        <f t="shared" ref="O77" si="204">N77*E77</f>
        <v>13250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s="26" customFormat="1" ht="15" customHeight="1">
      <c r="A78" s="15">
        <v>44055</v>
      </c>
      <c r="B78" s="3" t="s">
        <v>19</v>
      </c>
      <c r="C78" s="16" t="s">
        <v>10</v>
      </c>
      <c r="D78" s="16">
        <v>22200</v>
      </c>
      <c r="E78" s="17">
        <f t="shared" si="174"/>
        <v>125</v>
      </c>
      <c r="F78" s="3" t="s">
        <v>7</v>
      </c>
      <c r="G78" s="35">
        <v>200</v>
      </c>
      <c r="H78" s="35">
        <v>249</v>
      </c>
      <c r="I78" s="1">
        <v>0</v>
      </c>
      <c r="J78" s="1">
        <v>0</v>
      </c>
      <c r="K78" s="1">
        <f t="shared" ref="K78" si="205">(IF(F78="SELL",G78-H78,IF(F78="BUY",H78-G78)))*E78</f>
        <v>6125</v>
      </c>
      <c r="L78" s="1">
        <v>0</v>
      </c>
      <c r="M78" s="1">
        <v>0</v>
      </c>
      <c r="N78" s="2">
        <f t="shared" ref="N78" si="206">(L78+K78+M78)/E78</f>
        <v>49</v>
      </c>
      <c r="O78" s="2">
        <f t="shared" ref="O78" si="207">N78*E78</f>
        <v>6125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s="26" customFormat="1" ht="15" customHeight="1">
      <c r="A79" s="15">
        <v>44054</v>
      </c>
      <c r="B79" s="3" t="s">
        <v>19</v>
      </c>
      <c r="C79" s="16" t="s">
        <v>10</v>
      </c>
      <c r="D79" s="16">
        <v>22200</v>
      </c>
      <c r="E79" s="17">
        <f t="shared" si="174"/>
        <v>125</v>
      </c>
      <c r="F79" s="3" t="s">
        <v>7</v>
      </c>
      <c r="G79" s="35">
        <v>240</v>
      </c>
      <c r="H79" s="35">
        <v>290</v>
      </c>
      <c r="I79" s="1">
        <v>0</v>
      </c>
      <c r="J79" s="1">
        <v>0</v>
      </c>
      <c r="K79" s="1">
        <f t="shared" ref="K79" si="208">(IF(F79="SELL",G79-H79,IF(F79="BUY",H79-G79)))*E79</f>
        <v>6250</v>
      </c>
      <c r="L79" s="1">
        <v>0</v>
      </c>
      <c r="M79" s="1">
        <v>0</v>
      </c>
      <c r="N79" s="2">
        <f t="shared" ref="N79" si="209">(L79+K79+M79)/E79</f>
        <v>50</v>
      </c>
      <c r="O79" s="2">
        <f t="shared" ref="O79" si="210">N79*E79</f>
        <v>6250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s="26" customFormat="1" ht="15" customHeight="1">
      <c r="A80" s="15">
        <v>44049</v>
      </c>
      <c r="B80" s="3" t="s">
        <v>19</v>
      </c>
      <c r="C80" s="16" t="s">
        <v>10</v>
      </c>
      <c r="D80" s="16">
        <v>21700</v>
      </c>
      <c r="E80" s="17">
        <f t="shared" si="174"/>
        <v>125</v>
      </c>
      <c r="F80" s="3" t="s">
        <v>7</v>
      </c>
      <c r="G80" s="35">
        <v>150</v>
      </c>
      <c r="H80" s="35">
        <v>90</v>
      </c>
      <c r="I80" s="1">
        <v>0</v>
      </c>
      <c r="J80" s="1">
        <v>0</v>
      </c>
      <c r="K80" s="1">
        <f t="shared" ref="K80" si="211">(IF(F80="SELL",G80-H80,IF(F80="BUY",H80-G80)))*E80</f>
        <v>-7500</v>
      </c>
      <c r="L80" s="1">
        <v>0</v>
      </c>
      <c r="M80" s="1">
        <v>0</v>
      </c>
      <c r="N80" s="2">
        <f t="shared" ref="N80" si="212">(L80+K80+M80)/E80</f>
        <v>-60</v>
      </c>
      <c r="O80" s="2">
        <f t="shared" ref="O80" si="213">N80*E80</f>
        <v>-7500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s="26" customFormat="1" ht="15" customHeight="1">
      <c r="A81" s="15">
        <v>44048</v>
      </c>
      <c r="B81" s="3" t="s">
        <v>19</v>
      </c>
      <c r="C81" s="16" t="s">
        <v>9</v>
      </c>
      <c r="D81" s="16">
        <v>21500</v>
      </c>
      <c r="E81" s="17">
        <f t="shared" si="174"/>
        <v>125</v>
      </c>
      <c r="F81" s="3" t="s">
        <v>7</v>
      </c>
      <c r="G81" s="35">
        <v>150</v>
      </c>
      <c r="H81" s="35">
        <v>215</v>
      </c>
      <c r="I81" s="1">
        <v>0</v>
      </c>
      <c r="J81" s="1">
        <v>0</v>
      </c>
      <c r="K81" s="1">
        <f t="shared" ref="K81" si="214">(IF(F81="SELL",G81-H81,IF(F81="BUY",H81-G81)))*E81</f>
        <v>8125</v>
      </c>
      <c r="L81" s="1">
        <v>0</v>
      </c>
      <c r="M81" s="1">
        <v>0</v>
      </c>
      <c r="N81" s="2">
        <f t="shared" ref="N81" si="215">(L81+K81+M81)/E81</f>
        <v>65</v>
      </c>
      <c r="O81" s="2">
        <f t="shared" ref="O81" si="216">N81*E81</f>
        <v>8125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s="26" customFormat="1" ht="15" customHeight="1">
      <c r="A82" s="15">
        <v>44047</v>
      </c>
      <c r="B82" s="3" t="s">
        <v>19</v>
      </c>
      <c r="C82" s="16" t="s">
        <v>9</v>
      </c>
      <c r="D82" s="16">
        <v>21500</v>
      </c>
      <c r="E82" s="17">
        <f t="shared" si="174"/>
        <v>125</v>
      </c>
      <c r="F82" s="3" t="s">
        <v>7</v>
      </c>
      <c r="G82" s="35">
        <v>185</v>
      </c>
      <c r="H82" s="35">
        <v>250</v>
      </c>
      <c r="I82" s="1">
        <v>323.8</v>
      </c>
      <c r="J82" s="1">
        <v>0</v>
      </c>
      <c r="K82" s="1">
        <f t="shared" ref="K82" si="217">(IF(F82="SELL",G82-H82,IF(F82="BUY",H82-G82)))*E82</f>
        <v>8125</v>
      </c>
      <c r="L82" s="1">
        <f>E82*73.8</f>
        <v>9225</v>
      </c>
      <c r="M82" s="1">
        <v>0</v>
      </c>
      <c r="N82" s="2">
        <f t="shared" ref="N82" si="218">(L82+K82+M82)/E82</f>
        <v>138.80000000000001</v>
      </c>
      <c r="O82" s="2">
        <f t="shared" ref="O82" si="219">N82*E82</f>
        <v>17350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s="26" customFormat="1" ht="15" customHeight="1">
      <c r="A83" s="15">
        <v>44046</v>
      </c>
      <c r="B83" s="3" t="s">
        <v>19</v>
      </c>
      <c r="C83" s="16" t="s">
        <v>9</v>
      </c>
      <c r="D83" s="16">
        <v>21000</v>
      </c>
      <c r="E83" s="17">
        <f>25*5</f>
        <v>125</v>
      </c>
      <c r="F83" s="3" t="s">
        <v>7</v>
      </c>
      <c r="G83" s="35">
        <v>225</v>
      </c>
      <c r="H83" s="35">
        <v>270</v>
      </c>
      <c r="I83" s="1">
        <v>0</v>
      </c>
      <c r="J83" s="1">
        <v>0</v>
      </c>
      <c r="K83" s="1">
        <f t="shared" ref="K83" si="220">(IF(F83="SELL",G83-H83,IF(F83="BUY",H83-G83)))*E83</f>
        <v>5625</v>
      </c>
      <c r="L83" s="1">
        <v>0</v>
      </c>
      <c r="M83" s="1">
        <v>0</v>
      </c>
      <c r="N83" s="2">
        <f t="shared" ref="N83" si="221">(L83+K83+M83)/E83</f>
        <v>45</v>
      </c>
      <c r="O83" s="2">
        <f t="shared" ref="O83" si="222">N83*E83</f>
        <v>5625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s="26" customFormat="1" ht="15" customHeight="1">
      <c r="A84" s="15">
        <v>44043</v>
      </c>
      <c r="B84" s="3" t="s">
        <v>19</v>
      </c>
      <c r="C84" s="16" t="s">
        <v>10</v>
      </c>
      <c r="D84" s="16">
        <v>21700</v>
      </c>
      <c r="E84" s="17">
        <v>100</v>
      </c>
      <c r="F84" s="3" t="s">
        <v>7</v>
      </c>
      <c r="G84" s="35">
        <v>400</v>
      </c>
      <c r="H84" s="35">
        <v>449.95</v>
      </c>
      <c r="I84" s="1">
        <v>0</v>
      </c>
      <c r="J84" s="1">
        <v>0</v>
      </c>
      <c r="K84" s="1">
        <f t="shared" ref="K84" si="223">(IF(F84="SELL",G84-H84,IF(F84="BUY",H84-G84)))*E84</f>
        <v>4994.9999999999991</v>
      </c>
      <c r="L84" s="1">
        <v>0</v>
      </c>
      <c r="M84" s="1">
        <v>0</v>
      </c>
      <c r="N84" s="2">
        <f t="shared" ref="N84" si="224">(L84+K84+M84)/E84</f>
        <v>49.949999999999989</v>
      </c>
      <c r="O84" s="2">
        <f t="shared" ref="O84" si="225">N84*E84</f>
        <v>4994.9999999999991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s="26" customFormat="1" ht="15" customHeight="1">
      <c r="A85" s="15">
        <v>44041</v>
      </c>
      <c r="B85" s="3" t="s">
        <v>22</v>
      </c>
      <c r="C85" s="16" t="s">
        <v>9</v>
      </c>
      <c r="D85" s="16">
        <v>11200</v>
      </c>
      <c r="E85" s="17">
        <v>375</v>
      </c>
      <c r="F85" s="3" t="s">
        <v>7</v>
      </c>
      <c r="G85" s="35">
        <v>35</v>
      </c>
      <c r="H85" s="35">
        <v>45</v>
      </c>
      <c r="I85" s="1">
        <v>60</v>
      </c>
      <c r="J85" s="1">
        <v>0</v>
      </c>
      <c r="K85" s="1">
        <f t="shared" ref="K85" si="226">(IF(F85="SELL",G85-H85,IF(F85="BUY",H85-G85)))*E85</f>
        <v>3750</v>
      </c>
      <c r="L85" s="1">
        <f>E85*15</f>
        <v>5625</v>
      </c>
      <c r="M85" s="1">
        <v>0</v>
      </c>
      <c r="N85" s="2">
        <f t="shared" ref="N85" si="227">(L85+K85+M85)/E85</f>
        <v>25</v>
      </c>
      <c r="O85" s="2">
        <f t="shared" ref="O85" si="228">N85*E85</f>
        <v>9375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s="26" customFormat="1" ht="15" customHeight="1">
      <c r="A86" s="15">
        <v>44041</v>
      </c>
      <c r="B86" s="3" t="s">
        <v>19</v>
      </c>
      <c r="C86" s="16" t="s">
        <v>9</v>
      </c>
      <c r="D86" s="16">
        <v>22000</v>
      </c>
      <c r="E86" s="17">
        <v>100</v>
      </c>
      <c r="F86" s="3" t="s">
        <v>7</v>
      </c>
      <c r="G86" s="35">
        <v>165</v>
      </c>
      <c r="H86" s="35">
        <v>90</v>
      </c>
      <c r="I86" s="1">
        <v>0</v>
      </c>
      <c r="J86" s="1">
        <v>0</v>
      </c>
      <c r="K86" s="1">
        <f t="shared" ref="K86" si="229">(IF(F86="SELL",G86-H86,IF(F86="BUY",H86-G86)))*E86</f>
        <v>-7500</v>
      </c>
      <c r="L86" s="1">
        <v>0</v>
      </c>
      <c r="M86" s="1">
        <v>0</v>
      </c>
      <c r="N86" s="2">
        <f t="shared" ref="N86" si="230">(L86+K86+M86)/E86</f>
        <v>-75</v>
      </c>
      <c r="O86" s="2">
        <f t="shared" ref="O86" si="231">N86*E86</f>
        <v>-7500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s="26" customFormat="1" ht="15" customHeight="1">
      <c r="A87" s="15">
        <v>44040</v>
      </c>
      <c r="B87" s="3" t="s">
        <v>19</v>
      </c>
      <c r="C87" s="16" t="s">
        <v>10</v>
      </c>
      <c r="D87" s="16">
        <v>22000</v>
      </c>
      <c r="E87" s="17">
        <v>100</v>
      </c>
      <c r="F87" s="3" t="s">
        <v>7</v>
      </c>
      <c r="G87" s="35">
        <v>270</v>
      </c>
      <c r="H87" s="35">
        <v>340</v>
      </c>
      <c r="I87" s="1">
        <v>440</v>
      </c>
      <c r="J87" s="1">
        <v>0</v>
      </c>
      <c r="K87" s="1">
        <f t="shared" ref="K87" si="232">(IF(F87="SELL",G87-H87,IF(F87="BUY",H87-G87)))*E87</f>
        <v>7000</v>
      </c>
      <c r="L87" s="1">
        <f>E87*100</f>
        <v>10000</v>
      </c>
      <c r="M87" s="1">
        <v>0</v>
      </c>
      <c r="N87" s="2">
        <f t="shared" ref="N87" si="233">(L87+K87+M87)/E87</f>
        <v>170</v>
      </c>
      <c r="O87" s="2">
        <f t="shared" ref="O87" si="234">N87*E87</f>
        <v>17000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s="26" customFormat="1" ht="15" customHeight="1">
      <c r="A88" s="15">
        <v>44039</v>
      </c>
      <c r="B88" s="3" t="s">
        <v>19</v>
      </c>
      <c r="C88" s="16" t="s">
        <v>9</v>
      </c>
      <c r="D88" s="16">
        <v>22000</v>
      </c>
      <c r="E88" s="17">
        <v>100</v>
      </c>
      <c r="F88" s="3" t="s">
        <v>7</v>
      </c>
      <c r="G88" s="35">
        <v>310</v>
      </c>
      <c r="H88" s="35">
        <v>356</v>
      </c>
      <c r="I88" s="1">
        <v>425</v>
      </c>
      <c r="J88" s="1">
        <v>0</v>
      </c>
      <c r="K88" s="1">
        <f t="shared" ref="K88" si="235">(IF(F88="SELL",G88-H88,IF(F88="BUY",H88-G88)))*E88</f>
        <v>4600</v>
      </c>
      <c r="L88" s="1">
        <f>E88*69</f>
        <v>6900</v>
      </c>
      <c r="M88" s="1">
        <v>0</v>
      </c>
      <c r="N88" s="2">
        <f t="shared" ref="N88" si="236">(L88+K88+M88)/E88</f>
        <v>115</v>
      </c>
      <c r="O88" s="2">
        <f t="shared" ref="O88" si="237">N88*E88</f>
        <v>11500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s="26" customFormat="1" ht="15" customHeight="1">
      <c r="A89" s="15">
        <v>44036</v>
      </c>
      <c r="B89" s="3" t="s">
        <v>19</v>
      </c>
      <c r="C89" s="16" t="s">
        <v>9</v>
      </c>
      <c r="D89" s="16">
        <v>22500</v>
      </c>
      <c r="E89" s="17">
        <v>100</v>
      </c>
      <c r="F89" s="3" t="s">
        <v>7</v>
      </c>
      <c r="G89" s="35">
        <v>400</v>
      </c>
      <c r="H89" s="35">
        <v>480</v>
      </c>
      <c r="I89" s="1">
        <v>0</v>
      </c>
      <c r="J89" s="1">
        <v>0</v>
      </c>
      <c r="K89" s="1">
        <f t="shared" ref="K89" si="238">(IF(F89="SELL",G89-H89,IF(F89="BUY",H89-G89)))*E89</f>
        <v>8000</v>
      </c>
      <c r="L89" s="1">
        <v>0</v>
      </c>
      <c r="M89" s="1">
        <v>0</v>
      </c>
      <c r="N89" s="2">
        <f t="shared" ref="N89" si="239">(L89+K89+M89)/E89</f>
        <v>80</v>
      </c>
      <c r="O89" s="2">
        <f t="shared" ref="O89" si="240">N89*E89</f>
        <v>8000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s="26" customFormat="1" ht="15" customHeight="1">
      <c r="A90" s="15">
        <v>44034</v>
      </c>
      <c r="B90" s="3" t="s">
        <v>19</v>
      </c>
      <c r="C90" s="16" t="s">
        <v>9</v>
      </c>
      <c r="D90" s="16">
        <v>22500</v>
      </c>
      <c r="E90" s="17">
        <v>100</v>
      </c>
      <c r="F90" s="3" t="s">
        <v>7</v>
      </c>
      <c r="G90" s="35">
        <v>125</v>
      </c>
      <c r="H90" s="35">
        <v>162</v>
      </c>
      <c r="I90" s="1">
        <v>0</v>
      </c>
      <c r="J90" s="1">
        <v>0</v>
      </c>
      <c r="K90" s="1">
        <f t="shared" ref="K90" si="241">(IF(F90="SELL",G90-H90,IF(F90="BUY",H90-G90)))*E90</f>
        <v>3700</v>
      </c>
      <c r="L90" s="1">
        <v>0</v>
      </c>
      <c r="M90" s="1">
        <v>0</v>
      </c>
      <c r="N90" s="2">
        <f t="shared" ref="N90" si="242">(L90+K90+M90)/E90</f>
        <v>37</v>
      </c>
      <c r="O90" s="2">
        <f t="shared" ref="O90" si="243">N90*E90</f>
        <v>3700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s="26" customFormat="1" ht="15" customHeight="1">
      <c r="A91" s="15">
        <v>44033</v>
      </c>
      <c r="B91" s="3" t="s">
        <v>19</v>
      </c>
      <c r="C91" s="16" t="s">
        <v>10</v>
      </c>
      <c r="D91" s="16">
        <v>22700</v>
      </c>
      <c r="E91" s="17">
        <v>100</v>
      </c>
      <c r="F91" s="3" t="s">
        <v>7</v>
      </c>
      <c r="G91" s="35">
        <v>320</v>
      </c>
      <c r="H91" s="35">
        <v>350</v>
      </c>
      <c r="I91" s="1">
        <v>0</v>
      </c>
      <c r="J91" s="1">
        <v>0</v>
      </c>
      <c r="K91" s="1">
        <f t="shared" ref="K91" si="244">(IF(F91="SELL",G91-H91,IF(F91="BUY",H91-G91)))*E91</f>
        <v>3000</v>
      </c>
      <c r="L91" s="1">
        <v>0</v>
      </c>
      <c r="M91" s="1">
        <v>0</v>
      </c>
      <c r="N91" s="2">
        <f t="shared" ref="N91" si="245">(L91+K91+M91)/E91</f>
        <v>30</v>
      </c>
      <c r="O91" s="2">
        <f t="shared" ref="O91" si="246">N91*E91</f>
        <v>3000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s="26" customFormat="1" ht="15" customHeight="1">
      <c r="A92" s="15">
        <v>44029</v>
      </c>
      <c r="B92" s="3" t="s">
        <v>19</v>
      </c>
      <c r="C92" s="16" t="s">
        <v>9</v>
      </c>
      <c r="D92" s="16">
        <v>21300</v>
      </c>
      <c r="E92" s="17">
        <v>100</v>
      </c>
      <c r="F92" s="3" t="s">
        <v>7</v>
      </c>
      <c r="G92" s="35">
        <v>300</v>
      </c>
      <c r="H92" s="35">
        <v>250</v>
      </c>
      <c r="I92" s="1">
        <v>0</v>
      </c>
      <c r="J92" s="1">
        <v>0</v>
      </c>
      <c r="K92" s="1">
        <f t="shared" ref="K92" si="247">(IF(F92="SELL",G92-H92,IF(F92="BUY",H92-G92)))*E92</f>
        <v>-5000</v>
      </c>
      <c r="L92" s="1">
        <v>0</v>
      </c>
      <c r="M92" s="1">
        <v>0</v>
      </c>
      <c r="N92" s="2">
        <f t="shared" ref="N92" si="248">(L92+K92+M92)/E92</f>
        <v>-50</v>
      </c>
      <c r="O92" s="2">
        <f t="shared" ref="O92" si="249">N92*E92</f>
        <v>-5000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s="26" customFormat="1" ht="15" customHeight="1">
      <c r="A93" s="15">
        <v>44026</v>
      </c>
      <c r="B93" s="3" t="s">
        <v>19</v>
      </c>
      <c r="C93" s="16" t="s">
        <v>9</v>
      </c>
      <c r="D93" s="16">
        <v>21100</v>
      </c>
      <c r="E93" s="17">
        <v>100</v>
      </c>
      <c r="F93" s="3" t="s">
        <v>7</v>
      </c>
      <c r="G93" s="35">
        <v>115</v>
      </c>
      <c r="H93" s="35">
        <v>160</v>
      </c>
      <c r="I93" s="1">
        <v>220</v>
      </c>
      <c r="J93" s="1">
        <v>272</v>
      </c>
      <c r="K93" s="1">
        <f t="shared" ref="K93" si="250">(IF(F93="SELL",G93-H93,IF(F93="BUY",H93-G93)))*E93</f>
        <v>4500</v>
      </c>
      <c r="L93" s="1">
        <f>E93*60</f>
        <v>6000</v>
      </c>
      <c r="M93" s="1">
        <f>E93*52</f>
        <v>5200</v>
      </c>
      <c r="N93" s="2">
        <f t="shared" ref="N93" si="251">(L93+K93+M93)/E93</f>
        <v>157</v>
      </c>
      <c r="O93" s="2">
        <f t="shared" ref="O93" si="252">N93*E93</f>
        <v>15700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s="26" customFormat="1" ht="15" customHeight="1">
      <c r="A94" s="15">
        <v>44025</v>
      </c>
      <c r="B94" s="3" t="s">
        <v>19</v>
      </c>
      <c r="C94" s="16" t="s">
        <v>10</v>
      </c>
      <c r="D94" s="16">
        <v>23000</v>
      </c>
      <c r="E94" s="17">
        <v>100</v>
      </c>
      <c r="F94" s="3" t="s">
        <v>7</v>
      </c>
      <c r="G94" s="35">
        <v>180</v>
      </c>
      <c r="H94" s="35">
        <v>140</v>
      </c>
      <c r="I94" s="1">
        <v>0</v>
      </c>
      <c r="J94" s="1">
        <v>0</v>
      </c>
      <c r="K94" s="1">
        <f t="shared" ref="K94" si="253">(IF(F94="SELL",G94-H94,IF(F94="BUY",H94-G94)))*E94</f>
        <v>-4000</v>
      </c>
      <c r="L94" s="1">
        <v>0</v>
      </c>
      <c r="M94" s="1">
        <v>0</v>
      </c>
      <c r="N94" s="2">
        <f t="shared" ref="N94" si="254">(L94+K94+M94)/E94</f>
        <v>-40</v>
      </c>
      <c r="O94" s="2">
        <f t="shared" ref="O94" si="255">N94*E94</f>
        <v>-4000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s="26" customFormat="1" ht="15" customHeight="1">
      <c r="A95" s="15">
        <v>44022</v>
      </c>
      <c r="B95" s="3" t="s">
        <v>19</v>
      </c>
      <c r="C95" s="16" t="s">
        <v>9</v>
      </c>
      <c r="D95" s="16">
        <v>22100</v>
      </c>
      <c r="E95" s="17">
        <v>100</v>
      </c>
      <c r="F95" s="3" t="s">
        <v>7</v>
      </c>
      <c r="G95" s="35">
        <v>220</v>
      </c>
      <c r="H95" s="35">
        <v>299</v>
      </c>
      <c r="I95" s="1">
        <v>0</v>
      </c>
      <c r="J95" s="1">
        <v>0</v>
      </c>
      <c r="K95" s="1">
        <f t="shared" ref="K95" si="256">(IF(F95="SELL",G95-H95,IF(F95="BUY",H95-G95)))*E95</f>
        <v>7900</v>
      </c>
      <c r="L95" s="1">
        <v>0</v>
      </c>
      <c r="M95" s="1">
        <v>0</v>
      </c>
      <c r="N95" s="2">
        <f t="shared" ref="N95" si="257">(L95+K95+M95)/E95</f>
        <v>79</v>
      </c>
      <c r="O95" s="2">
        <f t="shared" ref="O95" si="258">N95*E95</f>
        <v>7900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s="26" customFormat="1" ht="15" customHeight="1">
      <c r="A96" s="15">
        <v>44019</v>
      </c>
      <c r="B96" s="3" t="s">
        <v>19</v>
      </c>
      <c r="C96" s="16" t="s">
        <v>9</v>
      </c>
      <c r="D96" s="16">
        <v>21900</v>
      </c>
      <c r="E96" s="17">
        <v>100</v>
      </c>
      <c r="F96" s="3" t="s">
        <v>7</v>
      </c>
      <c r="G96" s="35">
        <v>200</v>
      </c>
      <c r="H96" s="35">
        <v>130</v>
      </c>
      <c r="I96" s="1">
        <v>0</v>
      </c>
      <c r="J96" s="1">
        <v>0</v>
      </c>
      <c r="K96" s="1">
        <f t="shared" ref="K96" si="259">(IF(F96="SELL",G96-H96,IF(F96="BUY",H96-G96)))*E96</f>
        <v>-7000</v>
      </c>
      <c r="L96" s="1">
        <v>0</v>
      </c>
      <c r="M96" s="1">
        <v>0</v>
      </c>
      <c r="N96" s="2">
        <f t="shared" ref="N96" si="260">(L96+K96+M96)/E96</f>
        <v>-70</v>
      </c>
      <c r="O96" s="2">
        <f t="shared" ref="O96" si="261">N96*E96</f>
        <v>-7000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s="26" customFormat="1" ht="15" customHeight="1">
      <c r="A97" s="15">
        <v>44014</v>
      </c>
      <c r="B97" s="3" t="s">
        <v>19</v>
      </c>
      <c r="C97" s="16" t="s">
        <v>9</v>
      </c>
      <c r="D97" s="16">
        <v>21700</v>
      </c>
      <c r="E97" s="17">
        <v>100</v>
      </c>
      <c r="F97" s="3" t="s">
        <v>7</v>
      </c>
      <c r="G97" s="35">
        <v>50</v>
      </c>
      <c r="H97" s="35">
        <v>10</v>
      </c>
      <c r="I97" s="1">
        <v>0</v>
      </c>
      <c r="J97" s="1">
        <v>0</v>
      </c>
      <c r="K97" s="1">
        <f t="shared" ref="K97" si="262">(IF(F97="SELL",G97-H97,IF(F97="BUY",H97-G97)))*E97</f>
        <v>-4000</v>
      </c>
      <c r="L97" s="1">
        <v>0</v>
      </c>
      <c r="M97" s="1">
        <v>0</v>
      </c>
      <c r="N97" s="2">
        <f t="shared" ref="N97" si="263">(L97+K97+M97)/E97</f>
        <v>-40</v>
      </c>
      <c r="O97" s="2">
        <f t="shared" ref="O97" si="264">N97*E97</f>
        <v>-4000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s="26" customFormat="1" ht="15" customHeight="1">
      <c r="A98" s="15">
        <v>44013</v>
      </c>
      <c r="B98" s="3" t="s">
        <v>19</v>
      </c>
      <c r="C98" s="16" t="s">
        <v>9</v>
      </c>
      <c r="D98" s="16">
        <v>21000</v>
      </c>
      <c r="E98" s="17">
        <v>100</v>
      </c>
      <c r="F98" s="3" t="s">
        <v>7</v>
      </c>
      <c r="G98" s="35">
        <v>100</v>
      </c>
      <c r="H98" s="35">
        <v>42</v>
      </c>
      <c r="I98" s="1">
        <v>0</v>
      </c>
      <c r="J98" s="1">
        <v>0</v>
      </c>
      <c r="K98" s="1">
        <f t="shared" ref="K98" si="265">(IF(F98="SELL",G98-H98,IF(F98="BUY",H98-G98)))*E98</f>
        <v>-5800</v>
      </c>
      <c r="L98" s="1">
        <v>0</v>
      </c>
      <c r="M98" s="1">
        <v>0</v>
      </c>
      <c r="N98" s="2">
        <f t="shared" ref="N98" si="266">(L98+K98+M98)/E98</f>
        <v>-58</v>
      </c>
      <c r="O98" s="2">
        <f t="shared" ref="O98" si="267">N98*E98</f>
        <v>-5800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s="26" customFormat="1" ht="15" customHeight="1">
      <c r="A99" s="15">
        <v>44012</v>
      </c>
      <c r="B99" s="3" t="s">
        <v>19</v>
      </c>
      <c r="C99" s="16" t="s">
        <v>9</v>
      </c>
      <c r="D99" s="16">
        <v>20700</v>
      </c>
      <c r="E99" s="17">
        <v>100</v>
      </c>
      <c r="F99" s="3" t="s">
        <v>7</v>
      </c>
      <c r="G99" s="35">
        <v>145</v>
      </c>
      <c r="H99" s="35">
        <v>200</v>
      </c>
      <c r="I99" s="1">
        <v>0</v>
      </c>
      <c r="J99" s="1">
        <v>0</v>
      </c>
      <c r="K99" s="1">
        <f t="shared" ref="K99" si="268">(IF(F99="SELL",G99-H99,IF(F99="BUY",H99-G99)))*E99</f>
        <v>5500</v>
      </c>
      <c r="L99" s="1">
        <v>0</v>
      </c>
      <c r="M99" s="1">
        <v>0</v>
      </c>
      <c r="N99" s="2">
        <f t="shared" ref="N99" si="269">(L99+K99+M99)/E99</f>
        <v>55</v>
      </c>
      <c r="O99" s="2">
        <f t="shared" ref="O99" si="270">N99*E99</f>
        <v>5500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s="26" customFormat="1" ht="15" customHeight="1">
      <c r="A100" s="15">
        <v>44011</v>
      </c>
      <c r="B100" s="3" t="s">
        <v>19</v>
      </c>
      <c r="C100" s="16" t="s">
        <v>9</v>
      </c>
      <c r="D100" s="16">
        <v>20700</v>
      </c>
      <c r="E100" s="17">
        <v>100</v>
      </c>
      <c r="F100" s="3" t="s">
        <v>7</v>
      </c>
      <c r="G100" s="35">
        <v>340</v>
      </c>
      <c r="H100" s="35">
        <v>240</v>
      </c>
      <c r="I100" s="1">
        <v>0</v>
      </c>
      <c r="J100" s="1">
        <v>0</v>
      </c>
      <c r="K100" s="1">
        <f t="shared" ref="K100" si="271">(IF(F100="SELL",G100-H100,IF(F100="BUY",H100-G100)))*E100</f>
        <v>-10000</v>
      </c>
      <c r="L100" s="1">
        <v>0</v>
      </c>
      <c r="M100" s="1">
        <v>0</v>
      </c>
      <c r="N100" s="2">
        <f t="shared" ref="N100" si="272">(L100+K100+M100)/E100</f>
        <v>-100</v>
      </c>
      <c r="O100" s="2">
        <f t="shared" ref="O100" si="273">N100*E100</f>
        <v>-10000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s="26" customFormat="1" ht="15" customHeight="1">
      <c r="A101" s="15">
        <v>44007</v>
      </c>
      <c r="B101" s="3" t="s">
        <v>19</v>
      </c>
      <c r="C101" s="16" t="s">
        <v>9</v>
      </c>
      <c r="D101" s="16">
        <v>21000</v>
      </c>
      <c r="E101" s="17">
        <v>100</v>
      </c>
      <c r="F101" s="3" t="s">
        <v>7</v>
      </c>
      <c r="G101" s="35">
        <v>130</v>
      </c>
      <c r="H101" s="35">
        <v>80</v>
      </c>
      <c r="I101" s="1">
        <v>0</v>
      </c>
      <c r="J101" s="1">
        <v>0</v>
      </c>
      <c r="K101" s="1">
        <f t="shared" ref="K101" si="274">(IF(F101="SELL",G101-H101,IF(F101="BUY",H101-G101)))*E101</f>
        <v>-5000</v>
      </c>
      <c r="L101" s="1">
        <v>0</v>
      </c>
      <c r="M101" s="1">
        <v>0</v>
      </c>
      <c r="N101" s="2">
        <f t="shared" ref="N101" si="275">(L101+K101+M101)/E101</f>
        <v>-50</v>
      </c>
      <c r="O101" s="2">
        <f t="shared" ref="O101" si="276">N101*E101</f>
        <v>-5000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s="26" customFormat="1" ht="15" customHeight="1">
      <c r="A102" s="15">
        <v>44006</v>
      </c>
      <c r="B102" s="3" t="s">
        <v>19</v>
      </c>
      <c r="C102" s="16" t="s">
        <v>9</v>
      </c>
      <c r="D102" s="16">
        <v>21700</v>
      </c>
      <c r="E102" s="17">
        <v>100</v>
      </c>
      <c r="F102" s="3" t="s">
        <v>7</v>
      </c>
      <c r="G102" s="35">
        <v>140</v>
      </c>
      <c r="H102" s="35">
        <v>250</v>
      </c>
      <c r="I102" s="1">
        <v>400</v>
      </c>
      <c r="J102" s="1">
        <v>490</v>
      </c>
      <c r="K102" s="1">
        <f t="shared" ref="K102" si="277">(IF(F102="SELL",G102-H102,IF(F102="BUY",H102-G102)))*E102</f>
        <v>11000</v>
      </c>
      <c r="L102" s="1">
        <f>E102*150</f>
        <v>15000</v>
      </c>
      <c r="M102" s="1">
        <f>E102*90</f>
        <v>9000</v>
      </c>
      <c r="N102" s="2">
        <f t="shared" ref="N102" si="278">(L102+K102+M102)/E102</f>
        <v>350</v>
      </c>
      <c r="O102" s="2">
        <f t="shared" ref="O102" si="279">N102*E102</f>
        <v>35000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s="26" customFormat="1" ht="15" customHeight="1">
      <c r="A103" s="15">
        <v>44005</v>
      </c>
      <c r="B103" s="3" t="s">
        <v>19</v>
      </c>
      <c r="C103" s="16" t="s">
        <v>9</v>
      </c>
      <c r="D103" s="16">
        <v>21000</v>
      </c>
      <c r="E103" s="17">
        <v>100</v>
      </c>
      <c r="F103" s="3" t="s">
        <v>7</v>
      </c>
      <c r="G103" s="35">
        <v>135</v>
      </c>
      <c r="H103" s="35">
        <v>169</v>
      </c>
      <c r="I103" s="1">
        <v>0</v>
      </c>
      <c r="J103" s="1">
        <v>0</v>
      </c>
      <c r="K103" s="1">
        <f t="shared" ref="K103" si="280">(IF(F103="SELL",G103-H103,IF(F103="BUY",H103-G103)))*E103</f>
        <v>3400</v>
      </c>
      <c r="L103" s="1">
        <v>0</v>
      </c>
      <c r="M103" s="1">
        <v>0</v>
      </c>
      <c r="N103" s="2">
        <f t="shared" ref="N103" si="281">(L103+K103+M103)/E103</f>
        <v>34</v>
      </c>
      <c r="O103" s="2">
        <f t="shared" ref="O103" si="282">N103*E103</f>
        <v>3400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s="26" customFormat="1" ht="15" customHeight="1">
      <c r="A104" s="15">
        <v>44004</v>
      </c>
      <c r="B104" s="3" t="s">
        <v>19</v>
      </c>
      <c r="C104" s="16" t="s">
        <v>9</v>
      </c>
      <c r="D104" s="16">
        <v>21700</v>
      </c>
      <c r="E104" s="17">
        <v>100</v>
      </c>
      <c r="F104" s="3" t="s">
        <v>7</v>
      </c>
      <c r="G104" s="35">
        <v>510</v>
      </c>
      <c r="H104" s="35">
        <v>400</v>
      </c>
      <c r="I104" s="1">
        <v>0</v>
      </c>
      <c r="J104" s="1">
        <v>0</v>
      </c>
      <c r="K104" s="1">
        <f t="shared" ref="K104" si="283">(IF(F104="SELL",G104-H104,IF(F104="BUY",H104-G104)))*E104</f>
        <v>-11000</v>
      </c>
      <c r="L104" s="1">
        <v>0</v>
      </c>
      <c r="M104" s="1">
        <v>0</v>
      </c>
      <c r="N104" s="2">
        <f t="shared" ref="N104" si="284">(L104+K104+M104)/E104</f>
        <v>-110</v>
      </c>
      <c r="O104" s="2">
        <f t="shared" ref="O104" si="285">N104*E104</f>
        <v>-11000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s="26" customFormat="1" ht="15" customHeight="1">
      <c r="A105" s="15">
        <v>44001</v>
      </c>
      <c r="B105" s="3" t="s">
        <v>19</v>
      </c>
      <c r="C105" s="16" t="s">
        <v>9</v>
      </c>
      <c r="D105" s="16">
        <v>20700</v>
      </c>
      <c r="E105" s="17">
        <v>100</v>
      </c>
      <c r="F105" s="3" t="s">
        <v>7</v>
      </c>
      <c r="G105" s="35">
        <v>400</v>
      </c>
      <c r="H105" s="35">
        <v>333</v>
      </c>
      <c r="I105" s="1">
        <v>0</v>
      </c>
      <c r="J105" s="1">
        <v>0</v>
      </c>
      <c r="K105" s="1">
        <f t="shared" ref="K105" si="286">(IF(F105="SELL",G105-H105,IF(F105="BUY",H105-G105)))*E105</f>
        <v>-6700</v>
      </c>
      <c r="L105" s="1">
        <v>0</v>
      </c>
      <c r="M105" s="1">
        <v>0</v>
      </c>
      <c r="N105" s="2">
        <f t="shared" ref="N105" si="287">(L105+K105+M105)/E105</f>
        <v>-67</v>
      </c>
      <c r="O105" s="2">
        <f t="shared" ref="O105" si="288">N105*E105</f>
        <v>-6700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s="26" customFormat="1" ht="15" customHeight="1">
      <c r="A106" s="15">
        <v>44000</v>
      </c>
      <c r="B106" s="3" t="s">
        <v>19</v>
      </c>
      <c r="C106" s="16" t="s">
        <v>9</v>
      </c>
      <c r="D106" s="16">
        <v>19700</v>
      </c>
      <c r="E106" s="17">
        <v>100</v>
      </c>
      <c r="F106" s="3" t="s">
        <v>7</v>
      </c>
      <c r="G106" s="35">
        <v>60</v>
      </c>
      <c r="H106" s="35">
        <v>15</v>
      </c>
      <c r="I106" s="1">
        <v>0</v>
      </c>
      <c r="J106" s="1">
        <v>0</v>
      </c>
      <c r="K106" s="1">
        <f t="shared" ref="K106" si="289">(IF(F106="SELL",G106-H106,IF(F106="BUY",H106-G106)))*E106</f>
        <v>-4500</v>
      </c>
      <c r="L106" s="1">
        <v>0</v>
      </c>
      <c r="M106" s="1">
        <v>0</v>
      </c>
      <c r="N106" s="2">
        <f t="shared" ref="N106" si="290">(L106+K106+M106)/E106</f>
        <v>-45</v>
      </c>
      <c r="O106" s="2">
        <f t="shared" ref="O106" si="291">N106*E106</f>
        <v>-4500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s="26" customFormat="1" ht="15" customHeight="1">
      <c r="A107" s="15">
        <v>43999</v>
      </c>
      <c r="B107" s="3" t="s">
        <v>19</v>
      </c>
      <c r="C107" s="16" t="s">
        <v>9</v>
      </c>
      <c r="D107" s="16">
        <v>19500</v>
      </c>
      <c r="E107" s="17">
        <v>100</v>
      </c>
      <c r="F107" s="3" t="s">
        <v>7</v>
      </c>
      <c r="G107" s="35">
        <v>200</v>
      </c>
      <c r="H107" s="35">
        <v>110</v>
      </c>
      <c r="I107" s="1">
        <v>0</v>
      </c>
      <c r="J107" s="1">
        <v>0</v>
      </c>
      <c r="K107" s="1">
        <f t="shared" ref="K107" si="292">(IF(F107="SELL",G107-H107,IF(F107="BUY",H107-G107)))*E107</f>
        <v>-9000</v>
      </c>
      <c r="L107" s="1">
        <v>0</v>
      </c>
      <c r="M107" s="1">
        <v>0</v>
      </c>
      <c r="N107" s="2">
        <f t="shared" ref="N107" si="293">(L107+K107+M107)/E107</f>
        <v>-90</v>
      </c>
      <c r="O107" s="2">
        <f t="shared" ref="O107" si="294">N107*E107</f>
        <v>-9000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s="26" customFormat="1" ht="15" customHeight="1">
      <c r="A108" s="15">
        <v>43998</v>
      </c>
      <c r="B108" s="3" t="s">
        <v>19</v>
      </c>
      <c r="C108" s="16" t="s">
        <v>9</v>
      </c>
      <c r="D108" s="16">
        <v>19500</v>
      </c>
      <c r="E108" s="17">
        <v>100</v>
      </c>
      <c r="F108" s="3" t="s">
        <v>7</v>
      </c>
      <c r="G108" s="35">
        <v>80</v>
      </c>
      <c r="H108" s="35">
        <v>150</v>
      </c>
      <c r="I108" s="1">
        <v>250</v>
      </c>
      <c r="J108" s="1">
        <v>500</v>
      </c>
      <c r="K108" s="1">
        <f t="shared" ref="K108" si="295">(IF(F108="SELL",G108-H108,IF(F108="BUY",H108-G108)))*E108</f>
        <v>7000</v>
      </c>
      <c r="L108" s="1">
        <f>E108*100</f>
        <v>10000</v>
      </c>
      <c r="M108" s="1">
        <f>E108*250</f>
        <v>25000</v>
      </c>
      <c r="N108" s="2">
        <f t="shared" ref="N108" si="296">(L108+K108+M108)/E108</f>
        <v>420</v>
      </c>
      <c r="O108" s="2">
        <f t="shared" ref="O108" si="297">N108*E108</f>
        <v>42000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s="26" customFormat="1" ht="15" customHeight="1">
      <c r="A109" s="15">
        <v>43997</v>
      </c>
      <c r="B109" s="3" t="s">
        <v>19</v>
      </c>
      <c r="C109" s="16" t="s">
        <v>9</v>
      </c>
      <c r="D109" s="16">
        <v>20000</v>
      </c>
      <c r="E109" s="17">
        <v>100</v>
      </c>
      <c r="F109" s="3" t="s">
        <v>7</v>
      </c>
      <c r="G109" s="35">
        <v>480</v>
      </c>
      <c r="H109" s="35">
        <v>630</v>
      </c>
      <c r="I109" s="1">
        <v>700</v>
      </c>
      <c r="J109" s="1">
        <v>0</v>
      </c>
      <c r="K109" s="1">
        <f t="shared" ref="K109" si="298">(IF(F109="SELL",G109-H109,IF(F109="BUY",H109-G109)))*E109</f>
        <v>15000</v>
      </c>
      <c r="L109" s="1">
        <f>E109*70</f>
        <v>7000</v>
      </c>
      <c r="M109" s="1">
        <v>0</v>
      </c>
      <c r="N109" s="2">
        <f t="shared" ref="N109" si="299">(L109+K109+M109)/E109</f>
        <v>220</v>
      </c>
      <c r="O109" s="2">
        <f t="shared" ref="O109" si="300">N109*E109</f>
        <v>22000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s="26" customFormat="1" ht="15" customHeight="1">
      <c r="A110" s="15">
        <v>43997</v>
      </c>
      <c r="B110" s="3" t="s">
        <v>19</v>
      </c>
      <c r="C110" s="16" t="s">
        <v>9</v>
      </c>
      <c r="D110" s="16">
        <v>20000</v>
      </c>
      <c r="E110" s="17">
        <v>100</v>
      </c>
      <c r="F110" s="3" t="s">
        <v>7</v>
      </c>
      <c r="G110" s="35">
        <v>480</v>
      </c>
      <c r="H110" s="35">
        <v>630</v>
      </c>
      <c r="I110" s="1">
        <v>700</v>
      </c>
      <c r="J110" s="1">
        <v>0</v>
      </c>
      <c r="K110" s="1">
        <f t="shared" ref="K110" si="301">(IF(F110="SELL",G110-H110,IF(F110="BUY",H110-G110)))*E110</f>
        <v>15000</v>
      </c>
      <c r="L110" s="1">
        <f>E110*70</f>
        <v>7000</v>
      </c>
      <c r="M110" s="1">
        <v>0</v>
      </c>
      <c r="N110" s="2">
        <f t="shared" ref="N110" si="302">(L110+K110+M110)/E110</f>
        <v>220</v>
      </c>
      <c r="O110" s="2">
        <f t="shared" ref="O110" si="303">N110*E110</f>
        <v>22000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s="26" customFormat="1" ht="15" customHeight="1">
      <c r="A111" s="15">
        <v>43994</v>
      </c>
      <c r="B111" s="3" t="s">
        <v>19</v>
      </c>
      <c r="C111" s="16" t="s">
        <v>9</v>
      </c>
      <c r="D111" s="16">
        <v>19700</v>
      </c>
      <c r="E111" s="17">
        <v>100</v>
      </c>
      <c r="F111" s="3" t="s">
        <v>7</v>
      </c>
      <c r="G111" s="35">
        <v>600</v>
      </c>
      <c r="H111" s="35">
        <v>500</v>
      </c>
      <c r="I111" s="1">
        <v>0</v>
      </c>
      <c r="J111" s="1">
        <v>0</v>
      </c>
      <c r="K111" s="1">
        <f t="shared" ref="K111" si="304">(IF(F111="SELL",G111-H111,IF(F111="BUY",H111-G111)))*E111</f>
        <v>-10000</v>
      </c>
      <c r="L111" s="1">
        <v>0</v>
      </c>
      <c r="M111" s="1">
        <v>0</v>
      </c>
      <c r="N111" s="2">
        <f t="shared" ref="N111" si="305">(L111+K111+M111)/E111</f>
        <v>-100</v>
      </c>
      <c r="O111" s="2">
        <f t="shared" ref="O111" si="306">N111*E111</f>
        <v>-10000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s="26" customFormat="1" ht="15" customHeight="1">
      <c r="A112" s="15">
        <v>43993</v>
      </c>
      <c r="B112" s="3" t="s">
        <v>19</v>
      </c>
      <c r="C112" s="16" t="s">
        <v>9</v>
      </c>
      <c r="D112" s="16">
        <v>20700</v>
      </c>
      <c r="E112" s="17">
        <v>100</v>
      </c>
      <c r="F112" s="3" t="s">
        <v>7</v>
      </c>
      <c r="G112" s="35">
        <v>50</v>
      </c>
      <c r="H112" s="35">
        <v>80</v>
      </c>
      <c r="I112" s="1">
        <v>200</v>
      </c>
      <c r="J112" s="1">
        <v>0</v>
      </c>
      <c r="K112" s="1">
        <f t="shared" ref="K112" si="307">(IF(F112="SELL",G112-H112,IF(F112="BUY",H112-G112)))*E112</f>
        <v>3000</v>
      </c>
      <c r="L112" s="1">
        <f>E112*120</f>
        <v>12000</v>
      </c>
      <c r="M112" s="1">
        <v>0</v>
      </c>
      <c r="N112" s="2">
        <f t="shared" ref="N112" si="308">(L112+K112+M112)/E112</f>
        <v>150</v>
      </c>
      <c r="O112" s="2">
        <f t="shared" ref="O112" si="309">N112*E112</f>
        <v>15000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s="26" customFormat="1" ht="15" customHeight="1">
      <c r="A113" s="15">
        <v>43961</v>
      </c>
      <c r="B113" s="3" t="s">
        <v>19</v>
      </c>
      <c r="C113" s="16" t="s">
        <v>9</v>
      </c>
      <c r="D113" s="16">
        <v>20700</v>
      </c>
      <c r="E113" s="17">
        <v>100</v>
      </c>
      <c r="F113" s="3" t="s">
        <v>7</v>
      </c>
      <c r="G113" s="35">
        <v>300</v>
      </c>
      <c r="H113" s="35">
        <v>210</v>
      </c>
      <c r="I113" s="1">
        <v>0</v>
      </c>
      <c r="J113" s="1">
        <v>0</v>
      </c>
      <c r="K113" s="1">
        <f t="shared" ref="K113" si="310">(IF(F113="SELL",G113-H113,IF(F113="BUY",H113-G113)))*E113</f>
        <v>-9000</v>
      </c>
      <c r="L113" s="1">
        <v>0</v>
      </c>
      <c r="M113" s="1">
        <v>0</v>
      </c>
      <c r="N113" s="2">
        <f t="shared" ref="N113" si="311">(L113+K113+M113)/E113</f>
        <v>-90</v>
      </c>
      <c r="O113" s="2">
        <f t="shared" ref="O113" si="312">N113*E113</f>
        <v>-9000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s="26" customFormat="1" ht="15" customHeight="1">
      <c r="A114" s="15">
        <v>43987</v>
      </c>
      <c r="B114" s="3" t="s">
        <v>19</v>
      </c>
      <c r="C114" s="16" t="s">
        <v>9</v>
      </c>
      <c r="D114" s="16">
        <v>20100</v>
      </c>
      <c r="E114" s="17">
        <v>100</v>
      </c>
      <c r="F114" s="3" t="s">
        <v>7</v>
      </c>
      <c r="G114" s="35">
        <v>350</v>
      </c>
      <c r="H114" s="35">
        <v>416</v>
      </c>
      <c r="I114" s="1">
        <v>0</v>
      </c>
      <c r="J114" s="1">
        <v>0</v>
      </c>
      <c r="K114" s="1">
        <f t="shared" ref="K114" si="313">(IF(F114="SELL",G114-H114,IF(F114="BUY",H114-G114)))*E114</f>
        <v>6600</v>
      </c>
      <c r="L114" s="1">
        <v>0</v>
      </c>
      <c r="M114" s="1">
        <v>0</v>
      </c>
      <c r="N114" s="2">
        <f t="shared" ref="N114" si="314">(L114+K114+M114)/E114</f>
        <v>66</v>
      </c>
      <c r="O114" s="2">
        <f t="shared" ref="O114" si="315">N114*E114</f>
        <v>6600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s="26" customFormat="1" ht="15" customHeight="1">
      <c r="A115" s="15">
        <v>43986</v>
      </c>
      <c r="B115" s="3" t="s">
        <v>19</v>
      </c>
      <c r="C115" s="16" t="s">
        <v>9</v>
      </c>
      <c r="D115" s="16">
        <v>20800</v>
      </c>
      <c r="E115" s="17">
        <v>100</v>
      </c>
      <c r="F115" s="3" t="s">
        <v>7</v>
      </c>
      <c r="G115" s="35">
        <v>100</v>
      </c>
      <c r="H115" s="35">
        <v>150</v>
      </c>
      <c r="I115" s="1">
        <v>250</v>
      </c>
      <c r="J115" s="1">
        <v>400</v>
      </c>
      <c r="K115" s="1">
        <f t="shared" ref="K115" si="316">(IF(F115="SELL",G115-H115,IF(F115="BUY",H115-G115)))*E115</f>
        <v>5000</v>
      </c>
      <c r="L115" s="1">
        <f>E115*100</f>
        <v>10000</v>
      </c>
      <c r="M115" s="1">
        <f>E115*150</f>
        <v>15000</v>
      </c>
      <c r="N115" s="2">
        <f t="shared" ref="N115" si="317">(L115+K115+M115)/E115</f>
        <v>300</v>
      </c>
      <c r="O115" s="2">
        <f t="shared" ref="O115" si="318">N115*E115</f>
        <v>30000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s="26" customFormat="1" ht="15" customHeight="1">
      <c r="A116" s="15">
        <v>43985</v>
      </c>
      <c r="B116" s="3" t="s">
        <v>19</v>
      </c>
      <c r="C116" s="16" t="s">
        <v>10</v>
      </c>
      <c r="D116" s="16">
        <v>21000</v>
      </c>
      <c r="E116" s="17">
        <v>100</v>
      </c>
      <c r="F116" s="3" t="s">
        <v>7</v>
      </c>
      <c r="G116" s="35">
        <v>250</v>
      </c>
      <c r="H116" s="35">
        <v>350</v>
      </c>
      <c r="I116" s="1">
        <v>480</v>
      </c>
      <c r="J116" s="1">
        <v>600</v>
      </c>
      <c r="K116" s="1">
        <f t="shared" ref="K116" si="319">(IF(F116="SELL",G116-H116,IF(F116="BUY",H116-G116)))*E116</f>
        <v>10000</v>
      </c>
      <c r="L116" s="1">
        <f>E116*130</f>
        <v>13000</v>
      </c>
      <c r="M116" s="1">
        <f>E116*120</f>
        <v>12000</v>
      </c>
      <c r="N116" s="2">
        <f t="shared" ref="N116" si="320">(L116+K116+M116)/E116</f>
        <v>350</v>
      </c>
      <c r="O116" s="2">
        <f t="shared" ref="O116" si="321">N116*E116</f>
        <v>35000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s="26" customFormat="1" ht="15" customHeight="1">
      <c r="A117" s="15">
        <v>43984</v>
      </c>
      <c r="B117" s="3" t="s">
        <v>19</v>
      </c>
      <c r="C117" s="16" t="s">
        <v>10</v>
      </c>
      <c r="D117" s="16">
        <v>20000</v>
      </c>
      <c r="E117" s="17">
        <v>100</v>
      </c>
      <c r="F117" s="3" t="s">
        <v>7</v>
      </c>
      <c r="G117" s="35">
        <v>390</v>
      </c>
      <c r="H117" s="35">
        <v>500</v>
      </c>
      <c r="I117" s="1">
        <v>650</v>
      </c>
      <c r="J117" s="1">
        <v>720</v>
      </c>
      <c r="K117" s="1">
        <f t="shared" ref="K117" si="322">(IF(F117="SELL",G117-H117,IF(F117="BUY",H117-G117)))*E117</f>
        <v>11000</v>
      </c>
      <c r="L117" s="1">
        <f>E117*150</f>
        <v>15000</v>
      </c>
      <c r="M117" s="1">
        <f>E117*70</f>
        <v>7000</v>
      </c>
      <c r="N117" s="2">
        <f t="shared" ref="N117" si="323">(L117+K117+M117)/E117</f>
        <v>330</v>
      </c>
      <c r="O117" s="2">
        <f t="shared" ref="O117" si="324">N117*E117</f>
        <v>33000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s="26" customFormat="1" ht="15" customHeight="1">
      <c r="A118" s="15">
        <v>43983</v>
      </c>
      <c r="B118" s="3" t="s">
        <v>19</v>
      </c>
      <c r="C118" s="16" t="s">
        <v>10</v>
      </c>
      <c r="D118" s="16">
        <v>20000</v>
      </c>
      <c r="E118" s="17">
        <v>100</v>
      </c>
      <c r="F118" s="3" t="s">
        <v>7</v>
      </c>
      <c r="G118" s="35">
        <v>360</v>
      </c>
      <c r="H118" s="35">
        <v>500</v>
      </c>
      <c r="I118" s="1">
        <v>0</v>
      </c>
      <c r="J118" s="1">
        <v>0</v>
      </c>
      <c r="K118" s="1">
        <f t="shared" ref="K118" si="325">(IF(F118="SELL",G118-H118,IF(F118="BUY",H118-G118)))*E118</f>
        <v>14000</v>
      </c>
      <c r="L118" s="1">
        <v>0</v>
      </c>
      <c r="M118" s="1">
        <v>0</v>
      </c>
      <c r="N118" s="2">
        <f t="shared" ref="N118" si="326">(L118+K118+M118)/E118</f>
        <v>140</v>
      </c>
      <c r="O118" s="2">
        <f t="shared" ref="O118" si="327">N118*E118</f>
        <v>14000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s="26" customFormat="1" ht="15" customHeight="1">
      <c r="A119" s="15">
        <v>43980</v>
      </c>
      <c r="B119" s="3" t="s">
        <v>19</v>
      </c>
      <c r="C119" s="16" t="s">
        <v>10</v>
      </c>
      <c r="D119" s="16">
        <v>19400</v>
      </c>
      <c r="E119" s="17">
        <v>100</v>
      </c>
      <c r="F119" s="3" t="s">
        <v>7</v>
      </c>
      <c r="G119" s="35">
        <v>330</v>
      </c>
      <c r="H119" s="35">
        <v>220</v>
      </c>
      <c r="I119" s="1">
        <v>0</v>
      </c>
      <c r="J119" s="1">
        <v>0</v>
      </c>
      <c r="K119" s="1">
        <f t="shared" ref="K119" si="328">(IF(F119="SELL",G119-H119,IF(F119="BUY",H119-G119)))*E119</f>
        <v>-11000</v>
      </c>
      <c r="L119" s="1">
        <v>0</v>
      </c>
      <c r="M119" s="1">
        <v>0</v>
      </c>
      <c r="N119" s="2">
        <f t="shared" ref="N119" si="329">(L119+K119+M119)/E119</f>
        <v>-110</v>
      </c>
      <c r="O119" s="2">
        <f t="shared" ref="O119" si="330">N119*E119</f>
        <v>-11000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s="26" customFormat="1" ht="15" customHeight="1">
      <c r="A120" s="15">
        <v>43978</v>
      </c>
      <c r="B120" s="3" t="s">
        <v>19</v>
      </c>
      <c r="C120" s="16" t="s">
        <v>9</v>
      </c>
      <c r="D120" s="16">
        <v>17500</v>
      </c>
      <c r="E120" s="17">
        <v>100</v>
      </c>
      <c r="F120" s="3" t="s">
        <v>7</v>
      </c>
      <c r="G120" s="35">
        <v>220</v>
      </c>
      <c r="H120" s="35">
        <v>135</v>
      </c>
      <c r="I120" s="1">
        <v>0</v>
      </c>
      <c r="J120" s="1">
        <v>0</v>
      </c>
      <c r="K120" s="1">
        <f t="shared" ref="K120" si="331">(IF(F120="SELL",G120-H120,IF(F120="BUY",H120-G120)))*E120</f>
        <v>-8500</v>
      </c>
      <c r="L120" s="1">
        <v>0</v>
      </c>
      <c r="M120" s="1">
        <v>0</v>
      </c>
      <c r="N120" s="2">
        <f t="shared" ref="N120" si="332">(L120+K120+M120)/E120</f>
        <v>-85</v>
      </c>
      <c r="O120" s="2">
        <f t="shared" ref="O120" si="333">N120*E120</f>
        <v>-8500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s="26" customFormat="1" ht="15" customHeight="1">
      <c r="A121" s="15">
        <v>43977</v>
      </c>
      <c r="B121" s="3" t="s">
        <v>19</v>
      </c>
      <c r="C121" s="16" t="s">
        <v>9</v>
      </c>
      <c r="D121" s="16">
        <v>17500</v>
      </c>
      <c r="E121" s="17">
        <v>100</v>
      </c>
      <c r="F121" s="3" t="s">
        <v>7</v>
      </c>
      <c r="G121" s="35">
        <v>280</v>
      </c>
      <c r="H121" s="35">
        <v>400</v>
      </c>
      <c r="I121" s="1">
        <v>0</v>
      </c>
      <c r="J121" s="1">
        <v>0</v>
      </c>
      <c r="K121" s="1">
        <f t="shared" ref="K121" si="334">(IF(F121="SELL",G121-H121,IF(F121="BUY",H121-G121)))*E121</f>
        <v>12000</v>
      </c>
      <c r="L121" s="1">
        <v>0</v>
      </c>
      <c r="M121" s="1">
        <v>0</v>
      </c>
      <c r="N121" s="2">
        <f t="shared" ref="N121" si="335">(L121+K121+M121)/E121</f>
        <v>120</v>
      </c>
      <c r="O121" s="2">
        <f t="shared" ref="O121" si="336">N121*E121</f>
        <v>12000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s="26" customFormat="1" ht="15" customHeight="1">
      <c r="A122" s="15">
        <v>43973</v>
      </c>
      <c r="B122" s="3" t="s">
        <v>19</v>
      </c>
      <c r="C122" s="16" t="s">
        <v>10</v>
      </c>
      <c r="D122" s="16">
        <v>18000</v>
      </c>
      <c r="E122" s="17">
        <v>100</v>
      </c>
      <c r="F122" s="3" t="s">
        <v>7</v>
      </c>
      <c r="G122" s="35">
        <v>310</v>
      </c>
      <c r="H122" s="35">
        <v>420</v>
      </c>
      <c r="I122" s="1">
        <v>0</v>
      </c>
      <c r="J122" s="1">
        <v>0</v>
      </c>
      <c r="K122" s="1">
        <f t="shared" ref="K122" si="337">(IF(F122="SELL",G122-H122,IF(F122="BUY",H122-G122)))*E122</f>
        <v>11000</v>
      </c>
      <c r="L122" s="1">
        <v>0</v>
      </c>
      <c r="M122" s="1">
        <v>0</v>
      </c>
      <c r="N122" s="2">
        <f t="shared" ref="N122" si="338">(L122+K122+M122)/E122</f>
        <v>110</v>
      </c>
      <c r="O122" s="2">
        <f t="shared" ref="O122" si="339">N122*E122</f>
        <v>11000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s="26" customFormat="1" ht="15" customHeight="1">
      <c r="A123" s="15">
        <v>43972</v>
      </c>
      <c r="B123" s="3" t="s">
        <v>19</v>
      </c>
      <c r="C123" s="16" t="s">
        <v>10</v>
      </c>
      <c r="D123" s="16">
        <v>18000</v>
      </c>
      <c r="E123" s="17">
        <v>100</v>
      </c>
      <c r="F123" s="3" t="s">
        <v>7</v>
      </c>
      <c r="G123" s="35">
        <v>150</v>
      </c>
      <c r="H123" s="35">
        <v>228</v>
      </c>
      <c r="I123" s="1">
        <v>0</v>
      </c>
      <c r="J123" s="1">
        <v>0</v>
      </c>
      <c r="K123" s="1">
        <f t="shared" ref="K123" si="340">(IF(F123="SELL",G123-H123,IF(F123="BUY",H123-G123)))*E123</f>
        <v>7800</v>
      </c>
      <c r="L123" s="1">
        <v>0</v>
      </c>
      <c r="M123" s="1">
        <v>0</v>
      </c>
      <c r="N123" s="2">
        <f t="shared" ref="N123" si="341">(L123+K123+M123)/E123</f>
        <v>78</v>
      </c>
      <c r="O123" s="2">
        <f t="shared" ref="O123" si="342">N123*E123</f>
        <v>7800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s="26" customFormat="1" ht="15" customHeight="1">
      <c r="A124" s="15">
        <v>43971</v>
      </c>
      <c r="B124" s="3" t="s">
        <v>19</v>
      </c>
      <c r="C124" s="16" t="s">
        <v>10</v>
      </c>
      <c r="D124" s="16">
        <v>17600</v>
      </c>
      <c r="E124" s="17">
        <v>100</v>
      </c>
      <c r="F124" s="3" t="s">
        <v>7</v>
      </c>
      <c r="G124" s="35">
        <v>300</v>
      </c>
      <c r="H124" s="35">
        <v>400</v>
      </c>
      <c r="I124" s="1">
        <v>527</v>
      </c>
      <c r="J124" s="1">
        <v>0</v>
      </c>
      <c r="K124" s="1">
        <f t="shared" ref="K124" si="343">(IF(F124="SELL",G124-H124,IF(F124="BUY",H124-G124)))*E124</f>
        <v>10000</v>
      </c>
      <c r="L124" s="1">
        <f>E124*127</f>
        <v>12700</v>
      </c>
      <c r="M124" s="1">
        <v>0</v>
      </c>
      <c r="N124" s="2">
        <f t="shared" ref="N124" si="344">(L124+K124+M124)/E124</f>
        <v>227</v>
      </c>
      <c r="O124" s="2">
        <f t="shared" ref="O124" si="345">N124*E124</f>
        <v>22700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s="26" customFormat="1" ht="15" customHeight="1">
      <c r="A125" s="15">
        <v>43970</v>
      </c>
      <c r="B125" s="3" t="s">
        <v>19</v>
      </c>
      <c r="C125" s="16" t="s">
        <v>9</v>
      </c>
      <c r="D125" s="16">
        <v>17300</v>
      </c>
      <c r="E125" s="17">
        <v>100</v>
      </c>
      <c r="F125" s="3" t="s">
        <v>7</v>
      </c>
      <c r="G125" s="35">
        <v>300</v>
      </c>
      <c r="H125" s="35">
        <v>350</v>
      </c>
      <c r="I125" s="1">
        <v>0</v>
      </c>
      <c r="J125" s="1">
        <v>0</v>
      </c>
      <c r="K125" s="1">
        <f t="shared" ref="K125" si="346">(IF(F125="SELL",G125-H125,IF(F125="BUY",H125-G125)))*E125</f>
        <v>5000</v>
      </c>
      <c r="L125" s="1">
        <v>0</v>
      </c>
      <c r="M125" s="1">
        <v>0</v>
      </c>
      <c r="N125" s="2">
        <f t="shared" ref="N125" si="347">(L125+K125+M125)/E125</f>
        <v>50</v>
      </c>
      <c r="O125" s="2">
        <f t="shared" ref="O125" si="348">N125*E125</f>
        <v>5000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s="26" customFormat="1" ht="15" customHeight="1">
      <c r="A126" s="15">
        <v>43969</v>
      </c>
      <c r="B126" s="3" t="s">
        <v>19</v>
      </c>
      <c r="C126" s="16" t="s">
        <v>9</v>
      </c>
      <c r="D126" s="16">
        <v>18200</v>
      </c>
      <c r="E126" s="17">
        <v>100</v>
      </c>
      <c r="F126" s="3" t="s">
        <v>7</v>
      </c>
      <c r="G126" s="35">
        <v>315</v>
      </c>
      <c r="H126" s="35">
        <v>430</v>
      </c>
      <c r="I126" s="1">
        <v>520</v>
      </c>
      <c r="J126" s="1">
        <v>700</v>
      </c>
      <c r="K126" s="1">
        <f t="shared" ref="K126" si="349">(IF(F126="SELL",G126-H126,IF(F126="BUY",H126-G126)))*E126</f>
        <v>11500</v>
      </c>
      <c r="L126" s="1">
        <f>E126*90</f>
        <v>9000</v>
      </c>
      <c r="M126" s="1">
        <f>E126*180</f>
        <v>18000</v>
      </c>
      <c r="N126" s="2">
        <f t="shared" ref="N126" si="350">(L126+K126+M126)/E126</f>
        <v>385</v>
      </c>
      <c r="O126" s="2">
        <f t="shared" ref="O126" si="351">N126*E126</f>
        <v>38500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s="26" customFormat="1" ht="15" customHeight="1">
      <c r="A127" s="15">
        <v>43966</v>
      </c>
      <c r="B127" s="3" t="s">
        <v>19</v>
      </c>
      <c r="C127" s="16" t="s">
        <v>9</v>
      </c>
      <c r="D127" s="16">
        <v>18500</v>
      </c>
      <c r="E127" s="17">
        <v>100</v>
      </c>
      <c r="F127" s="3" t="s">
        <v>7</v>
      </c>
      <c r="G127" s="35">
        <v>350</v>
      </c>
      <c r="H127" s="35">
        <v>420</v>
      </c>
      <c r="I127" s="1">
        <v>0</v>
      </c>
      <c r="J127" s="1">
        <v>0</v>
      </c>
      <c r="K127" s="1">
        <f t="shared" ref="K127" si="352">(IF(F127="SELL",G127-H127,IF(F127="BUY",H127-G127)))*E127</f>
        <v>7000</v>
      </c>
      <c r="L127" s="1">
        <v>0</v>
      </c>
      <c r="M127" s="1">
        <v>0</v>
      </c>
      <c r="N127" s="2">
        <f t="shared" ref="N127" si="353">(L127+K127+M127)/E127</f>
        <v>70</v>
      </c>
      <c r="O127" s="2">
        <f t="shared" ref="O127" si="354">N127*E127</f>
        <v>7000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s="26" customFormat="1" ht="15" customHeight="1">
      <c r="A128" s="15">
        <v>43965</v>
      </c>
      <c r="B128" s="3" t="s">
        <v>19</v>
      </c>
      <c r="C128" s="16" t="s">
        <v>9</v>
      </c>
      <c r="D128" s="16">
        <v>19300</v>
      </c>
      <c r="E128" s="17">
        <v>100</v>
      </c>
      <c r="F128" s="3" t="s">
        <v>7</v>
      </c>
      <c r="G128" s="35">
        <v>160</v>
      </c>
      <c r="H128" s="35">
        <v>220</v>
      </c>
      <c r="I128" s="1">
        <v>0</v>
      </c>
      <c r="J128" s="1">
        <v>0</v>
      </c>
      <c r="K128" s="1">
        <f t="shared" ref="K128" si="355">(IF(F128="SELL",G128-H128,IF(F128="BUY",H128-G128)))*E128</f>
        <v>6000</v>
      </c>
      <c r="L128" s="1">
        <v>0</v>
      </c>
      <c r="M128" s="1">
        <v>0</v>
      </c>
      <c r="N128" s="2">
        <f t="shared" ref="N128" si="356">(L128+K128+M128)/E128</f>
        <v>60</v>
      </c>
      <c r="O128" s="2">
        <f t="shared" ref="O128" si="357">N128*E128</f>
        <v>6000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s="26" customFormat="1" ht="15" customHeight="1">
      <c r="A129" s="15">
        <v>43964</v>
      </c>
      <c r="B129" s="3" t="s">
        <v>19</v>
      </c>
      <c r="C129" s="16" t="s">
        <v>9</v>
      </c>
      <c r="D129" s="16">
        <v>19500</v>
      </c>
      <c r="E129" s="17">
        <v>100</v>
      </c>
      <c r="F129" s="3" t="s">
        <v>7</v>
      </c>
      <c r="G129" s="35">
        <v>280</v>
      </c>
      <c r="H129" s="35">
        <v>415</v>
      </c>
      <c r="I129" s="1">
        <v>0</v>
      </c>
      <c r="J129" s="1">
        <v>0</v>
      </c>
      <c r="K129" s="1">
        <f t="shared" ref="K129" si="358">(IF(F129="SELL",G129-H129,IF(F129="BUY",H129-G129)))*E129</f>
        <v>13500</v>
      </c>
      <c r="L129" s="1">
        <v>0</v>
      </c>
      <c r="M129" s="1">
        <v>0</v>
      </c>
      <c r="N129" s="2">
        <f t="shared" ref="N129" si="359">(L129+K129+M129)/E129</f>
        <v>135</v>
      </c>
      <c r="O129" s="2">
        <f t="shared" ref="O129" si="360">N129*E129</f>
        <v>13500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s="26" customFormat="1" ht="15" customHeight="1">
      <c r="A130" s="15">
        <v>43963</v>
      </c>
      <c r="B130" s="3" t="s">
        <v>19</v>
      </c>
      <c r="C130" s="16" t="s">
        <v>9</v>
      </c>
      <c r="D130" s="16">
        <v>18500</v>
      </c>
      <c r="E130" s="17">
        <v>100</v>
      </c>
      <c r="F130" s="3" t="s">
        <v>7</v>
      </c>
      <c r="G130" s="35">
        <v>350</v>
      </c>
      <c r="H130" s="35">
        <v>420</v>
      </c>
      <c r="I130" s="1">
        <v>500</v>
      </c>
      <c r="J130" s="1">
        <v>0</v>
      </c>
      <c r="K130" s="1">
        <f t="shared" ref="K130" si="361">(IF(F130="SELL",G130-H130,IF(F130="BUY",H130-G130)))*E130</f>
        <v>7000</v>
      </c>
      <c r="L130" s="1">
        <f>E130*80</f>
        <v>8000</v>
      </c>
      <c r="M130" s="1">
        <v>0</v>
      </c>
      <c r="N130" s="2">
        <f t="shared" ref="N130" si="362">(L130+K130+M130)/E130</f>
        <v>150</v>
      </c>
      <c r="O130" s="2">
        <f t="shared" ref="O130" si="363">N130*E130</f>
        <v>15000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s="26" customFormat="1" ht="15" customHeight="1">
      <c r="A131" s="15">
        <v>43957</v>
      </c>
      <c r="B131" s="3" t="s">
        <v>19</v>
      </c>
      <c r="C131" s="16" t="s">
        <v>9</v>
      </c>
      <c r="D131" s="16">
        <v>19200</v>
      </c>
      <c r="E131" s="17">
        <v>100</v>
      </c>
      <c r="F131" s="3" t="s">
        <v>7</v>
      </c>
      <c r="G131" s="35">
        <v>530</v>
      </c>
      <c r="H131" s="35">
        <v>480</v>
      </c>
      <c r="I131" s="1">
        <v>0</v>
      </c>
      <c r="J131" s="1">
        <v>0</v>
      </c>
      <c r="K131" s="1">
        <f t="shared" ref="K131" si="364">(IF(F131="SELL",G131-H131,IF(F131="BUY",H131-G131)))*E131</f>
        <v>-5000</v>
      </c>
      <c r="L131" s="1">
        <v>0</v>
      </c>
      <c r="M131" s="1">
        <v>0</v>
      </c>
      <c r="N131" s="2">
        <f t="shared" ref="N131" si="365">(L131+K131+M131)/E131</f>
        <v>-50</v>
      </c>
      <c r="O131" s="2">
        <f t="shared" ref="O131" si="366">N131*E131</f>
        <v>-5000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s="26" customFormat="1" ht="15" customHeight="1">
      <c r="A132" s="15">
        <v>43956</v>
      </c>
      <c r="B132" s="3" t="s">
        <v>19</v>
      </c>
      <c r="C132" s="16" t="s">
        <v>10</v>
      </c>
      <c r="D132" s="16">
        <v>20000</v>
      </c>
      <c r="E132" s="17">
        <v>100</v>
      </c>
      <c r="F132" s="3" t="s">
        <v>7</v>
      </c>
      <c r="G132" s="35">
        <v>535</v>
      </c>
      <c r="H132" s="35">
        <v>580</v>
      </c>
      <c r="I132" s="1">
        <v>0</v>
      </c>
      <c r="J132" s="1">
        <v>0</v>
      </c>
      <c r="K132" s="1">
        <f t="shared" ref="K132" si="367">(IF(F132="SELL",G132-H132,IF(F132="BUY",H132-G132)))*E132</f>
        <v>4500</v>
      </c>
      <c r="L132" s="1">
        <v>0</v>
      </c>
      <c r="M132" s="1">
        <v>0</v>
      </c>
      <c r="N132" s="2">
        <f t="shared" ref="N132" si="368">(L132+K132+M132)/E132</f>
        <v>45</v>
      </c>
      <c r="O132" s="2">
        <f t="shared" ref="O132" si="369">N132*E132</f>
        <v>4500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s="26" customFormat="1" ht="15" customHeight="1">
      <c r="A133" s="15">
        <v>43955</v>
      </c>
      <c r="B133" s="3" t="s">
        <v>19</v>
      </c>
      <c r="C133" s="16" t="s">
        <v>9</v>
      </c>
      <c r="D133" s="16">
        <v>19600</v>
      </c>
      <c r="E133" s="17">
        <v>100</v>
      </c>
      <c r="F133" s="3" t="s">
        <v>7</v>
      </c>
      <c r="G133" s="35">
        <v>385</v>
      </c>
      <c r="H133" s="35">
        <v>440</v>
      </c>
      <c r="I133" s="1">
        <v>510</v>
      </c>
      <c r="J133" s="1">
        <v>0</v>
      </c>
      <c r="K133" s="1">
        <f t="shared" ref="K133" si="370">(IF(F133="SELL",G133-H133,IF(F133="BUY",H133-G133)))*E133</f>
        <v>5500</v>
      </c>
      <c r="L133" s="1">
        <f>E133*60</f>
        <v>6000</v>
      </c>
      <c r="M133" s="1">
        <v>0</v>
      </c>
      <c r="N133" s="2">
        <f t="shared" ref="N133" si="371">(L133+K133+M133)/E133</f>
        <v>115</v>
      </c>
      <c r="O133" s="2">
        <f t="shared" ref="O133" si="372">N133*E133</f>
        <v>11500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s="26" customFormat="1" ht="15" customHeight="1">
      <c r="A134" s="15">
        <v>43951</v>
      </c>
      <c r="B134" s="3" t="s">
        <v>19</v>
      </c>
      <c r="C134" s="16" t="s">
        <v>10</v>
      </c>
      <c r="D134" s="16">
        <v>21100</v>
      </c>
      <c r="E134" s="17">
        <v>100</v>
      </c>
      <c r="F134" s="3" t="s">
        <v>7</v>
      </c>
      <c r="G134" s="35">
        <v>495</v>
      </c>
      <c r="H134" s="35">
        <v>545</v>
      </c>
      <c r="I134" s="1">
        <v>610</v>
      </c>
      <c r="J134" s="1">
        <v>0</v>
      </c>
      <c r="K134" s="1">
        <f t="shared" ref="K134" si="373">(IF(F134="SELL",G134-H134,IF(F134="BUY",H134-G134)))*E134</f>
        <v>5000</v>
      </c>
      <c r="L134" s="1">
        <f>E134*65</f>
        <v>6500</v>
      </c>
      <c r="M134" s="1">
        <v>0</v>
      </c>
      <c r="N134" s="2">
        <f t="shared" ref="N134" si="374">(L134+K134+M134)/E134</f>
        <v>115</v>
      </c>
      <c r="O134" s="2">
        <f t="shared" ref="O134" si="375">N134*E134</f>
        <v>11500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s="26" customFormat="1" ht="15" customHeight="1">
      <c r="A135" s="15">
        <v>43949</v>
      </c>
      <c r="B135" s="3" t="s">
        <v>19</v>
      </c>
      <c r="C135" s="16" t="s">
        <v>9</v>
      </c>
      <c r="D135" s="16">
        <v>20000</v>
      </c>
      <c r="E135" s="17">
        <v>100</v>
      </c>
      <c r="F135" s="3" t="s">
        <v>7</v>
      </c>
      <c r="G135" s="35">
        <v>230</v>
      </c>
      <c r="H135" s="35">
        <v>170</v>
      </c>
      <c r="I135" s="1">
        <v>0</v>
      </c>
      <c r="J135" s="1">
        <v>0</v>
      </c>
      <c r="K135" s="1">
        <f t="shared" ref="K135" si="376">(IF(F135="SELL",G135-H135,IF(F135="BUY",H135-G135)))*E135</f>
        <v>-6000</v>
      </c>
      <c r="L135" s="1">
        <v>0</v>
      </c>
      <c r="M135" s="1">
        <v>0</v>
      </c>
      <c r="N135" s="2">
        <f t="shared" ref="N135" si="377">(L135+K135+M135)/E135</f>
        <v>-60</v>
      </c>
      <c r="O135" s="2">
        <f t="shared" ref="O135" si="378">N135*E135</f>
        <v>-6000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s="26" customFormat="1" ht="15" customHeight="1">
      <c r="A136" s="15">
        <v>43949</v>
      </c>
      <c r="B136" s="3" t="s">
        <v>19</v>
      </c>
      <c r="C136" s="16" t="s">
        <v>10</v>
      </c>
      <c r="D136" s="16">
        <v>19900</v>
      </c>
      <c r="E136" s="17">
        <v>100</v>
      </c>
      <c r="F136" s="3" t="s">
        <v>7</v>
      </c>
      <c r="G136" s="35">
        <v>700</v>
      </c>
      <c r="H136" s="35">
        <v>640</v>
      </c>
      <c r="I136" s="1">
        <v>0</v>
      </c>
      <c r="J136" s="1">
        <v>0</v>
      </c>
      <c r="K136" s="1">
        <f t="shared" ref="K136" si="379">(IF(F136="SELL",G136-H136,IF(F136="BUY",H136-G136)))*E136</f>
        <v>-6000</v>
      </c>
      <c r="L136" s="1">
        <v>0</v>
      </c>
      <c r="M136" s="1">
        <v>0</v>
      </c>
      <c r="N136" s="2">
        <f t="shared" ref="N136" si="380">(L136+K136+M136)/E136</f>
        <v>-60</v>
      </c>
      <c r="O136" s="2">
        <f t="shared" ref="O136" si="381">N136*E136</f>
        <v>-6000</v>
      </c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s="26" customFormat="1" ht="15" customHeight="1">
      <c r="A137" s="15">
        <v>43945</v>
      </c>
      <c r="B137" s="3" t="s">
        <v>19</v>
      </c>
      <c r="C137" s="16" t="s">
        <v>9</v>
      </c>
      <c r="D137" s="16">
        <v>19000</v>
      </c>
      <c r="E137" s="17">
        <v>100</v>
      </c>
      <c r="F137" s="3" t="s">
        <v>7</v>
      </c>
      <c r="G137" s="35">
        <v>350</v>
      </c>
      <c r="H137" s="35">
        <v>314</v>
      </c>
      <c r="I137" s="1">
        <v>0</v>
      </c>
      <c r="J137" s="1">
        <v>0</v>
      </c>
      <c r="K137" s="1">
        <f t="shared" ref="K137" si="382">(IF(F137="SELL",G137-H137,IF(F137="BUY",H137-G137)))*E137</f>
        <v>-3600</v>
      </c>
      <c r="L137" s="1">
        <v>0</v>
      </c>
      <c r="M137" s="1">
        <v>0</v>
      </c>
      <c r="N137" s="2">
        <f t="shared" ref="N137" si="383">(L137+K137+M137)/E137</f>
        <v>-36</v>
      </c>
      <c r="O137" s="2">
        <f t="shared" ref="O137" si="384">N137*E137</f>
        <v>-3600</v>
      </c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s="26" customFormat="1" ht="15" customHeight="1">
      <c r="A138" s="15">
        <v>43944</v>
      </c>
      <c r="B138" s="3" t="s">
        <v>19</v>
      </c>
      <c r="C138" s="16" t="s">
        <v>10</v>
      </c>
      <c r="D138" s="16">
        <v>20000</v>
      </c>
      <c r="E138" s="17">
        <v>100</v>
      </c>
      <c r="F138" s="3" t="s">
        <v>7</v>
      </c>
      <c r="G138" s="35">
        <v>85</v>
      </c>
      <c r="H138" s="35">
        <v>120</v>
      </c>
      <c r="I138" s="1">
        <v>160</v>
      </c>
      <c r="J138" s="1">
        <v>0</v>
      </c>
      <c r="K138" s="1">
        <f t="shared" ref="K138" si="385">(IF(F138="SELL",G138-H138,IF(F138="BUY",H138-G138)))*E138</f>
        <v>3500</v>
      </c>
      <c r="L138" s="1">
        <f>E138*40</f>
        <v>4000</v>
      </c>
      <c r="M138" s="1">
        <v>0</v>
      </c>
      <c r="N138" s="2">
        <f t="shared" ref="N138" si="386">(L138+K138+M138)/E138</f>
        <v>75</v>
      </c>
      <c r="O138" s="2">
        <f t="shared" ref="O138" si="387">N138*E138</f>
        <v>7500</v>
      </c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s="26" customFormat="1" ht="15" customHeight="1">
      <c r="A139" s="15">
        <v>43943</v>
      </c>
      <c r="B139" s="3" t="s">
        <v>19</v>
      </c>
      <c r="C139" s="16" t="s">
        <v>9</v>
      </c>
      <c r="D139" s="16">
        <v>18800</v>
      </c>
      <c r="E139" s="17">
        <v>100</v>
      </c>
      <c r="F139" s="3" t="s">
        <v>7</v>
      </c>
      <c r="G139" s="35">
        <v>220</v>
      </c>
      <c r="H139" s="35">
        <v>280</v>
      </c>
      <c r="I139" s="1">
        <v>0</v>
      </c>
      <c r="J139" s="1">
        <v>0</v>
      </c>
      <c r="K139" s="1">
        <f t="shared" ref="K139" si="388">(IF(F139="SELL",G139-H139,IF(F139="BUY",H139-G139)))*E139</f>
        <v>6000</v>
      </c>
      <c r="L139" s="1">
        <v>0</v>
      </c>
      <c r="M139" s="1">
        <v>0</v>
      </c>
      <c r="N139" s="2">
        <f t="shared" ref="N139" si="389">(L139+K139+M139)/E139</f>
        <v>60</v>
      </c>
      <c r="O139" s="2">
        <f t="shared" ref="O139" si="390">N139*E139</f>
        <v>6000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s="26" customFormat="1" ht="15" customHeight="1">
      <c r="A140" s="15">
        <v>43928</v>
      </c>
      <c r="B140" s="3" t="s">
        <v>19</v>
      </c>
      <c r="C140" s="16" t="s">
        <v>9</v>
      </c>
      <c r="D140" s="16">
        <v>19000</v>
      </c>
      <c r="E140" s="17">
        <v>100</v>
      </c>
      <c r="F140" s="3" t="s">
        <v>7</v>
      </c>
      <c r="G140" s="35">
        <v>400</v>
      </c>
      <c r="H140" s="35">
        <v>250</v>
      </c>
      <c r="I140" s="1">
        <v>0</v>
      </c>
      <c r="J140" s="1">
        <v>0</v>
      </c>
      <c r="K140" s="1">
        <f t="shared" ref="K140" si="391">(IF(F140="SELL",G140-H140,IF(F140="BUY",H140-G140)))*E140</f>
        <v>-15000</v>
      </c>
      <c r="L140" s="1">
        <v>0</v>
      </c>
      <c r="M140" s="1">
        <v>0</v>
      </c>
      <c r="N140" s="2">
        <f t="shared" ref="N140" si="392">(L140+K140+M140)/E140</f>
        <v>-150</v>
      </c>
      <c r="O140" s="2">
        <f t="shared" ref="O140" si="393">N140*E140</f>
        <v>-15000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s="26" customFormat="1" ht="15" customHeight="1">
      <c r="A141" s="15">
        <v>43924</v>
      </c>
      <c r="B141" s="3" t="s">
        <v>19</v>
      </c>
      <c r="C141" s="16" t="s">
        <v>9</v>
      </c>
      <c r="D141" s="16">
        <v>17000</v>
      </c>
      <c r="E141" s="17">
        <v>100</v>
      </c>
      <c r="F141" s="3" t="s">
        <v>7</v>
      </c>
      <c r="G141" s="35">
        <v>530</v>
      </c>
      <c r="H141" s="35">
        <v>430</v>
      </c>
      <c r="I141" s="1">
        <v>0</v>
      </c>
      <c r="J141" s="1">
        <v>0</v>
      </c>
      <c r="K141" s="1">
        <f t="shared" ref="K141" si="394">(IF(F141="SELL",G141-H141,IF(F141="BUY",H141-G141)))*E141</f>
        <v>-10000</v>
      </c>
      <c r="L141" s="1">
        <v>0</v>
      </c>
      <c r="M141" s="1">
        <v>0</v>
      </c>
      <c r="N141" s="2">
        <f t="shared" ref="N141" si="395">(L141+K141+M141)/E141</f>
        <v>-100</v>
      </c>
      <c r="O141" s="2">
        <f t="shared" ref="O141" si="396">N141*E141</f>
        <v>-10000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s="26" customFormat="1" ht="15" customHeight="1">
      <c r="A142" s="15">
        <v>43921</v>
      </c>
      <c r="B142" s="3" t="s">
        <v>19</v>
      </c>
      <c r="C142" s="16" t="s">
        <v>9</v>
      </c>
      <c r="D142" s="16">
        <v>19000</v>
      </c>
      <c r="E142" s="17">
        <v>100</v>
      </c>
      <c r="F142" s="3" t="s">
        <v>7</v>
      </c>
      <c r="G142" s="35">
        <v>600</v>
      </c>
      <c r="H142" s="35">
        <v>480</v>
      </c>
      <c r="I142" s="1">
        <v>0</v>
      </c>
      <c r="J142" s="1">
        <v>0</v>
      </c>
      <c r="K142" s="1">
        <f t="shared" ref="K142" si="397">(IF(F142="SELL",G142-H142,IF(F142="BUY",H142-G142)))*E142</f>
        <v>-12000</v>
      </c>
      <c r="L142" s="1">
        <v>0</v>
      </c>
      <c r="M142" s="1">
        <v>0</v>
      </c>
      <c r="N142" s="2">
        <f t="shared" ref="N142" si="398">(L142+K142+M142)/E142</f>
        <v>-120</v>
      </c>
      <c r="O142" s="2">
        <f t="shared" ref="O142" si="399">N142*E142</f>
        <v>-12000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s="26" customFormat="1" ht="15" customHeight="1">
      <c r="A143" s="15">
        <v>43920</v>
      </c>
      <c r="B143" s="3" t="s">
        <v>19</v>
      </c>
      <c r="C143" s="16" t="s">
        <v>10</v>
      </c>
      <c r="D143" s="16">
        <v>21000</v>
      </c>
      <c r="E143" s="17">
        <v>100</v>
      </c>
      <c r="F143" s="3" t="s">
        <v>7</v>
      </c>
      <c r="G143" s="35">
        <v>350</v>
      </c>
      <c r="H143" s="35">
        <v>260</v>
      </c>
      <c r="I143" s="1">
        <v>0</v>
      </c>
      <c r="J143" s="1">
        <v>0</v>
      </c>
      <c r="K143" s="1">
        <f t="shared" ref="K143" si="400">(IF(F143="SELL",G143-H143,IF(F143="BUY",H143-G143)))*E143</f>
        <v>-9000</v>
      </c>
      <c r="L143" s="1">
        <v>0</v>
      </c>
      <c r="M143" s="1">
        <v>0</v>
      </c>
      <c r="N143" s="2">
        <f t="shared" ref="N143" si="401">(L143+K143+M143)/E143</f>
        <v>-90</v>
      </c>
      <c r="O143" s="2">
        <f t="shared" ref="O143" si="402">N143*E143</f>
        <v>-9000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s="26" customFormat="1" ht="15" customHeight="1">
      <c r="A144" s="15">
        <v>43917</v>
      </c>
      <c r="B144" s="3" t="s">
        <v>19</v>
      </c>
      <c r="C144" s="16" t="s">
        <v>10</v>
      </c>
      <c r="D144" s="16">
        <v>22500</v>
      </c>
      <c r="E144" s="17">
        <v>100</v>
      </c>
      <c r="F144" s="3" t="s">
        <v>7</v>
      </c>
      <c r="G144" s="35">
        <v>570</v>
      </c>
      <c r="H144" s="35">
        <v>650</v>
      </c>
      <c r="I144" s="1">
        <v>0</v>
      </c>
      <c r="J144" s="1">
        <v>0</v>
      </c>
      <c r="K144" s="1">
        <f t="shared" ref="K144" si="403">(IF(F144="SELL",G144-H144,IF(F144="BUY",H144-G144)))*E144</f>
        <v>8000</v>
      </c>
      <c r="L144" s="1">
        <v>0</v>
      </c>
      <c r="M144" s="1">
        <v>0</v>
      </c>
      <c r="N144" s="2">
        <f t="shared" ref="N144" si="404">(L144+K144+M144)/E144</f>
        <v>80</v>
      </c>
      <c r="O144" s="2">
        <f t="shared" ref="O144" si="405">N144*E144</f>
        <v>8000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s="26" customFormat="1" ht="15" customHeight="1">
      <c r="A145" s="15">
        <v>43916</v>
      </c>
      <c r="B145" s="3" t="s">
        <v>19</v>
      </c>
      <c r="C145" s="16" t="s">
        <v>10</v>
      </c>
      <c r="D145" s="16">
        <v>20000</v>
      </c>
      <c r="E145" s="17">
        <v>100</v>
      </c>
      <c r="F145" s="3" t="s">
        <v>7</v>
      </c>
      <c r="G145" s="35">
        <v>190</v>
      </c>
      <c r="H145" s="35">
        <v>250</v>
      </c>
      <c r="I145" s="1">
        <v>300</v>
      </c>
      <c r="J145" s="1">
        <v>0</v>
      </c>
      <c r="K145" s="1">
        <f t="shared" ref="K145" si="406">(IF(F145="SELL",G145-H145,IF(F145="BUY",H145-G145)))*E145</f>
        <v>6000</v>
      </c>
      <c r="L145" s="1">
        <f>E145*50</f>
        <v>5000</v>
      </c>
      <c r="M145" s="1">
        <v>0</v>
      </c>
      <c r="N145" s="2">
        <f t="shared" ref="N145" si="407">(L145+K145+M145)/E145</f>
        <v>110</v>
      </c>
      <c r="O145" s="2">
        <f t="shared" ref="O145" si="408">N145*E145</f>
        <v>11000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s="26" customFormat="1" ht="15" customHeight="1">
      <c r="A146" s="15">
        <v>43915</v>
      </c>
      <c r="B146" s="3" t="s">
        <v>19</v>
      </c>
      <c r="C146" s="16" t="s">
        <v>9</v>
      </c>
      <c r="D146" s="16">
        <v>17100</v>
      </c>
      <c r="E146" s="17">
        <v>100</v>
      </c>
      <c r="F146" s="3" t="s">
        <v>7</v>
      </c>
      <c r="G146" s="35">
        <v>750</v>
      </c>
      <c r="H146" s="35">
        <v>630</v>
      </c>
      <c r="I146" s="1">
        <v>0</v>
      </c>
      <c r="J146" s="1">
        <v>0</v>
      </c>
      <c r="K146" s="1">
        <f t="shared" ref="K146" si="409">(IF(F146="SELL",G146-H146,IF(F146="BUY",H146-G146)))*E146</f>
        <v>-12000</v>
      </c>
      <c r="L146" s="1">
        <v>0</v>
      </c>
      <c r="M146" s="1">
        <v>0</v>
      </c>
      <c r="N146" s="2">
        <f t="shared" ref="N146" si="410">(L146+K146+M146)/E146</f>
        <v>-120</v>
      </c>
      <c r="O146" s="2">
        <f t="shared" ref="O146" si="411">N146*E146</f>
        <v>-12000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s="26" customFormat="1" ht="15" customHeight="1">
      <c r="A147" s="15">
        <v>43910</v>
      </c>
      <c r="B147" s="3" t="s">
        <v>19</v>
      </c>
      <c r="C147" s="16" t="s">
        <v>9</v>
      </c>
      <c r="D147" s="16">
        <v>18000</v>
      </c>
      <c r="E147" s="17">
        <v>100</v>
      </c>
      <c r="F147" s="3" t="s">
        <v>7</v>
      </c>
      <c r="G147" s="35">
        <v>590</v>
      </c>
      <c r="H147" s="35">
        <v>680</v>
      </c>
      <c r="I147" s="1">
        <v>0</v>
      </c>
      <c r="J147" s="1">
        <v>0</v>
      </c>
      <c r="K147" s="1">
        <f t="shared" ref="K147" si="412">(IF(F147="SELL",G147-H147,IF(F147="BUY",H147-G147)))*E147</f>
        <v>9000</v>
      </c>
      <c r="L147" s="1">
        <v>0</v>
      </c>
      <c r="M147" s="1">
        <v>0</v>
      </c>
      <c r="N147" s="2">
        <f t="shared" ref="N147" si="413">(L147+K147+M147)/E147</f>
        <v>90</v>
      </c>
      <c r="O147" s="2">
        <f t="shared" ref="O147" si="414">N147*E147</f>
        <v>9000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s="26" customFormat="1" ht="15" customHeight="1">
      <c r="A148" s="15">
        <v>43909</v>
      </c>
      <c r="B148" s="3" t="s">
        <v>19</v>
      </c>
      <c r="C148" s="16" t="s">
        <v>9</v>
      </c>
      <c r="D148" s="16">
        <v>19200</v>
      </c>
      <c r="E148" s="17">
        <v>100</v>
      </c>
      <c r="F148" s="3" t="s">
        <v>7</v>
      </c>
      <c r="G148" s="35">
        <v>250</v>
      </c>
      <c r="H148" s="35">
        <v>224</v>
      </c>
      <c r="I148" s="1">
        <v>0</v>
      </c>
      <c r="J148" s="1">
        <v>0</v>
      </c>
      <c r="K148" s="1">
        <f t="shared" ref="K148" si="415">(IF(F148="SELL",G148-H148,IF(F148="BUY",H148-G148)))*E148</f>
        <v>-2600</v>
      </c>
      <c r="L148" s="1">
        <v>0</v>
      </c>
      <c r="M148" s="1">
        <v>0</v>
      </c>
      <c r="N148" s="2">
        <f t="shared" ref="N148" si="416">(L148+K148+M148)/E148</f>
        <v>-26</v>
      </c>
      <c r="O148" s="2">
        <f t="shared" ref="O148" si="417">N148*E148</f>
        <v>-2600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s="26" customFormat="1" ht="15" customHeight="1">
      <c r="A149" s="15">
        <v>43907</v>
      </c>
      <c r="B149" s="3" t="s">
        <v>19</v>
      </c>
      <c r="C149" s="16" t="s">
        <v>9</v>
      </c>
      <c r="D149" s="16">
        <v>2200</v>
      </c>
      <c r="E149" s="17">
        <v>100</v>
      </c>
      <c r="F149" s="3" t="s">
        <v>7</v>
      </c>
      <c r="G149" s="35">
        <v>590</v>
      </c>
      <c r="H149" s="35">
        <v>500</v>
      </c>
      <c r="I149" s="1">
        <v>0</v>
      </c>
      <c r="J149" s="1">
        <v>0</v>
      </c>
      <c r="K149" s="1">
        <f t="shared" ref="K149" si="418">(IF(F149="SELL",G149-H149,IF(F149="BUY",H149-G149)))*E149</f>
        <v>-9000</v>
      </c>
      <c r="L149" s="1">
        <v>0</v>
      </c>
      <c r="M149" s="1">
        <v>0</v>
      </c>
      <c r="N149" s="2">
        <f t="shared" ref="N149" si="419">(L149+K149+M149)/E149</f>
        <v>-90</v>
      </c>
      <c r="O149" s="2">
        <f t="shared" ref="O149" si="420">N149*E149</f>
        <v>-9000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s="26" customFormat="1" ht="15" customHeight="1">
      <c r="A150" s="15">
        <v>43901</v>
      </c>
      <c r="B150" s="3" t="s">
        <v>19</v>
      </c>
      <c r="C150" s="16" t="s">
        <v>10</v>
      </c>
      <c r="D150" s="16">
        <v>26700</v>
      </c>
      <c r="E150" s="17">
        <v>100</v>
      </c>
      <c r="F150" s="3" t="s">
        <v>7</v>
      </c>
      <c r="G150" s="35">
        <v>250</v>
      </c>
      <c r="H150" s="35">
        <v>298.7</v>
      </c>
      <c r="I150" s="1">
        <v>0</v>
      </c>
      <c r="J150" s="1">
        <v>0</v>
      </c>
      <c r="K150" s="1">
        <f t="shared" ref="K150" si="421">(IF(F150="SELL",G150-H150,IF(F150="BUY",H150-G150)))*E150</f>
        <v>4869.9999999999991</v>
      </c>
      <c r="L150" s="1">
        <v>0</v>
      </c>
      <c r="M150" s="1">
        <v>0</v>
      </c>
      <c r="N150" s="2">
        <f t="shared" ref="N150" si="422">(L150+K150+M150)/E150</f>
        <v>48.699999999999989</v>
      </c>
      <c r="O150" s="2">
        <f t="shared" ref="O150" si="423">N150*E150</f>
        <v>4869.9999999999991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s="26" customFormat="1" ht="15" customHeight="1">
      <c r="A151" s="15">
        <v>43899</v>
      </c>
      <c r="B151" s="3" t="s">
        <v>19</v>
      </c>
      <c r="C151" s="16" t="s">
        <v>9</v>
      </c>
      <c r="D151" s="16">
        <v>26200</v>
      </c>
      <c r="E151" s="17">
        <v>100</v>
      </c>
      <c r="F151" s="3" t="s">
        <v>7</v>
      </c>
      <c r="G151" s="35">
        <v>220</v>
      </c>
      <c r="H151" s="35">
        <v>280</v>
      </c>
      <c r="I151" s="1">
        <v>400</v>
      </c>
      <c r="J151" s="1">
        <v>500</v>
      </c>
      <c r="K151" s="1">
        <f t="shared" ref="K151" si="424">(IF(F151="SELL",G151-H151,IF(F151="BUY",H151-G151)))*E151</f>
        <v>6000</v>
      </c>
      <c r="L151" s="1">
        <f>E151*120</f>
        <v>12000</v>
      </c>
      <c r="M151" s="1">
        <f>E151*100</f>
        <v>10000</v>
      </c>
      <c r="N151" s="2">
        <f t="shared" ref="N151" si="425">(L151+K151+M151)/E151</f>
        <v>280</v>
      </c>
      <c r="O151" s="2">
        <f t="shared" ref="O151" si="426">N151*E151</f>
        <v>28000</v>
      </c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s="26" customFormat="1" ht="15" customHeight="1">
      <c r="A152" s="15">
        <v>43886</v>
      </c>
      <c r="B152" s="3" t="s">
        <v>19</v>
      </c>
      <c r="C152" s="16" t="s">
        <v>10</v>
      </c>
      <c r="D152" s="16">
        <v>30600</v>
      </c>
      <c r="E152" s="17">
        <v>100</v>
      </c>
      <c r="F152" s="3" t="s">
        <v>7</v>
      </c>
      <c r="G152" s="35">
        <v>170</v>
      </c>
      <c r="H152" s="35">
        <v>209</v>
      </c>
      <c r="I152" s="1">
        <v>0</v>
      </c>
      <c r="J152" s="1">
        <v>0</v>
      </c>
      <c r="K152" s="1">
        <f t="shared" ref="K152" si="427">(IF(F152="SELL",G152-H152,IF(F152="BUY",H152-G152)))*E152</f>
        <v>3900</v>
      </c>
      <c r="L152" s="1">
        <v>0</v>
      </c>
      <c r="M152" s="1">
        <v>0</v>
      </c>
      <c r="N152" s="2">
        <f t="shared" ref="N152" si="428">(L152+K152+M152)/E152</f>
        <v>39</v>
      </c>
      <c r="O152" s="2">
        <f t="shared" ref="O152" si="429">N152*E152</f>
        <v>3900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s="26" customFormat="1" ht="15" customHeight="1">
      <c r="A153" s="15">
        <v>43885</v>
      </c>
      <c r="B153" s="3" t="s">
        <v>19</v>
      </c>
      <c r="C153" s="16" t="s">
        <v>9</v>
      </c>
      <c r="D153" s="16">
        <v>30500</v>
      </c>
      <c r="E153" s="17">
        <v>100</v>
      </c>
      <c r="F153" s="3" t="s">
        <v>7</v>
      </c>
      <c r="G153" s="35">
        <v>220</v>
      </c>
      <c r="H153" s="35">
        <v>170</v>
      </c>
      <c r="I153" s="1">
        <v>0</v>
      </c>
      <c r="J153" s="1">
        <v>0</v>
      </c>
      <c r="K153" s="1">
        <f t="shared" ref="K153" si="430">(IF(F153="SELL",G153-H153,IF(F153="BUY",H153-G153)))*E153</f>
        <v>-5000</v>
      </c>
      <c r="L153" s="1">
        <v>0</v>
      </c>
      <c r="M153" s="1">
        <v>0</v>
      </c>
      <c r="N153" s="2">
        <f t="shared" ref="N153" si="431">(L153+K153+M153)/E153</f>
        <v>-50</v>
      </c>
      <c r="O153" s="2">
        <f t="shared" ref="O153" si="432">N153*E153</f>
        <v>-5000</v>
      </c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s="26" customFormat="1" ht="15" customHeight="1">
      <c r="A154" s="15">
        <v>43881</v>
      </c>
      <c r="B154" s="3" t="s">
        <v>19</v>
      </c>
      <c r="C154" s="16" t="s">
        <v>10</v>
      </c>
      <c r="D154" s="16">
        <v>30900</v>
      </c>
      <c r="E154" s="17">
        <v>100</v>
      </c>
      <c r="F154" s="3" t="s">
        <v>7</v>
      </c>
      <c r="G154" s="35">
        <v>80</v>
      </c>
      <c r="H154" s="35">
        <v>130</v>
      </c>
      <c r="I154" s="1">
        <v>160</v>
      </c>
      <c r="J154" s="1">
        <v>0</v>
      </c>
      <c r="K154" s="1">
        <f t="shared" ref="K154" si="433">(IF(F154="SELL",G154-H154,IF(F154="BUY",H154-G154)))*E154</f>
        <v>5000</v>
      </c>
      <c r="L154" s="1">
        <f>E154*30</f>
        <v>3000</v>
      </c>
      <c r="M154" s="1">
        <v>0</v>
      </c>
      <c r="N154" s="2">
        <f t="shared" ref="N154" si="434">(L154+K154+M154)/E154</f>
        <v>80</v>
      </c>
      <c r="O154" s="2">
        <f t="shared" ref="O154" si="435">N154*E154</f>
        <v>8000</v>
      </c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s="26" customFormat="1" ht="15" customHeight="1">
      <c r="A155" s="15">
        <v>43874</v>
      </c>
      <c r="B155" s="3" t="s">
        <v>19</v>
      </c>
      <c r="C155" s="16" t="s">
        <v>10</v>
      </c>
      <c r="D155" s="16">
        <v>31300</v>
      </c>
      <c r="E155" s="17">
        <v>100</v>
      </c>
      <c r="F155" s="3" t="s">
        <v>7</v>
      </c>
      <c r="G155" s="35">
        <v>80</v>
      </c>
      <c r="H155" s="35">
        <v>30</v>
      </c>
      <c r="I155" s="1">
        <v>0</v>
      </c>
      <c r="J155" s="1">
        <v>0</v>
      </c>
      <c r="K155" s="1">
        <f t="shared" ref="K155" si="436">(IF(F155="SELL",G155-H155,IF(F155="BUY",H155-G155)))*E155</f>
        <v>-5000</v>
      </c>
      <c r="L155" s="1">
        <v>0</v>
      </c>
      <c r="M155" s="1">
        <v>0</v>
      </c>
      <c r="N155" s="2">
        <f t="shared" ref="N155" si="437">(L155+K155+M155)/E155</f>
        <v>-50</v>
      </c>
      <c r="O155" s="2">
        <f t="shared" ref="O155" si="438">N155*E155</f>
        <v>-5000</v>
      </c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s="26" customFormat="1" ht="15" customHeight="1">
      <c r="A156" s="15">
        <v>43872</v>
      </c>
      <c r="B156" s="3" t="s">
        <v>19</v>
      </c>
      <c r="C156" s="16" t="s">
        <v>10</v>
      </c>
      <c r="D156" s="16">
        <v>31400</v>
      </c>
      <c r="E156" s="17">
        <v>100</v>
      </c>
      <c r="F156" s="3" t="s">
        <v>7</v>
      </c>
      <c r="G156" s="35">
        <v>200</v>
      </c>
      <c r="H156" s="35">
        <v>139</v>
      </c>
      <c r="I156" s="1">
        <v>0</v>
      </c>
      <c r="J156" s="1">
        <v>0</v>
      </c>
      <c r="K156" s="1">
        <f t="shared" ref="K156" si="439">(IF(F156="SELL",G156-H156,IF(F156="BUY",H156-G156)))*E156</f>
        <v>-6100</v>
      </c>
      <c r="L156" s="1">
        <v>0</v>
      </c>
      <c r="M156" s="1">
        <v>0</v>
      </c>
      <c r="N156" s="2">
        <f t="shared" ref="N156" si="440">(L156+K156+M156)/E156</f>
        <v>-61</v>
      </c>
      <c r="O156" s="2">
        <f t="shared" ref="O156" si="441">N156*E156</f>
        <v>-6100</v>
      </c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s="26" customFormat="1" ht="15" customHeight="1">
      <c r="A157" s="15">
        <v>43871</v>
      </c>
      <c r="B157" s="3" t="s">
        <v>19</v>
      </c>
      <c r="C157" s="16" t="s">
        <v>9</v>
      </c>
      <c r="D157" s="16">
        <v>31000</v>
      </c>
      <c r="E157" s="17">
        <v>100</v>
      </c>
      <c r="F157" s="3" t="s">
        <v>7</v>
      </c>
      <c r="G157" s="35">
        <v>200</v>
      </c>
      <c r="H157" s="35">
        <v>229</v>
      </c>
      <c r="I157" s="1">
        <v>0</v>
      </c>
      <c r="J157" s="1">
        <v>0</v>
      </c>
      <c r="K157" s="1">
        <f t="shared" ref="K157" si="442">(IF(F157="SELL",G157-H157,IF(F157="BUY",H157-G157)))*E157</f>
        <v>2900</v>
      </c>
      <c r="L157" s="1">
        <v>0</v>
      </c>
      <c r="M157" s="1">
        <v>0</v>
      </c>
      <c r="N157" s="2">
        <f t="shared" ref="N157" si="443">(L157+K157+M157)/E157</f>
        <v>29</v>
      </c>
      <c r="O157" s="2">
        <f t="shared" ref="O157" si="444">N157*E157</f>
        <v>2900</v>
      </c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s="26" customFormat="1" ht="15" customHeight="1">
      <c r="A158" s="15">
        <v>43868</v>
      </c>
      <c r="B158" s="3" t="s">
        <v>19</v>
      </c>
      <c r="C158" s="16" t="s">
        <v>10</v>
      </c>
      <c r="D158" s="16">
        <v>31200</v>
      </c>
      <c r="E158" s="17">
        <v>100</v>
      </c>
      <c r="F158" s="3" t="s">
        <v>7</v>
      </c>
      <c r="G158" s="35">
        <v>250</v>
      </c>
      <c r="H158" s="35">
        <v>300</v>
      </c>
      <c r="I158" s="1">
        <v>0</v>
      </c>
      <c r="J158" s="1">
        <v>0</v>
      </c>
      <c r="K158" s="1">
        <f t="shared" ref="K158" si="445">(IF(F158="SELL",G158-H158,IF(F158="BUY",H158-G158)))*E158</f>
        <v>5000</v>
      </c>
      <c r="L158" s="1">
        <v>0</v>
      </c>
      <c r="M158" s="1">
        <v>0</v>
      </c>
      <c r="N158" s="2">
        <f t="shared" ref="N158" si="446">(L158+K158+M158)/E158</f>
        <v>50</v>
      </c>
      <c r="O158" s="2">
        <f t="shared" ref="O158" si="447">N158*E158</f>
        <v>5000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s="26" customFormat="1" ht="15" customHeight="1">
      <c r="A159" s="15">
        <v>43867</v>
      </c>
      <c r="B159" s="3" t="s">
        <v>19</v>
      </c>
      <c r="C159" s="16" t="s">
        <v>10</v>
      </c>
      <c r="D159" s="16">
        <v>31200</v>
      </c>
      <c r="E159" s="17">
        <v>100</v>
      </c>
      <c r="F159" s="3" t="s">
        <v>7</v>
      </c>
      <c r="G159" s="35">
        <v>60</v>
      </c>
      <c r="H159" s="35">
        <v>100</v>
      </c>
      <c r="I159" s="1">
        <v>200</v>
      </c>
      <c r="J159" s="1">
        <v>263</v>
      </c>
      <c r="K159" s="1">
        <f t="shared" ref="K159" si="448">(IF(F159="SELL",G159-H159,IF(F159="BUY",H159-G159)))*E159</f>
        <v>4000</v>
      </c>
      <c r="L159" s="1">
        <f>E159*100</f>
        <v>10000</v>
      </c>
      <c r="M159" s="1">
        <f>E159*63</f>
        <v>6300</v>
      </c>
      <c r="N159" s="2">
        <f t="shared" ref="N159" si="449">(L159+K159+M159)/E159</f>
        <v>203</v>
      </c>
      <c r="O159" s="2">
        <f t="shared" ref="O159" si="450">N159*E159</f>
        <v>20300</v>
      </c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1:35" s="26" customFormat="1" ht="15" customHeight="1">
      <c r="A160" s="15">
        <v>43866</v>
      </c>
      <c r="B160" s="3" t="s">
        <v>19</v>
      </c>
      <c r="C160" s="16" t="s">
        <v>10</v>
      </c>
      <c r="D160" s="16">
        <v>30800</v>
      </c>
      <c r="E160" s="17">
        <v>100</v>
      </c>
      <c r="F160" s="3" t="s">
        <v>7</v>
      </c>
      <c r="G160" s="35">
        <v>100</v>
      </c>
      <c r="H160" s="35">
        <v>129</v>
      </c>
      <c r="I160" s="1">
        <v>169</v>
      </c>
      <c r="J160" s="1">
        <v>0</v>
      </c>
      <c r="K160" s="1">
        <f t="shared" ref="K160" si="451">(IF(F160="SELL",G160-H160,IF(F160="BUY",H160-G160)))*E160</f>
        <v>2900</v>
      </c>
      <c r="L160" s="1">
        <f>E160*40</f>
        <v>4000</v>
      </c>
      <c r="M160" s="1">
        <v>0</v>
      </c>
      <c r="N160" s="2">
        <f t="shared" ref="N160" si="452">(L160+K160+M160)/E160</f>
        <v>69</v>
      </c>
      <c r="O160" s="2">
        <f t="shared" ref="O160" si="453">N160*E160</f>
        <v>6900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1:35" s="26" customFormat="1" ht="15" customHeight="1">
      <c r="A161" s="15">
        <v>43866</v>
      </c>
      <c r="B161" s="3" t="s">
        <v>19</v>
      </c>
      <c r="C161" s="16" t="s">
        <v>10</v>
      </c>
      <c r="D161" s="16">
        <v>30800</v>
      </c>
      <c r="E161" s="17">
        <v>100</v>
      </c>
      <c r="F161" s="3" t="s">
        <v>7</v>
      </c>
      <c r="G161" s="35">
        <v>180</v>
      </c>
      <c r="H161" s="35">
        <v>120</v>
      </c>
      <c r="I161" s="1">
        <v>0</v>
      </c>
      <c r="J161" s="1">
        <v>0</v>
      </c>
      <c r="K161" s="1">
        <f t="shared" ref="K161" si="454">(IF(F161="SELL",G161-H161,IF(F161="BUY",H161-G161)))*E161</f>
        <v>-6000</v>
      </c>
      <c r="L161" s="1">
        <v>0</v>
      </c>
      <c r="M161" s="1">
        <v>0</v>
      </c>
      <c r="N161" s="2">
        <f t="shared" ref="N161" si="455">(L161+K161+M161)/E161</f>
        <v>-60</v>
      </c>
      <c r="O161" s="2">
        <f t="shared" ref="O161" si="456">N161*E161</f>
        <v>-6000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1:35" s="26" customFormat="1" ht="15" customHeight="1">
      <c r="A162" s="15">
        <v>43865</v>
      </c>
      <c r="B162" s="3" t="s">
        <v>19</v>
      </c>
      <c r="C162" s="16" t="s">
        <v>10</v>
      </c>
      <c r="D162" s="16">
        <v>30800</v>
      </c>
      <c r="E162" s="17">
        <v>100</v>
      </c>
      <c r="F162" s="3" t="s">
        <v>7</v>
      </c>
      <c r="G162" s="35">
        <v>150</v>
      </c>
      <c r="H162" s="35">
        <v>105</v>
      </c>
      <c r="I162" s="1">
        <v>0</v>
      </c>
      <c r="J162" s="1">
        <v>0</v>
      </c>
      <c r="K162" s="1">
        <f t="shared" ref="K162" si="457">(IF(F162="SELL",G162-H162,IF(F162="BUY",H162-G162)))*E162</f>
        <v>-4500</v>
      </c>
      <c r="L162" s="1">
        <v>0</v>
      </c>
      <c r="M162" s="1">
        <v>0</v>
      </c>
      <c r="N162" s="2">
        <f t="shared" ref="N162" si="458">(L162+K162+M162)/E162</f>
        <v>-45</v>
      </c>
      <c r="O162" s="2">
        <f t="shared" ref="O162" si="459">N162*E162</f>
        <v>-4500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s="26" customFormat="1" ht="15" customHeight="1">
      <c r="A163" s="15">
        <v>43861</v>
      </c>
      <c r="B163" s="3" t="s">
        <v>19</v>
      </c>
      <c r="C163" s="16" t="s">
        <v>9</v>
      </c>
      <c r="D163" s="16">
        <v>30700</v>
      </c>
      <c r="E163" s="17">
        <v>100</v>
      </c>
      <c r="F163" s="3" t="s">
        <v>7</v>
      </c>
      <c r="G163" s="35">
        <v>380</v>
      </c>
      <c r="H163" s="35">
        <v>420</v>
      </c>
      <c r="I163" s="1">
        <v>470</v>
      </c>
      <c r="J163" s="1">
        <v>0</v>
      </c>
      <c r="K163" s="1">
        <f t="shared" ref="K163" si="460">(IF(F163="SELL",G163-H163,IF(F163="BUY",H163-G163)))*E163</f>
        <v>4000</v>
      </c>
      <c r="L163" s="1">
        <f>E163*50</f>
        <v>5000</v>
      </c>
      <c r="M163" s="1">
        <v>0</v>
      </c>
      <c r="N163" s="2">
        <f t="shared" ref="N163" si="461">(L163+K163+M163)/E163</f>
        <v>90</v>
      </c>
      <c r="O163" s="2">
        <f t="shared" ref="O163" si="462">N163*E163</f>
        <v>9000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s="26" customFormat="1" ht="15" customHeight="1">
      <c r="A164" s="15">
        <v>43859</v>
      </c>
      <c r="B164" s="3" t="s">
        <v>19</v>
      </c>
      <c r="C164" s="16" t="s">
        <v>10</v>
      </c>
      <c r="D164" s="16">
        <v>31000</v>
      </c>
      <c r="E164" s="17">
        <v>100</v>
      </c>
      <c r="F164" s="3" t="s">
        <v>7</v>
      </c>
      <c r="G164" s="35">
        <v>180</v>
      </c>
      <c r="H164" s="35">
        <v>205</v>
      </c>
      <c r="I164" s="1">
        <v>0</v>
      </c>
      <c r="J164" s="1">
        <v>0</v>
      </c>
      <c r="K164" s="1">
        <f t="shared" ref="K164" si="463">(IF(F164="SELL",G164-H164,IF(F164="BUY",H164-G164)))*E164</f>
        <v>2500</v>
      </c>
      <c r="L164" s="1">
        <v>0</v>
      </c>
      <c r="M164" s="1">
        <v>0</v>
      </c>
      <c r="N164" s="2">
        <f t="shared" ref="N164" si="464">(L164+K164+M164)/E164</f>
        <v>25</v>
      </c>
      <c r="O164" s="2">
        <f t="shared" ref="O164" si="465">N164*E164</f>
        <v>2500</v>
      </c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s="26" customFormat="1" ht="15" customHeight="1">
      <c r="A165" s="15">
        <v>43858</v>
      </c>
      <c r="B165" s="3" t="s">
        <v>19</v>
      </c>
      <c r="C165" s="16" t="s">
        <v>9</v>
      </c>
      <c r="D165" s="16">
        <v>30800</v>
      </c>
      <c r="E165" s="17">
        <v>100</v>
      </c>
      <c r="F165" s="3" t="s">
        <v>7</v>
      </c>
      <c r="G165" s="35">
        <v>190</v>
      </c>
      <c r="H165" s="35">
        <v>139</v>
      </c>
      <c r="I165" s="1">
        <v>0</v>
      </c>
      <c r="J165" s="1">
        <v>0</v>
      </c>
      <c r="K165" s="1">
        <f t="shared" ref="K165" si="466">(IF(F165="SELL",G165-H165,IF(F165="BUY",H165-G165)))*E165</f>
        <v>-5100</v>
      </c>
      <c r="L165" s="1">
        <v>0</v>
      </c>
      <c r="M165" s="1">
        <v>0</v>
      </c>
      <c r="N165" s="2">
        <f t="shared" ref="N165" si="467">(L165+K165+M165)/E165</f>
        <v>-51</v>
      </c>
      <c r="O165" s="2">
        <f t="shared" ref="O165" si="468">N165*E165</f>
        <v>-5100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s="26" customFormat="1" ht="15" customHeight="1">
      <c r="A166" s="15">
        <v>43858</v>
      </c>
      <c r="B166" s="3" t="s">
        <v>19</v>
      </c>
      <c r="C166" s="16" t="s">
        <v>10</v>
      </c>
      <c r="D166" s="16">
        <v>31000</v>
      </c>
      <c r="E166" s="17">
        <v>100</v>
      </c>
      <c r="F166" s="3" t="s">
        <v>7</v>
      </c>
      <c r="G166" s="35">
        <v>230</v>
      </c>
      <c r="H166" s="35">
        <v>170</v>
      </c>
      <c r="I166" s="1">
        <v>0</v>
      </c>
      <c r="J166" s="1">
        <v>0</v>
      </c>
      <c r="K166" s="1">
        <f t="shared" ref="K166" si="469">(IF(F166="SELL",G166-H166,IF(F166="BUY",H166-G166)))*E166</f>
        <v>-6000</v>
      </c>
      <c r="L166" s="1">
        <v>0</v>
      </c>
      <c r="M166" s="1">
        <v>0</v>
      </c>
      <c r="N166" s="2">
        <f t="shared" ref="N166" si="470">(L166+K166+M166)/E166</f>
        <v>-60</v>
      </c>
      <c r="O166" s="2">
        <f t="shared" ref="O166" si="471">N166*E166</f>
        <v>-6000</v>
      </c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s="26" customFormat="1" ht="15" customHeight="1">
      <c r="A167" s="15">
        <v>43857</v>
      </c>
      <c r="B167" s="3" t="s">
        <v>19</v>
      </c>
      <c r="C167" s="16" t="s">
        <v>9</v>
      </c>
      <c r="D167" s="16">
        <v>30900</v>
      </c>
      <c r="E167" s="17">
        <v>100</v>
      </c>
      <c r="F167" s="3" t="s">
        <v>7</v>
      </c>
      <c r="G167" s="35">
        <v>190</v>
      </c>
      <c r="H167" s="35">
        <v>229</v>
      </c>
      <c r="I167" s="1">
        <v>256</v>
      </c>
      <c r="J167" s="1">
        <v>0</v>
      </c>
      <c r="K167" s="1">
        <f t="shared" ref="K167" si="472">(IF(F167="SELL",G167-H167,IF(F167="BUY",H167-G167)))*E167</f>
        <v>3900</v>
      </c>
      <c r="L167" s="1">
        <f>E167*27</f>
        <v>2700</v>
      </c>
      <c r="M167" s="1">
        <v>0</v>
      </c>
      <c r="N167" s="2">
        <f t="shared" ref="N167" si="473">(L167+K167+M167)/E167</f>
        <v>66</v>
      </c>
      <c r="O167" s="2">
        <f t="shared" ref="O167" si="474">N167*E167</f>
        <v>6600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s="26" customFormat="1" ht="15" customHeight="1">
      <c r="A168" s="15">
        <v>43857</v>
      </c>
      <c r="B168" s="3" t="s">
        <v>19</v>
      </c>
      <c r="C168" s="16" t="s">
        <v>10</v>
      </c>
      <c r="D168" s="16">
        <v>31100</v>
      </c>
      <c r="E168" s="17">
        <v>100</v>
      </c>
      <c r="F168" s="3" t="s">
        <v>7</v>
      </c>
      <c r="G168" s="35">
        <v>290</v>
      </c>
      <c r="H168" s="35">
        <v>239</v>
      </c>
      <c r="I168" s="1">
        <v>0</v>
      </c>
      <c r="J168" s="1">
        <v>0</v>
      </c>
      <c r="K168" s="1">
        <f t="shared" ref="K168" si="475">(IF(F168="SELL",G168-H168,IF(F168="BUY",H168-G168)))*E168</f>
        <v>-5100</v>
      </c>
      <c r="L168" s="1">
        <v>0</v>
      </c>
      <c r="M168" s="1">
        <v>0</v>
      </c>
      <c r="N168" s="2">
        <f t="shared" ref="N168" si="476">(L168+K168+M168)/E168</f>
        <v>-51</v>
      </c>
      <c r="O168" s="2">
        <f t="shared" ref="O168" si="477">N168*E168</f>
        <v>-5100</v>
      </c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s="26" customFormat="1" ht="15" customHeight="1">
      <c r="A169" s="15">
        <v>43854</v>
      </c>
      <c r="B169" s="3" t="s">
        <v>19</v>
      </c>
      <c r="C169" s="16" t="s">
        <v>10</v>
      </c>
      <c r="D169" s="16">
        <v>31500</v>
      </c>
      <c r="E169" s="17">
        <v>100</v>
      </c>
      <c r="F169" s="3" t="s">
        <v>7</v>
      </c>
      <c r="G169" s="35">
        <v>130</v>
      </c>
      <c r="H169" s="35">
        <v>170</v>
      </c>
      <c r="I169" s="1">
        <v>200</v>
      </c>
      <c r="J169" s="1">
        <v>0</v>
      </c>
      <c r="K169" s="1">
        <f t="shared" ref="K169" si="478">(IF(F169="SELL",G169-H169,IF(F169="BUY",H169-G169)))*E169</f>
        <v>4000</v>
      </c>
      <c r="L169" s="1">
        <f>E169*30</f>
        <v>3000</v>
      </c>
      <c r="M169" s="1">
        <v>0</v>
      </c>
      <c r="N169" s="2">
        <f t="shared" ref="N169" si="479">(L169+K169+M169)/E169</f>
        <v>70</v>
      </c>
      <c r="O169" s="2">
        <f t="shared" ref="O169" si="480">N169*E169</f>
        <v>7000</v>
      </c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s="26" customFormat="1" ht="15" customHeight="1">
      <c r="A170" s="15">
        <v>43853</v>
      </c>
      <c r="B170" s="3" t="s">
        <v>19</v>
      </c>
      <c r="C170" s="16" t="s">
        <v>10</v>
      </c>
      <c r="D170" s="16">
        <v>30800</v>
      </c>
      <c r="E170" s="17">
        <v>100</v>
      </c>
      <c r="F170" s="3" t="s">
        <v>7</v>
      </c>
      <c r="G170" s="35">
        <v>110</v>
      </c>
      <c r="H170" s="35">
        <v>160</v>
      </c>
      <c r="I170" s="1">
        <v>0</v>
      </c>
      <c r="J170" s="1">
        <v>0</v>
      </c>
      <c r="K170" s="1">
        <f t="shared" ref="K170" si="481">(IF(F170="SELL",G170-H170,IF(F170="BUY",H170-G170)))*E170</f>
        <v>5000</v>
      </c>
      <c r="L170" s="1">
        <v>0</v>
      </c>
      <c r="M170" s="1">
        <v>0</v>
      </c>
      <c r="N170" s="2">
        <f t="shared" ref="N170" si="482">(L170+K170+M170)/E170</f>
        <v>50</v>
      </c>
      <c r="O170" s="2">
        <f t="shared" ref="O170" si="483">N170*E170</f>
        <v>5000</v>
      </c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s="26" customFormat="1" ht="15" customHeight="1">
      <c r="A171" s="15">
        <v>43852</v>
      </c>
      <c r="B171" s="3" t="s">
        <v>19</v>
      </c>
      <c r="C171" s="16" t="s">
        <v>9</v>
      </c>
      <c r="D171" s="16">
        <v>30800</v>
      </c>
      <c r="E171" s="17">
        <v>100</v>
      </c>
      <c r="F171" s="3" t="s">
        <v>7</v>
      </c>
      <c r="G171" s="35">
        <v>130</v>
      </c>
      <c r="H171" s="35">
        <v>170</v>
      </c>
      <c r="I171" s="1">
        <v>200</v>
      </c>
      <c r="J171" s="1">
        <v>0</v>
      </c>
      <c r="K171" s="1">
        <f t="shared" ref="K171" si="484">(IF(F171="SELL",G171-H171,IF(F171="BUY",H171-G171)))*E171</f>
        <v>4000</v>
      </c>
      <c r="L171" s="1">
        <f>E171*30</f>
        <v>3000</v>
      </c>
      <c r="M171" s="1">
        <v>0</v>
      </c>
      <c r="N171" s="2">
        <f t="shared" ref="N171" si="485">(L171+K171+M171)/E171</f>
        <v>70</v>
      </c>
      <c r="O171" s="2">
        <f t="shared" ref="O171" si="486">N171*E171</f>
        <v>7000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s="26" customFormat="1" ht="15" customHeight="1">
      <c r="A172" s="15">
        <v>43851</v>
      </c>
      <c r="B172" s="3" t="s">
        <v>19</v>
      </c>
      <c r="C172" s="16" t="s">
        <v>9</v>
      </c>
      <c r="D172" s="16">
        <v>30900</v>
      </c>
      <c r="E172" s="17">
        <v>100</v>
      </c>
      <c r="F172" s="3" t="s">
        <v>7</v>
      </c>
      <c r="G172" s="35">
        <v>195</v>
      </c>
      <c r="H172" s="35">
        <v>141</v>
      </c>
      <c r="I172" s="1">
        <v>0</v>
      </c>
      <c r="J172" s="1">
        <v>0</v>
      </c>
      <c r="K172" s="1">
        <f t="shared" ref="K172" si="487">(IF(F172="SELL",G172-H172,IF(F172="BUY",H172-G172)))*E172</f>
        <v>-5400</v>
      </c>
      <c r="L172" s="1">
        <v>0</v>
      </c>
      <c r="M172" s="1">
        <v>0</v>
      </c>
      <c r="N172" s="2">
        <f t="shared" ref="N172" si="488">(L172+K172+M172)/E172</f>
        <v>-54</v>
      </c>
      <c r="O172" s="2">
        <f t="shared" ref="O172" si="489">N172*E172</f>
        <v>-5400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s="26" customFormat="1" ht="15" customHeight="1">
      <c r="A173" s="15">
        <v>43850</v>
      </c>
      <c r="B173" s="3" t="s">
        <v>19</v>
      </c>
      <c r="C173" s="16" t="s">
        <v>9</v>
      </c>
      <c r="D173" s="16">
        <v>31300</v>
      </c>
      <c r="E173" s="17">
        <v>100</v>
      </c>
      <c r="F173" s="3" t="s">
        <v>7</v>
      </c>
      <c r="G173" s="35">
        <v>185</v>
      </c>
      <c r="H173" s="35">
        <v>180</v>
      </c>
      <c r="I173" s="1">
        <v>0</v>
      </c>
      <c r="J173" s="1">
        <v>0</v>
      </c>
      <c r="K173" s="1">
        <f t="shared" ref="K173" si="490">(IF(F173="SELL",G173-H173,IF(F173="BUY",H173-G173)))*E173</f>
        <v>-500</v>
      </c>
      <c r="L173" s="1">
        <v>0</v>
      </c>
      <c r="M173" s="1">
        <v>0</v>
      </c>
      <c r="N173" s="2">
        <f t="shared" ref="N173" si="491">(L173+K173+M173)/E173</f>
        <v>-5</v>
      </c>
      <c r="O173" s="2">
        <f t="shared" ref="O173" si="492">N173*E173</f>
        <v>-500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s="26" customFormat="1" ht="15" customHeight="1">
      <c r="A174" s="15">
        <v>43847</v>
      </c>
      <c r="B174" s="3" t="s">
        <v>19</v>
      </c>
      <c r="C174" s="16" t="s">
        <v>10</v>
      </c>
      <c r="D174" s="16">
        <v>31700</v>
      </c>
      <c r="E174" s="17">
        <v>100</v>
      </c>
      <c r="F174" s="3" t="s">
        <v>7</v>
      </c>
      <c r="G174" s="35">
        <v>280</v>
      </c>
      <c r="H174" s="35">
        <v>300</v>
      </c>
      <c r="I174" s="1">
        <v>0</v>
      </c>
      <c r="J174" s="1">
        <v>0</v>
      </c>
      <c r="K174" s="1">
        <f t="shared" ref="K174" si="493">(IF(F174="SELL",G174-H174,IF(F174="BUY",H174-G174)))*E174</f>
        <v>2000</v>
      </c>
      <c r="L174" s="1">
        <v>0</v>
      </c>
      <c r="M174" s="1">
        <v>0</v>
      </c>
      <c r="N174" s="2">
        <f t="shared" ref="N174" si="494">(L174+K174+M174)/E174</f>
        <v>20</v>
      </c>
      <c r="O174" s="2">
        <f t="shared" ref="O174" si="495">N174*E174</f>
        <v>2000</v>
      </c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s="26" customFormat="1" ht="15" customHeight="1">
      <c r="A175" s="15">
        <v>43846</v>
      </c>
      <c r="B175" s="3" t="s">
        <v>19</v>
      </c>
      <c r="C175" s="16" t="s">
        <v>10</v>
      </c>
      <c r="D175" s="16">
        <v>32100</v>
      </c>
      <c r="E175" s="17">
        <v>100</v>
      </c>
      <c r="F175" s="3" t="s">
        <v>7</v>
      </c>
      <c r="G175" s="35">
        <v>25</v>
      </c>
      <c r="H175" s="35">
        <v>1</v>
      </c>
      <c r="I175" s="1">
        <v>0</v>
      </c>
      <c r="J175" s="1">
        <v>0</v>
      </c>
      <c r="K175" s="1">
        <f t="shared" ref="K175" si="496">(IF(F175="SELL",G175-H175,IF(F175="BUY",H175-G175)))*E175</f>
        <v>-2400</v>
      </c>
      <c r="L175" s="1">
        <v>0</v>
      </c>
      <c r="M175" s="1">
        <v>0</v>
      </c>
      <c r="N175" s="2">
        <f t="shared" ref="N175" si="497">(L175+K175+M175)/E175</f>
        <v>-24</v>
      </c>
      <c r="O175" s="2">
        <f t="shared" ref="O175" si="498">N175*E175</f>
        <v>-2400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s="26" customFormat="1" ht="15" customHeight="1">
      <c r="A176" s="15">
        <v>43845</v>
      </c>
      <c r="B176" s="3" t="s">
        <v>19</v>
      </c>
      <c r="C176" s="16" t="s">
        <v>9</v>
      </c>
      <c r="D176" s="16">
        <v>31800</v>
      </c>
      <c r="E176" s="17">
        <v>100</v>
      </c>
      <c r="F176" s="3" t="s">
        <v>7</v>
      </c>
      <c r="G176" s="35">
        <v>140</v>
      </c>
      <c r="H176" s="35">
        <v>179</v>
      </c>
      <c r="I176" s="1">
        <v>0</v>
      </c>
      <c r="J176" s="1">
        <v>0</v>
      </c>
      <c r="K176" s="1">
        <f t="shared" ref="K176" si="499">(IF(F176="SELL",G176-H176,IF(F176="BUY",H176-G176)))*E176</f>
        <v>3900</v>
      </c>
      <c r="L176" s="1">
        <v>0</v>
      </c>
      <c r="M176" s="1">
        <v>0</v>
      </c>
      <c r="N176" s="2">
        <f t="shared" ref="N176" si="500">(L176+K176+M176)/E176</f>
        <v>39</v>
      </c>
      <c r="O176" s="2">
        <f t="shared" ref="O176" si="501">N176*E176</f>
        <v>3900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s="26" customFormat="1" ht="15" customHeight="1">
      <c r="A177" s="15">
        <v>43844</v>
      </c>
      <c r="B177" s="3" t="s">
        <v>19</v>
      </c>
      <c r="C177" s="16" t="s">
        <v>10</v>
      </c>
      <c r="D177" s="16">
        <v>32100</v>
      </c>
      <c r="E177" s="17">
        <v>100</v>
      </c>
      <c r="F177" s="3" t="s">
        <v>7</v>
      </c>
      <c r="G177" s="35">
        <v>210</v>
      </c>
      <c r="H177" s="35">
        <v>238.95</v>
      </c>
      <c r="I177" s="1">
        <v>0</v>
      </c>
      <c r="J177" s="1">
        <v>0</v>
      </c>
      <c r="K177" s="1">
        <f t="shared" ref="K177" si="502">(IF(F177="SELL",G177-H177,IF(F177="BUY",H177-G177)))*E177</f>
        <v>2894.9999999999991</v>
      </c>
      <c r="L177" s="1">
        <v>0</v>
      </c>
      <c r="M177" s="1">
        <v>0</v>
      </c>
      <c r="N177" s="2">
        <f t="shared" ref="N177" si="503">(L177+K177+M177)/E177</f>
        <v>28.949999999999992</v>
      </c>
      <c r="O177" s="2">
        <f t="shared" ref="O177" si="504">N177*E177</f>
        <v>2894.9999999999991</v>
      </c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s="26" customFormat="1" ht="15" customHeight="1">
      <c r="A178" s="15">
        <v>43843</v>
      </c>
      <c r="B178" s="3" t="s">
        <v>19</v>
      </c>
      <c r="C178" s="16" t="s">
        <v>10</v>
      </c>
      <c r="D178" s="16">
        <v>32100</v>
      </c>
      <c r="E178" s="17">
        <v>100</v>
      </c>
      <c r="F178" s="3" t="s">
        <v>7</v>
      </c>
      <c r="G178" s="35">
        <v>290</v>
      </c>
      <c r="H178" s="35">
        <v>297</v>
      </c>
      <c r="I178" s="1">
        <v>0</v>
      </c>
      <c r="J178" s="1">
        <v>0</v>
      </c>
      <c r="K178" s="1">
        <f t="shared" ref="K178" si="505">(IF(F178="SELL",G178-H178,IF(F178="BUY",H178-G178)))*E178</f>
        <v>700</v>
      </c>
      <c r="L178" s="1">
        <v>0</v>
      </c>
      <c r="M178" s="1">
        <v>0</v>
      </c>
      <c r="N178" s="2">
        <f t="shared" ref="N178" si="506">(L178+K178+M178)/E178</f>
        <v>7</v>
      </c>
      <c r="O178" s="2">
        <f t="shared" ref="O178" si="507">N178*E178</f>
        <v>700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1:35" s="26" customFormat="1" ht="15" customHeight="1">
      <c r="A179" s="15">
        <v>43843</v>
      </c>
      <c r="B179" s="3" t="s">
        <v>19</v>
      </c>
      <c r="C179" s="16" t="s">
        <v>10</v>
      </c>
      <c r="D179" s="16">
        <v>32200</v>
      </c>
      <c r="E179" s="17">
        <v>100</v>
      </c>
      <c r="F179" s="3" t="s">
        <v>7</v>
      </c>
      <c r="G179" s="35">
        <v>260</v>
      </c>
      <c r="H179" s="35">
        <v>199</v>
      </c>
      <c r="I179" s="1">
        <v>0</v>
      </c>
      <c r="J179" s="1">
        <v>0</v>
      </c>
      <c r="K179" s="1">
        <f t="shared" ref="K179" si="508">(IF(F179="SELL",G179-H179,IF(F179="BUY",H179-G179)))*E179</f>
        <v>-6100</v>
      </c>
      <c r="L179" s="1">
        <v>0</v>
      </c>
      <c r="M179" s="1">
        <v>0</v>
      </c>
      <c r="N179" s="2">
        <f t="shared" ref="N179" si="509">(L179+K179+M179)/E179</f>
        <v>-61</v>
      </c>
      <c r="O179" s="2">
        <f t="shared" ref="O179" si="510">N179*E179</f>
        <v>-6100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35" s="26" customFormat="1" ht="15" customHeight="1">
      <c r="A180" s="15">
        <v>43840</v>
      </c>
      <c r="B180" s="3" t="s">
        <v>19</v>
      </c>
      <c r="C180" s="16" t="s">
        <v>10</v>
      </c>
      <c r="D180" s="16">
        <v>32200</v>
      </c>
      <c r="E180" s="17">
        <v>100</v>
      </c>
      <c r="F180" s="3" t="s">
        <v>7</v>
      </c>
      <c r="G180" s="35">
        <v>300</v>
      </c>
      <c r="H180" s="35">
        <v>340</v>
      </c>
      <c r="I180" s="1">
        <v>0</v>
      </c>
      <c r="J180" s="1">
        <v>0</v>
      </c>
      <c r="K180" s="1">
        <f t="shared" ref="K180" si="511">(IF(F180="SELL",G180-H180,IF(F180="BUY",H180-G180)))*E180</f>
        <v>4000</v>
      </c>
      <c r="L180" s="1">
        <v>0</v>
      </c>
      <c r="M180" s="1">
        <v>0</v>
      </c>
      <c r="N180" s="2">
        <f t="shared" ref="N180" si="512">(L180+K180+M180)/E180</f>
        <v>40</v>
      </c>
      <c r="O180" s="2">
        <f t="shared" ref="O180" si="513">N180*E180</f>
        <v>4000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:35" s="26" customFormat="1" ht="15" customHeight="1">
      <c r="A181" s="15">
        <v>43839</v>
      </c>
      <c r="B181" s="3" t="s">
        <v>19</v>
      </c>
      <c r="C181" s="16" t="s">
        <v>10</v>
      </c>
      <c r="D181" s="16">
        <v>32000</v>
      </c>
      <c r="E181" s="17">
        <v>100</v>
      </c>
      <c r="F181" s="3" t="s">
        <v>7</v>
      </c>
      <c r="G181" s="35">
        <v>30</v>
      </c>
      <c r="H181" s="35">
        <v>50</v>
      </c>
      <c r="I181" s="1">
        <v>70</v>
      </c>
      <c r="J181" s="1">
        <v>0</v>
      </c>
      <c r="K181" s="1">
        <f t="shared" ref="K181" si="514">(IF(F181="SELL",G181-H181,IF(F181="BUY",H181-G181)))*E181</f>
        <v>2000</v>
      </c>
      <c r="L181" s="1">
        <f>E181*20</f>
        <v>2000</v>
      </c>
      <c r="M181" s="1">
        <v>0</v>
      </c>
      <c r="N181" s="2">
        <f t="shared" ref="N181" si="515">(L181+K181+M181)/E181</f>
        <v>40</v>
      </c>
      <c r="O181" s="2">
        <f t="shared" ref="O181" si="516">N181*E181</f>
        <v>4000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s="26" customFormat="1" ht="15" customHeight="1">
      <c r="A182" s="15">
        <v>43839</v>
      </c>
      <c r="B182" s="3" t="s">
        <v>19</v>
      </c>
      <c r="C182" s="16" t="s">
        <v>10</v>
      </c>
      <c r="D182" s="16">
        <v>31800</v>
      </c>
      <c r="E182" s="17">
        <v>100</v>
      </c>
      <c r="F182" s="3" t="s">
        <v>7</v>
      </c>
      <c r="G182" s="35">
        <v>90</v>
      </c>
      <c r="H182" s="35">
        <v>120</v>
      </c>
      <c r="I182" s="1">
        <v>150</v>
      </c>
      <c r="J182" s="1">
        <v>0</v>
      </c>
      <c r="K182" s="1">
        <f t="shared" ref="K182" si="517">(IF(F182="SELL",G182-H182,IF(F182="BUY",H182-G182)))*E182</f>
        <v>3000</v>
      </c>
      <c r="L182" s="1">
        <f>E182*30</f>
        <v>3000</v>
      </c>
      <c r="M182" s="1">
        <v>0</v>
      </c>
      <c r="N182" s="2">
        <f t="shared" ref="N182" si="518">(L182+K182+M182)/E182</f>
        <v>60</v>
      </c>
      <c r="O182" s="2">
        <f t="shared" ref="O182" si="519">N182*E182</f>
        <v>6000</v>
      </c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s="26" customFormat="1" ht="15" customHeight="1">
      <c r="A183" s="15">
        <v>43838</v>
      </c>
      <c r="B183" s="3" t="s">
        <v>19</v>
      </c>
      <c r="C183" s="16" t="s">
        <v>10</v>
      </c>
      <c r="D183" s="16">
        <v>31500</v>
      </c>
      <c r="E183" s="17">
        <v>100</v>
      </c>
      <c r="F183" s="3" t="s">
        <v>7</v>
      </c>
      <c r="G183" s="35">
        <v>120</v>
      </c>
      <c r="H183" s="35">
        <v>65</v>
      </c>
      <c r="I183" s="1">
        <v>0</v>
      </c>
      <c r="J183" s="1">
        <v>0</v>
      </c>
      <c r="K183" s="1">
        <f t="shared" ref="K183" si="520">(IF(F183="SELL",G183-H183,IF(F183="BUY",H183-G183)))*E183</f>
        <v>-5500</v>
      </c>
      <c r="L183" s="1">
        <v>0</v>
      </c>
      <c r="M183" s="1">
        <v>0</v>
      </c>
      <c r="N183" s="2">
        <f t="shared" ref="N183" si="521">(L183+K183+M183)/E183</f>
        <v>-55</v>
      </c>
      <c r="O183" s="2">
        <f t="shared" ref="O183" si="522">N183*E183</f>
        <v>-5500</v>
      </c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s="26" customFormat="1" ht="15" customHeight="1">
      <c r="A184" s="15">
        <v>43837</v>
      </c>
      <c r="B184" s="3" t="s">
        <v>19</v>
      </c>
      <c r="C184" s="16" t="s">
        <v>9</v>
      </c>
      <c r="D184" s="16">
        <v>31000</v>
      </c>
      <c r="E184" s="17">
        <v>100</v>
      </c>
      <c r="F184" s="3" t="s">
        <v>7</v>
      </c>
      <c r="G184" s="35">
        <v>70</v>
      </c>
      <c r="H184" s="35">
        <v>100</v>
      </c>
      <c r="I184" s="1">
        <v>150</v>
      </c>
      <c r="J184" s="1">
        <v>0</v>
      </c>
      <c r="K184" s="1">
        <f t="shared" ref="K184" si="523">(IF(F184="SELL",G184-H184,IF(F184="BUY",H184-G184)))*E184</f>
        <v>3000</v>
      </c>
      <c r="L184" s="1">
        <f>E184*50</f>
        <v>5000</v>
      </c>
      <c r="M184" s="1">
        <v>0</v>
      </c>
      <c r="N184" s="2">
        <f t="shared" ref="N184" si="524">(L184+K184+M184)/E184</f>
        <v>80</v>
      </c>
      <c r="O184" s="2">
        <f t="shared" ref="O184" si="525">N184*E184</f>
        <v>8000</v>
      </c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:35" s="26" customFormat="1" ht="15" customHeight="1">
      <c r="A185" s="15">
        <v>43836</v>
      </c>
      <c r="B185" s="3" t="s">
        <v>19</v>
      </c>
      <c r="C185" s="16" t="s">
        <v>9</v>
      </c>
      <c r="D185" s="16">
        <v>31300</v>
      </c>
      <c r="E185" s="17">
        <v>100</v>
      </c>
      <c r="F185" s="3" t="s">
        <v>7</v>
      </c>
      <c r="G185" s="35">
        <v>200</v>
      </c>
      <c r="H185" s="35">
        <v>235</v>
      </c>
      <c r="I185" s="1">
        <v>280</v>
      </c>
      <c r="J185" s="1">
        <v>0</v>
      </c>
      <c r="K185" s="1">
        <f t="shared" ref="K185" si="526">(IF(F185="SELL",G185-H185,IF(F185="BUY",H185-G185)))*E185</f>
        <v>3500</v>
      </c>
      <c r="L185" s="1">
        <f>E185*45</f>
        <v>4500</v>
      </c>
      <c r="M185" s="1">
        <v>0</v>
      </c>
      <c r="N185" s="2">
        <f t="shared" ref="N185" si="527">(L185+K185+M185)/E185</f>
        <v>80</v>
      </c>
      <c r="O185" s="2">
        <f t="shared" ref="O185" si="528">N185*E185</f>
        <v>8000</v>
      </c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:35" s="26" customFormat="1" ht="15" customHeight="1">
      <c r="A186" s="15">
        <v>43832</v>
      </c>
      <c r="B186" s="3" t="s">
        <v>19</v>
      </c>
      <c r="C186" s="16" t="s">
        <v>10</v>
      </c>
      <c r="D186" s="16">
        <v>32000</v>
      </c>
      <c r="E186" s="17">
        <v>100</v>
      </c>
      <c r="F186" s="3" t="s">
        <v>7</v>
      </c>
      <c r="G186" s="35">
        <v>200</v>
      </c>
      <c r="H186" s="35">
        <v>250</v>
      </c>
      <c r="I186" s="1">
        <v>400</v>
      </c>
      <c r="J186" s="1">
        <v>0</v>
      </c>
      <c r="K186" s="1">
        <f t="shared" ref="K186" si="529">(IF(F186="SELL",G186-H186,IF(F186="BUY",H186-G186)))*E186</f>
        <v>5000</v>
      </c>
      <c r="L186" s="1">
        <f>E186*150</f>
        <v>15000</v>
      </c>
      <c r="M186" s="1">
        <v>0</v>
      </c>
      <c r="N186" s="2">
        <f t="shared" ref="N186" si="530">(L186+K186+M186)/E186</f>
        <v>200</v>
      </c>
      <c r="O186" s="2">
        <f t="shared" ref="O186" si="531">N186*E186</f>
        <v>20000</v>
      </c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:35" s="26" customFormat="1" ht="15" customHeight="1">
      <c r="A187" s="15">
        <v>43830</v>
      </c>
      <c r="B187" s="3" t="s">
        <v>19</v>
      </c>
      <c r="C187" s="16" t="s">
        <v>10</v>
      </c>
      <c r="D187" s="16">
        <v>32000</v>
      </c>
      <c r="E187" s="17">
        <v>100</v>
      </c>
      <c r="F187" s="3" t="s">
        <v>7</v>
      </c>
      <c r="G187" s="35">
        <v>310</v>
      </c>
      <c r="H187" s="35">
        <v>350</v>
      </c>
      <c r="I187" s="1">
        <v>0</v>
      </c>
      <c r="J187" s="1">
        <v>0</v>
      </c>
      <c r="K187" s="1">
        <f t="shared" ref="K187" si="532">(IF(F187="SELL",G187-H187,IF(F187="BUY",H187-G187)))*E187</f>
        <v>4000</v>
      </c>
      <c r="L187" s="1">
        <v>0</v>
      </c>
      <c r="M187" s="1">
        <v>0</v>
      </c>
      <c r="N187" s="2">
        <f t="shared" ref="N187" si="533">(L187+K187+M187)/E187</f>
        <v>40</v>
      </c>
      <c r="O187" s="2">
        <f t="shared" ref="O187" si="534">N187*E187</f>
        <v>4000</v>
      </c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:35" s="26" customFormat="1" ht="15" customHeight="1">
      <c r="A188" s="15">
        <v>43819</v>
      </c>
      <c r="B188" s="3" t="s">
        <v>19</v>
      </c>
      <c r="C188" s="16" t="s">
        <v>10</v>
      </c>
      <c r="D188" s="16">
        <v>32400</v>
      </c>
      <c r="E188" s="17">
        <v>100</v>
      </c>
      <c r="F188" s="3" t="s">
        <v>7</v>
      </c>
      <c r="G188" s="35">
        <v>185</v>
      </c>
      <c r="H188" s="35">
        <v>192.95</v>
      </c>
      <c r="I188" s="1">
        <v>0</v>
      </c>
      <c r="J188" s="1">
        <v>0</v>
      </c>
      <c r="K188" s="1">
        <f t="shared" ref="K188" si="535">(IF(F188="SELL",G188-H188,IF(F188="BUY",H188-G188)))*E188</f>
        <v>794.99999999999886</v>
      </c>
      <c r="L188" s="1">
        <v>0</v>
      </c>
      <c r="M188" s="1">
        <v>0</v>
      </c>
      <c r="N188" s="2">
        <f t="shared" ref="N188" si="536">(L188+K188+M188)/E188</f>
        <v>7.9499999999999886</v>
      </c>
      <c r="O188" s="2">
        <f t="shared" ref="O188" si="537">N188*E188</f>
        <v>794.99999999999886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:35" s="26" customFormat="1" ht="15" customHeight="1">
      <c r="A189" s="15">
        <v>43818</v>
      </c>
      <c r="B189" s="3" t="s">
        <v>19</v>
      </c>
      <c r="C189" s="16" t="s">
        <v>10</v>
      </c>
      <c r="D189" s="16">
        <v>32300</v>
      </c>
      <c r="E189" s="17">
        <v>100</v>
      </c>
      <c r="F189" s="3" t="s">
        <v>7</v>
      </c>
      <c r="G189" s="35">
        <v>240</v>
      </c>
      <c r="H189" s="35">
        <v>214.9</v>
      </c>
      <c r="I189" s="1">
        <v>0</v>
      </c>
      <c r="J189" s="1">
        <v>0</v>
      </c>
      <c r="K189" s="1">
        <f t="shared" ref="K189" si="538">(IF(F189="SELL",G189-H189,IF(F189="BUY",H189-G189)))*E189</f>
        <v>-2509.9999999999995</v>
      </c>
      <c r="L189" s="1">
        <v>0</v>
      </c>
      <c r="M189" s="1">
        <v>0</v>
      </c>
      <c r="N189" s="2">
        <f t="shared" ref="N189" si="539">(L189+K189+M189)/E189</f>
        <v>-25.099999999999994</v>
      </c>
      <c r="O189" s="2">
        <f t="shared" ref="O189" si="540">N189*E189</f>
        <v>-2509.9999999999995</v>
      </c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s="26" customFormat="1" ht="15" customHeight="1">
      <c r="A190" s="15">
        <v>43815</v>
      </c>
      <c r="B190" s="3" t="s">
        <v>19</v>
      </c>
      <c r="C190" s="16" t="s">
        <v>9</v>
      </c>
      <c r="D190" s="16">
        <v>31900</v>
      </c>
      <c r="E190" s="17">
        <v>100</v>
      </c>
      <c r="F190" s="3" t="s">
        <v>7</v>
      </c>
      <c r="G190" s="35">
        <v>200</v>
      </c>
      <c r="H190" s="35">
        <v>149</v>
      </c>
      <c r="I190" s="1">
        <v>0</v>
      </c>
      <c r="J190" s="1">
        <v>0</v>
      </c>
      <c r="K190" s="1">
        <f t="shared" ref="K190" si="541">(IF(F190="SELL",G190-H190,IF(F190="BUY",H190-G190)))*E190</f>
        <v>-5100</v>
      </c>
      <c r="L190" s="1">
        <v>0</v>
      </c>
      <c r="M190" s="1">
        <v>0</v>
      </c>
      <c r="N190" s="2">
        <f t="shared" ref="N190" si="542">(L190+K190+M190)/E190</f>
        <v>-51</v>
      </c>
      <c r="O190" s="2">
        <f t="shared" ref="O190" si="543">N190*E190</f>
        <v>-5100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s="26" customFormat="1" ht="15" customHeight="1">
      <c r="A191" s="15">
        <v>43811</v>
      </c>
      <c r="B191" s="3" t="s">
        <v>19</v>
      </c>
      <c r="C191" s="16" t="s">
        <v>10</v>
      </c>
      <c r="D191" s="16">
        <v>31600</v>
      </c>
      <c r="E191" s="17">
        <v>100</v>
      </c>
      <c r="F191" s="3" t="s">
        <v>7</v>
      </c>
      <c r="G191" s="35">
        <v>195</v>
      </c>
      <c r="H191" s="35">
        <v>239</v>
      </c>
      <c r="I191" s="1">
        <v>299</v>
      </c>
      <c r="J191" s="1">
        <v>0</v>
      </c>
      <c r="K191" s="1">
        <f t="shared" ref="K191" si="544">(IF(F191="SELL",G191-H191,IF(F191="BUY",H191-G191)))*E191</f>
        <v>4400</v>
      </c>
      <c r="L191" s="1">
        <f>E191*61</f>
        <v>6100</v>
      </c>
      <c r="M191" s="1">
        <v>0</v>
      </c>
      <c r="N191" s="2">
        <f t="shared" ref="N191" si="545">(L191+K191+M191)/E191</f>
        <v>105</v>
      </c>
      <c r="O191" s="2">
        <f t="shared" ref="O191" si="546">N191*E191</f>
        <v>10500</v>
      </c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s="26" customFormat="1" ht="15" customHeight="1">
      <c r="A192" s="15">
        <v>43810</v>
      </c>
      <c r="B192" s="3" t="s">
        <v>19</v>
      </c>
      <c r="C192" s="16" t="s">
        <v>9</v>
      </c>
      <c r="D192" s="16">
        <v>31100</v>
      </c>
      <c r="E192" s="17">
        <v>100</v>
      </c>
      <c r="F192" s="3" t="s">
        <v>7</v>
      </c>
      <c r="G192" s="35">
        <v>120</v>
      </c>
      <c r="H192" s="35">
        <v>159</v>
      </c>
      <c r="I192" s="1">
        <v>0</v>
      </c>
      <c r="J192" s="1">
        <v>0</v>
      </c>
      <c r="K192" s="1">
        <f t="shared" ref="K192" si="547">(IF(F192="SELL",G192-H192,IF(F192="BUY",H192-G192)))*E192</f>
        <v>3900</v>
      </c>
      <c r="L192" s="1">
        <v>0</v>
      </c>
      <c r="M192" s="1">
        <v>0</v>
      </c>
      <c r="N192" s="2">
        <f t="shared" ref="N192" si="548">(L192+K192+M192)/E192</f>
        <v>39</v>
      </c>
      <c r="O192" s="2">
        <f t="shared" ref="O192" si="549">N192*E192</f>
        <v>3900</v>
      </c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s="26" customFormat="1" ht="15" customHeight="1">
      <c r="A193" s="15">
        <v>43808</v>
      </c>
      <c r="B193" s="3" t="s">
        <v>19</v>
      </c>
      <c r="C193" s="16" t="s">
        <v>10</v>
      </c>
      <c r="D193" s="16">
        <v>31500</v>
      </c>
      <c r="E193" s="17">
        <v>100</v>
      </c>
      <c r="F193" s="3" t="s">
        <v>7</v>
      </c>
      <c r="G193" s="35">
        <v>220</v>
      </c>
      <c r="H193" s="35">
        <v>159</v>
      </c>
      <c r="I193" s="1">
        <v>0</v>
      </c>
      <c r="J193" s="1">
        <v>0</v>
      </c>
      <c r="K193" s="1">
        <f t="shared" ref="K193" si="550">(IF(F193="SELL",G193-H193,IF(F193="BUY",H193-G193)))*E193</f>
        <v>-6100</v>
      </c>
      <c r="L193" s="1">
        <v>0</v>
      </c>
      <c r="M193" s="1">
        <v>0</v>
      </c>
      <c r="N193" s="2">
        <f t="shared" ref="N193" si="551">(L193+K193+M193)/E193</f>
        <v>-61</v>
      </c>
      <c r="O193" s="2">
        <f t="shared" ref="O193" si="552">N193*E193</f>
        <v>-6100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1:35" s="26" customFormat="1" ht="15" customHeight="1">
      <c r="A194" s="15">
        <v>43808</v>
      </c>
      <c r="B194" s="3" t="s">
        <v>19</v>
      </c>
      <c r="C194" s="16" t="s">
        <v>9</v>
      </c>
      <c r="D194" s="16">
        <v>31400</v>
      </c>
      <c r="E194" s="17">
        <v>100</v>
      </c>
      <c r="F194" s="3" t="s">
        <v>7</v>
      </c>
      <c r="G194" s="35">
        <v>220</v>
      </c>
      <c r="H194" s="35">
        <v>183</v>
      </c>
      <c r="I194" s="1">
        <v>0</v>
      </c>
      <c r="J194" s="1">
        <v>0</v>
      </c>
      <c r="K194" s="1">
        <f t="shared" ref="K194" si="553">(IF(F194="SELL",G194-H194,IF(F194="BUY",H194-G194)))*E194</f>
        <v>-3700</v>
      </c>
      <c r="L194" s="1">
        <v>0</v>
      </c>
      <c r="M194" s="1">
        <v>0</v>
      </c>
      <c r="N194" s="2">
        <f t="shared" ref="N194" si="554">(L194+K194+M194)/E194</f>
        <v>-37</v>
      </c>
      <c r="O194" s="2">
        <f t="shared" ref="O194" si="555">N194*E194</f>
        <v>-3700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s="26" customFormat="1" ht="15" customHeight="1">
      <c r="A195" s="15">
        <v>43805</v>
      </c>
      <c r="B195" s="3" t="s">
        <v>19</v>
      </c>
      <c r="C195" s="16" t="s">
        <v>9</v>
      </c>
      <c r="D195" s="16">
        <v>31500</v>
      </c>
      <c r="E195" s="17">
        <v>100</v>
      </c>
      <c r="F195" s="3" t="s">
        <v>7</v>
      </c>
      <c r="G195" s="35">
        <v>180</v>
      </c>
      <c r="H195" s="35">
        <v>220</v>
      </c>
      <c r="I195" s="1">
        <v>270</v>
      </c>
      <c r="J195" s="1">
        <v>0</v>
      </c>
      <c r="K195" s="1">
        <f t="shared" ref="K195" si="556">(IF(F195="SELL",G195-H195,IF(F195="BUY",H195-G195)))*E195</f>
        <v>4000</v>
      </c>
      <c r="L195" s="1">
        <f>E195*50</f>
        <v>5000</v>
      </c>
      <c r="M195" s="1">
        <v>0</v>
      </c>
      <c r="N195" s="2">
        <f t="shared" ref="N195" si="557">(L195+K195+M195)/E195</f>
        <v>90</v>
      </c>
      <c r="O195" s="2">
        <f t="shared" ref="O195" si="558">N195*E195</f>
        <v>9000</v>
      </c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s="26" customFormat="1" ht="15" customHeight="1">
      <c r="A196" s="15">
        <v>43805</v>
      </c>
      <c r="B196" s="3" t="s">
        <v>19</v>
      </c>
      <c r="C196" s="16" t="s">
        <v>10</v>
      </c>
      <c r="D196" s="16">
        <v>31900</v>
      </c>
      <c r="E196" s="17">
        <v>100</v>
      </c>
      <c r="F196" s="3" t="s">
        <v>7</v>
      </c>
      <c r="G196" s="35">
        <v>215</v>
      </c>
      <c r="H196" s="35">
        <v>160</v>
      </c>
      <c r="I196" s="1">
        <v>0</v>
      </c>
      <c r="J196" s="1">
        <v>0</v>
      </c>
      <c r="K196" s="1">
        <f t="shared" ref="K196" si="559">(IF(F196="SELL",G196-H196,IF(F196="BUY",H196-G196)))*E196</f>
        <v>-5500</v>
      </c>
      <c r="L196" s="1">
        <v>0</v>
      </c>
      <c r="M196" s="1">
        <v>0</v>
      </c>
      <c r="N196" s="2">
        <f t="shared" ref="N196" si="560">(L196+K196+M196)/E196</f>
        <v>-55</v>
      </c>
      <c r="O196" s="2">
        <f t="shared" ref="O196" si="561">N196*E196</f>
        <v>-5500</v>
      </c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s="26" customFormat="1" ht="15" customHeight="1">
      <c r="A197" s="15">
        <v>43804</v>
      </c>
      <c r="B197" s="3" t="s">
        <v>19</v>
      </c>
      <c r="C197" s="16" t="s">
        <v>9</v>
      </c>
      <c r="D197" s="16">
        <v>31800</v>
      </c>
      <c r="E197" s="17">
        <v>100</v>
      </c>
      <c r="F197" s="3" t="s">
        <v>7</v>
      </c>
      <c r="G197" s="35">
        <v>260</v>
      </c>
      <c r="H197" s="35">
        <v>310</v>
      </c>
      <c r="I197" s="1">
        <v>0</v>
      </c>
      <c r="J197" s="1">
        <v>0</v>
      </c>
      <c r="K197" s="1">
        <f t="shared" ref="K197" si="562">(IF(F197="SELL",G197-H197,IF(F197="BUY",H197-G197)))*E197</f>
        <v>5000</v>
      </c>
      <c r="L197" s="1">
        <v>0</v>
      </c>
      <c r="M197" s="1">
        <v>0</v>
      </c>
      <c r="N197" s="2">
        <f t="shared" ref="N197" si="563">(L197+K197+M197)/E197</f>
        <v>50</v>
      </c>
      <c r="O197" s="2">
        <f t="shared" ref="O197" si="564">N197*E197</f>
        <v>5000</v>
      </c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s="26" customFormat="1" ht="15" customHeight="1">
      <c r="A198" s="15">
        <v>43802</v>
      </c>
      <c r="B198" s="3" t="s">
        <v>19</v>
      </c>
      <c r="C198" s="16" t="s">
        <v>9</v>
      </c>
      <c r="D198" s="16">
        <v>31600</v>
      </c>
      <c r="E198" s="17">
        <v>100</v>
      </c>
      <c r="F198" s="3" t="s">
        <v>7</v>
      </c>
      <c r="G198" s="35">
        <v>160</v>
      </c>
      <c r="H198" s="35">
        <v>199</v>
      </c>
      <c r="I198" s="1">
        <v>0</v>
      </c>
      <c r="J198" s="1">
        <v>0</v>
      </c>
      <c r="K198" s="1">
        <f t="shared" ref="K198" si="565">(IF(F198="SELL",G198-H198,IF(F198="BUY",H198-G198)))*E198</f>
        <v>3900</v>
      </c>
      <c r="L198" s="1">
        <v>0</v>
      </c>
      <c r="M198" s="1">
        <v>0</v>
      </c>
      <c r="N198" s="2">
        <f t="shared" ref="N198" si="566">(L198+K198+M198)/E198</f>
        <v>39</v>
      </c>
      <c r="O198" s="2">
        <f t="shared" ref="O198" si="567">N198*E198</f>
        <v>3900</v>
      </c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s="26" customFormat="1" ht="15" customHeight="1">
      <c r="A199" s="15">
        <v>43798</v>
      </c>
      <c r="B199" s="3" t="s">
        <v>19</v>
      </c>
      <c r="C199" s="16" t="s">
        <v>9</v>
      </c>
      <c r="D199" s="16">
        <v>32000</v>
      </c>
      <c r="E199" s="17">
        <v>100</v>
      </c>
      <c r="F199" s="3" t="s">
        <v>7</v>
      </c>
      <c r="G199" s="35">
        <v>270</v>
      </c>
      <c r="H199" s="35">
        <v>305</v>
      </c>
      <c r="I199" s="1">
        <v>345</v>
      </c>
      <c r="J199" s="1">
        <v>0</v>
      </c>
      <c r="K199" s="1">
        <f t="shared" ref="K199" si="568">(IF(F199="SELL",G199-H199,IF(F199="BUY",H199-G199)))*E199</f>
        <v>3500</v>
      </c>
      <c r="L199" s="1">
        <f>E199*40</f>
        <v>4000</v>
      </c>
      <c r="M199" s="1">
        <v>0</v>
      </c>
      <c r="N199" s="2">
        <f t="shared" ref="N199" si="569">(L199+K199+M199)/E199</f>
        <v>75</v>
      </c>
      <c r="O199" s="2">
        <f t="shared" ref="O199" si="570">N199*E199</f>
        <v>7500</v>
      </c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s="26" customFormat="1" ht="15" customHeight="1">
      <c r="A200" s="15">
        <v>43797</v>
      </c>
      <c r="B200" s="3" t="s">
        <v>19</v>
      </c>
      <c r="C200" s="16" t="s">
        <v>10</v>
      </c>
      <c r="D200" s="16">
        <v>32000</v>
      </c>
      <c r="E200" s="17">
        <v>100</v>
      </c>
      <c r="F200" s="3" t="s">
        <v>7</v>
      </c>
      <c r="G200" s="35">
        <v>275</v>
      </c>
      <c r="H200" s="35">
        <v>320</v>
      </c>
      <c r="I200" s="1">
        <v>0</v>
      </c>
      <c r="J200" s="1">
        <v>0</v>
      </c>
      <c r="K200" s="1">
        <f t="shared" ref="K200" si="571">(IF(F200="SELL",G200-H200,IF(F200="BUY",H200-G200)))*E200</f>
        <v>4500</v>
      </c>
      <c r="L200" s="1">
        <v>0</v>
      </c>
      <c r="M200" s="1">
        <v>0</v>
      </c>
      <c r="N200" s="2">
        <f t="shared" ref="N200" si="572">(L200+K200+M200)/E200</f>
        <v>45</v>
      </c>
      <c r="O200" s="2">
        <f t="shared" ref="O200" si="573">N200*E200</f>
        <v>4500</v>
      </c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s="26" customFormat="1" ht="15" customHeight="1">
      <c r="A201" s="15">
        <v>43796</v>
      </c>
      <c r="B201" s="3" t="s">
        <v>18</v>
      </c>
      <c r="C201" s="16" t="s">
        <v>9</v>
      </c>
      <c r="D201" s="16">
        <v>12100</v>
      </c>
      <c r="E201" s="17">
        <v>375</v>
      </c>
      <c r="F201" s="3" t="s">
        <v>7</v>
      </c>
      <c r="G201" s="35">
        <v>28</v>
      </c>
      <c r="H201" s="35">
        <v>30</v>
      </c>
      <c r="I201" s="1">
        <v>0</v>
      </c>
      <c r="J201" s="1">
        <v>0</v>
      </c>
      <c r="K201" s="1">
        <f t="shared" ref="K201" si="574">(IF(F201="SELL",G201-H201,IF(F201="BUY",H201-G201)))*E201</f>
        <v>750</v>
      </c>
      <c r="L201" s="1">
        <v>0</v>
      </c>
      <c r="M201" s="1">
        <v>0</v>
      </c>
      <c r="N201" s="2">
        <f t="shared" ref="N201" si="575">(L201+K201+M201)/E201</f>
        <v>2</v>
      </c>
      <c r="O201" s="2">
        <f t="shared" ref="O201" si="576">N201*E201</f>
        <v>750</v>
      </c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1:35" s="26" customFormat="1" ht="15" customHeight="1">
      <c r="A202" s="15">
        <v>43794</v>
      </c>
      <c r="B202" s="3" t="s">
        <v>19</v>
      </c>
      <c r="C202" s="16" t="s">
        <v>10</v>
      </c>
      <c r="D202" s="16">
        <v>31300</v>
      </c>
      <c r="E202" s="17">
        <v>100</v>
      </c>
      <c r="F202" s="3" t="s">
        <v>7</v>
      </c>
      <c r="G202" s="35">
        <v>215</v>
      </c>
      <c r="H202" s="35">
        <v>249</v>
      </c>
      <c r="I202" s="1">
        <v>295</v>
      </c>
      <c r="J202" s="1">
        <v>0</v>
      </c>
      <c r="K202" s="1">
        <f t="shared" ref="K202" si="577">(IF(F202="SELL",G202-H202,IF(F202="BUY",H202-G202)))*E202</f>
        <v>3400</v>
      </c>
      <c r="L202" s="1">
        <f>E202*46</f>
        <v>4600</v>
      </c>
      <c r="M202" s="1">
        <v>0</v>
      </c>
      <c r="N202" s="2">
        <f t="shared" ref="N202" si="578">(L202+K202+M202)/E202</f>
        <v>80</v>
      </c>
      <c r="O202" s="2">
        <f t="shared" ref="O202" si="579">N202*E202</f>
        <v>8000</v>
      </c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1:35" s="26" customFormat="1" ht="15" customHeight="1">
      <c r="A203" s="15">
        <v>43789</v>
      </c>
      <c r="B203" s="3" t="s">
        <v>19</v>
      </c>
      <c r="C203" s="16" t="s">
        <v>10</v>
      </c>
      <c r="D203" s="16">
        <v>31300</v>
      </c>
      <c r="E203" s="17">
        <v>100</v>
      </c>
      <c r="F203" s="3" t="s">
        <v>7</v>
      </c>
      <c r="G203" s="35">
        <v>190</v>
      </c>
      <c r="H203" s="35">
        <v>115</v>
      </c>
      <c r="I203" s="1">
        <v>0</v>
      </c>
      <c r="J203" s="1">
        <v>0</v>
      </c>
      <c r="K203" s="1">
        <f t="shared" ref="K203" si="580">(IF(F203="SELL",G203-H203,IF(F203="BUY",H203-G203)))*E203</f>
        <v>-7500</v>
      </c>
      <c r="L203" s="1">
        <v>0</v>
      </c>
      <c r="M203" s="1">
        <v>0</v>
      </c>
      <c r="N203" s="2">
        <f t="shared" ref="N203" si="581">(L203+K203+M203)/E203</f>
        <v>-75</v>
      </c>
      <c r="O203" s="2">
        <f t="shared" ref="O203" si="582">N203*E203</f>
        <v>-7500</v>
      </c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1:35" s="26" customFormat="1" ht="15" customHeight="1">
      <c r="A204" s="15">
        <v>43788</v>
      </c>
      <c r="B204" s="3" t="s">
        <v>19</v>
      </c>
      <c r="C204" s="16" t="s">
        <v>10</v>
      </c>
      <c r="D204" s="16">
        <v>31200</v>
      </c>
      <c r="E204" s="17">
        <v>100</v>
      </c>
      <c r="F204" s="3" t="s">
        <v>7</v>
      </c>
      <c r="G204" s="35">
        <v>240</v>
      </c>
      <c r="H204" s="35">
        <v>229.55</v>
      </c>
      <c r="I204" s="1">
        <v>0</v>
      </c>
      <c r="J204" s="1">
        <v>0</v>
      </c>
      <c r="K204" s="1">
        <f t="shared" ref="K204" si="583">(IF(F204="SELL",G204-H204,IF(F204="BUY",H204-G204)))*E204</f>
        <v>-1044.9999999999989</v>
      </c>
      <c r="L204" s="1">
        <v>0</v>
      </c>
      <c r="M204" s="1">
        <v>0</v>
      </c>
      <c r="N204" s="2">
        <f t="shared" ref="N204" si="584">(L204+K204+M204)/E204</f>
        <v>-10.449999999999989</v>
      </c>
      <c r="O204" s="2">
        <f t="shared" ref="O204" si="585">N204*E204</f>
        <v>-1044.9999999999989</v>
      </c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1:35" s="26" customFormat="1" ht="15" customHeight="1">
      <c r="A205" s="15">
        <v>43784</v>
      </c>
      <c r="B205" s="3" t="s">
        <v>19</v>
      </c>
      <c r="C205" s="16" t="s">
        <v>10</v>
      </c>
      <c r="D205" s="16">
        <v>31200</v>
      </c>
      <c r="E205" s="17">
        <v>100</v>
      </c>
      <c r="F205" s="3" t="s">
        <v>7</v>
      </c>
      <c r="G205" s="35">
        <v>240</v>
      </c>
      <c r="H205" s="35">
        <v>220</v>
      </c>
      <c r="I205" s="1">
        <v>0</v>
      </c>
      <c r="J205" s="1">
        <v>0</v>
      </c>
      <c r="K205" s="1">
        <f t="shared" ref="K205" si="586">(IF(F205="SELL",G205-H205,IF(F205="BUY",H205-G205)))*E205</f>
        <v>-2000</v>
      </c>
      <c r="L205" s="1">
        <v>0</v>
      </c>
      <c r="M205" s="1">
        <v>0</v>
      </c>
      <c r="N205" s="2">
        <f t="shared" ref="N205" si="587">(L205+K205+M205)/E205</f>
        <v>-20</v>
      </c>
      <c r="O205" s="2">
        <f t="shared" ref="O205" si="588">N205*E205</f>
        <v>-2000</v>
      </c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1:35" s="26" customFormat="1" ht="15" customHeight="1">
      <c r="A206" s="15">
        <v>43783</v>
      </c>
      <c r="B206" s="3" t="s">
        <v>19</v>
      </c>
      <c r="C206" s="16" t="s">
        <v>10</v>
      </c>
      <c r="D206" s="16">
        <v>30700</v>
      </c>
      <c r="E206" s="17">
        <v>100</v>
      </c>
      <c r="F206" s="3" t="s">
        <v>7</v>
      </c>
      <c r="G206" s="35">
        <v>60</v>
      </c>
      <c r="H206" s="35">
        <v>100</v>
      </c>
      <c r="I206" s="1">
        <v>0</v>
      </c>
      <c r="J206" s="1">
        <v>0</v>
      </c>
      <c r="K206" s="1">
        <f t="shared" ref="K206" si="589">(IF(F206="SELL",G206-H206,IF(F206="BUY",H206-G206)))*E206</f>
        <v>4000</v>
      </c>
      <c r="L206" s="1">
        <v>0</v>
      </c>
      <c r="M206" s="1">
        <v>0</v>
      </c>
      <c r="N206" s="2">
        <f t="shared" ref="N206" si="590">(L206+K206+M206)/E206</f>
        <v>40</v>
      </c>
      <c r="O206" s="2">
        <f t="shared" ref="O206" si="591">N206*E206</f>
        <v>4000</v>
      </c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1:35" s="26" customFormat="1" ht="15" customHeight="1">
      <c r="A207" s="15">
        <v>43780</v>
      </c>
      <c r="B207" s="3" t="s">
        <v>19</v>
      </c>
      <c r="C207" s="16" t="s">
        <v>10</v>
      </c>
      <c r="D207" s="16">
        <v>30900</v>
      </c>
      <c r="E207" s="17">
        <v>100</v>
      </c>
      <c r="F207" s="3" t="s">
        <v>7</v>
      </c>
      <c r="G207" s="35">
        <v>210</v>
      </c>
      <c r="H207" s="35">
        <v>250</v>
      </c>
      <c r="I207" s="1">
        <v>300</v>
      </c>
      <c r="J207" s="1">
        <v>0</v>
      </c>
      <c r="K207" s="1">
        <f t="shared" ref="K207" si="592">(IF(F207="SELL",G207-H207,IF(F207="BUY",H207-G207)))*E207</f>
        <v>4000</v>
      </c>
      <c r="L207" s="1">
        <f>E207*50</f>
        <v>5000</v>
      </c>
      <c r="M207" s="1">
        <v>0</v>
      </c>
      <c r="N207" s="2">
        <f t="shared" ref="N207" si="593">(L207+K207+M207)/E207</f>
        <v>90</v>
      </c>
      <c r="O207" s="2">
        <f t="shared" ref="O207" si="594">N207*E207</f>
        <v>9000</v>
      </c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1:35" s="26" customFormat="1" ht="15" customHeight="1">
      <c r="A208" s="15">
        <v>43777</v>
      </c>
      <c r="B208" s="3" t="s">
        <v>18</v>
      </c>
      <c r="C208" s="16" t="s">
        <v>9</v>
      </c>
      <c r="D208" s="16">
        <v>31000</v>
      </c>
      <c r="E208" s="17">
        <v>100</v>
      </c>
      <c r="F208" s="3" t="s">
        <v>7</v>
      </c>
      <c r="G208" s="35">
        <v>105</v>
      </c>
      <c r="H208" s="35">
        <v>113</v>
      </c>
      <c r="I208" s="1">
        <v>0</v>
      </c>
      <c r="J208" s="1">
        <v>0</v>
      </c>
      <c r="K208" s="1">
        <f t="shared" ref="K208" si="595">(IF(F208="SELL",G208-H208,IF(F208="BUY",H208-G208)))*E208</f>
        <v>800</v>
      </c>
      <c r="L208" s="1">
        <v>0</v>
      </c>
      <c r="M208" s="1">
        <v>0</v>
      </c>
      <c r="N208" s="2">
        <f t="shared" ref="N208" si="596">(L208+K208+M208)/E208</f>
        <v>8</v>
      </c>
      <c r="O208" s="2">
        <f t="shared" ref="O208" si="597">N208*E208</f>
        <v>800</v>
      </c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</row>
    <row r="209" spans="1:35" s="26" customFormat="1" ht="15" customHeight="1">
      <c r="A209" s="15">
        <v>43777</v>
      </c>
      <c r="B209" s="3" t="s">
        <v>19</v>
      </c>
      <c r="C209" s="16" t="s">
        <v>10</v>
      </c>
      <c r="D209" s="16">
        <v>31000</v>
      </c>
      <c r="E209" s="17">
        <v>100</v>
      </c>
      <c r="F209" s="3" t="s">
        <v>7</v>
      </c>
      <c r="G209" s="35">
        <v>260</v>
      </c>
      <c r="H209" s="35">
        <v>300</v>
      </c>
      <c r="I209" s="1">
        <v>323</v>
      </c>
      <c r="J209" s="1">
        <v>0</v>
      </c>
      <c r="K209" s="1">
        <f t="shared" ref="K209" si="598">(IF(F209="SELL",G209-H209,IF(F209="BUY",H209-G209)))*E209</f>
        <v>4000</v>
      </c>
      <c r="L209" s="1">
        <f>E209*23</f>
        <v>2300</v>
      </c>
      <c r="M209" s="1">
        <v>0</v>
      </c>
      <c r="N209" s="2">
        <f t="shared" ref="N209" si="599">(L209+K209+M209)/E209</f>
        <v>63</v>
      </c>
      <c r="O209" s="2">
        <f t="shared" ref="O209" si="600">N209*E209</f>
        <v>6300</v>
      </c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</row>
    <row r="210" spans="1:35" s="26" customFormat="1" ht="15" customHeight="1">
      <c r="A210" s="15">
        <v>43775</v>
      </c>
      <c r="B210" s="3" t="s">
        <v>18</v>
      </c>
      <c r="C210" s="16" t="s">
        <v>10</v>
      </c>
      <c r="D210" s="16">
        <v>29900</v>
      </c>
      <c r="E210" s="17">
        <v>375</v>
      </c>
      <c r="F210" s="3" t="s">
        <v>7</v>
      </c>
      <c r="G210" s="35">
        <v>115</v>
      </c>
      <c r="H210" s="35">
        <v>140</v>
      </c>
      <c r="I210" s="1">
        <v>162.9</v>
      </c>
      <c r="J210" s="1">
        <v>0</v>
      </c>
      <c r="K210" s="1">
        <f t="shared" ref="K210" si="601">(IF(F210="SELL",G210-H210,IF(F210="BUY",H210-G210)))*E210</f>
        <v>9375</v>
      </c>
      <c r="L210" s="1">
        <f>E210*22.9</f>
        <v>8587.5</v>
      </c>
      <c r="M210" s="1">
        <v>0</v>
      </c>
      <c r="N210" s="2">
        <f t="shared" ref="N210" si="602">(L210+K210+M210)/E210</f>
        <v>47.9</v>
      </c>
      <c r="O210" s="2">
        <f t="shared" ref="O210" si="603">N210*E210</f>
        <v>17962.5</v>
      </c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</row>
    <row r="211" spans="1:35" s="26" customFormat="1" ht="15" customHeight="1">
      <c r="A211" s="15">
        <v>43775</v>
      </c>
      <c r="B211" s="3" t="s">
        <v>19</v>
      </c>
      <c r="C211" s="16" t="s">
        <v>9</v>
      </c>
      <c r="D211" s="16">
        <v>29900</v>
      </c>
      <c r="E211" s="17">
        <v>100</v>
      </c>
      <c r="F211" s="3" t="s">
        <v>7</v>
      </c>
      <c r="G211" s="35">
        <v>125</v>
      </c>
      <c r="H211" s="35">
        <v>85</v>
      </c>
      <c r="I211" s="1">
        <v>0</v>
      </c>
      <c r="J211" s="1">
        <v>0</v>
      </c>
      <c r="K211" s="1">
        <f t="shared" ref="K211" si="604">(IF(F211="SELL",G211-H211,IF(F211="BUY",H211-G211)))*E211</f>
        <v>-4000</v>
      </c>
      <c r="L211" s="1">
        <v>0</v>
      </c>
      <c r="M211" s="1">
        <v>0</v>
      </c>
      <c r="N211" s="2">
        <f t="shared" ref="N211" si="605">(L211+K211+M211)/E211</f>
        <v>-40</v>
      </c>
      <c r="O211" s="2">
        <f t="shared" ref="O211" si="606">N211*E211</f>
        <v>-4000</v>
      </c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1:35" s="26" customFormat="1" ht="15" customHeight="1">
      <c r="A212" s="15">
        <v>43774</v>
      </c>
      <c r="B212" s="3" t="s">
        <v>18</v>
      </c>
      <c r="C212" s="16" t="s">
        <v>9</v>
      </c>
      <c r="D212" s="16">
        <v>12000</v>
      </c>
      <c r="E212" s="17">
        <v>375</v>
      </c>
      <c r="F212" s="3" t="s">
        <v>7</v>
      </c>
      <c r="G212" s="35">
        <v>122</v>
      </c>
      <c r="H212" s="35">
        <v>145</v>
      </c>
      <c r="I212" s="1">
        <v>0</v>
      </c>
      <c r="J212" s="1">
        <v>0</v>
      </c>
      <c r="K212" s="1">
        <f t="shared" ref="K212" si="607">(IF(F212="SELL",G212-H212,IF(F212="BUY",H212-G212)))*E212</f>
        <v>8625</v>
      </c>
      <c r="L212" s="1">
        <v>0</v>
      </c>
      <c r="M212" s="1">
        <v>0</v>
      </c>
      <c r="N212" s="2">
        <f t="shared" ref="N212" si="608">(L212+K212+M212)/E212</f>
        <v>23</v>
      </c>
      <c r="O212" s="2">
        <f t="shared" ref="O212" si="609">N212*E212</f>
        <v>8625</v>
      </c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</row>
    <row r="213" spans="1:35" s="26" customFormat="1" ht="15" customHeight="1">
      <c r="A213" s="15">
        <v>43774</v>
      </c>
      <c r="B213" s="3" t="s">
        <v>19</v>
      </c>
      <c r="C213" s="16" t="s">
        <v>10</v>
      </c>
      <c r="D213" s="16">
        <v>30700</v>
      </c>
      <c r="E213" s="17">
        <v>100</v>
      </c>
      <c r="F213" s="3" t="s">
        <v>7</v>
      </c>
      <c r="G213" s="35">
        <v>120</v>
      </c>
      <c r="H213" s="35">
        <v>92</v>
      </c>
      <c r="I213" s="1">
        <v>0</v>
      </c>
      <c r="J213" s="1">
        <v>0</v>
      </c>
      <c r="K213" s="1">
        <f t="shared" ref="K213:K214" si="610">(IF(F213="SELL",G213-H213,IF(F213="BUY",H213-G213)))*E213</f>
        <v>-2800</v>
      </c>
      <c r="L213" s="1">
        <v>0</v>
      </c>
      <c r="M213" s="1">
        <v>0</v>
      </c>
      <c r="N213" s="2">
        <f t="shared" ref="N213:N214" si="611">(L213+K213+M213)/E213</f>
        <v>-28</v>
      </c>
      <c r="O213" s="2">
        <f t="shared" ref="O213:O214" si="612">N213*E213</f>
        <v>-2800</v>
      </c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</row>
    <row r="214" spans="1:35" s="26" customFormat="1" ht="15" customHeight="1">
      <c r="A214" s="15">
        <v>43773</v>
      </c>
      <c r="B214" s="3" t="s">
        <v>18</v>
      </c>
      <c r="C214" s="16" t="s">
        <v>10</v>
      </c>
      <c r="D214" s="16">
        <v>11900</v>
      </c>
      <c r="E214" s="17">
        <v>375</v>
      </c>
      <c r="F214" s="3" t="s">
        <v>7</v>
      </c>
      <c r="G214" s="35">
        <v>80</v>
      </c>
      <c r="H214" s="35">
        <v>95</v>
      </c>
      <c r="I214" s="1">
        <v>0</v>
      </c>
      <c r="J214" s="1">
        <v>0</v>
      </c>
      <c r="K214" s="1">
        <f t="shared" si="610"/>
        <v>5625</v>
      </c>
      <c r="L214" s="1">
        <v>0</v>
      </c>
      <c r="M214" s="1">
        <v>0</v>
      </c>
      <c r="N214" s="2">
        <f t="shared" si="611"/>
        <v>15</v>
      </c>
      <c r="O214" s="2">
        <f t="shared" si="612"/>
        <v>5625</v>
      </c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</row>
    <row r="215" spans="1:35" s="26" customFormat="1" ht="15" customHeight="1">
      <c r="A215" s="15">
        <v>43773</v>
      </c>
      <c r="B215" s="3" t="s">
        <v>18</v>
      </c>
      <c r="C215" s="16" t="s">
        <v>10</v>
      </c>
      <c r="D215" s="16">
        <v>11950</v>
      </c>
      <c r="E215" s="17">
        <v>375</v>
      </c>
      <c r="F215" s="3" t="s">
        <v>7</v>
      </c>
      <c r="G215" s="35">
        <v>102</v>
      </c>
      <c r="H215" s="35">
        <v>80</v>
      </c>
      <c r="I215" s="1">
        <v>0</v>
      </c>
      <c r="J215" s="1">
        <v>0</v>
      </c>
      <c r="K215" s="1">
        <f t="shared" ref="K215" si="613">(IF(F215="SELL",G215-H215,IF(F215="BUY",H215-G215)))*E215</f>
        <v>-8250</v>
      </c>
      <c r="L215" s="1">
        <v>0</v>
      </c>
      <c r="M215" s="1">
        <v>0</v>
      </c>
      <c r="N215" s="2">
        <f t="shared" ref="N215" si="614">(L215+K215+M215)/E215</f>
        <v>-22</v>
      </c>
      <c r="O215" s="2">
        <f t="shared" ref="O215" si="615">N215*E215</f>
        <v>-8250</v>
      </c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1:35" s="26" customFormat="1" ht="15" customHeight="1">
      <c r="A216" s="15">
        <v>43770</v>
      </c>
      <c r="B216" s="3" t="s">
        <v>19</v>
      </c>
      <c r="C216" s="16" t="s">
        <v>10</v>
      </c>
      <c r="D216" s="16">
        <v>30500</v>
      </c>
      <c r="E216" s="17">
        <v>100</v>
      </c>
      <c r="F216" s="3" t="s">
        <v>7</v>
      </c>
      <c r="G216" s="35">
        <v>215</v>
      </c>
      <c r="H216" s="35">
        <v>215</v>
      </c>
      <c r="I216" s="1">
        <v>0</v>
      </c>
      <c r="J216" s="1">
        <v>0</v>
      </c>
      <c r="K216" s="1">
        <f t="shared" ref="K216" si="616">(IF(F216="SELL",G216-H216,IF(F216="BUY",H216-G216)))*E216</f>
        <v>0</v>
      </c>
      <c r="L216" s="1">
        <v>0</v>
      </c>
      <c r="M216" s="1">
        <v>0</v>
      </c>
      <c r="N216" s="2">
        <f t="shared" ref="N216" si="617">(L216+K216+M216)/E216</f>
        <v>0</v>
      </c>
      <c r="O216" s="2">
        <f t="shared" ref="O216" si="618">N216*E216</f>
        <v>0</v>
      </c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1:35" s="26" customFormat="1" ht="15" customHeight="1">
      <c r="A217" s="15">
        <v>43769</v>
      </c>
      <c r="B217" s="3" t="s">
        <v>18</v>
      </c>
      <c r="C217" s="16" t="s">
        <v>10</v>
      </c>
      <c r="D217" s="16">
        <v>1200</v>
      </c>
      <c r="E217" s="17">
        <v>375</v>
      </c>
      <c r="F217" s="3" t="s">
        <v>7</v>
      </c>
      <c r="G217" s="35">
        <v>60</v>
      </c>
      <c r="H217" s="35">
        <v>45</v>
      </c>
      <c r="I217" s="1">
        <v>0</v>
      </c>
      <c r="J217" s="1">
        <v>0</v>
      </c>
      <c r="K217" s="1">
        <f t="shared" ref="K217" si="619">(IF(F217="SELL",G217-H217,IF(F217="BUY",H217-G217)))*E217</f>
        <v>-5625</v>
      </c>
      <c r="L217" s="1">
        <v>0</v>
      </c>
      <c r="M217" s="1">
        <v>0</v>
      </c>
      <c r="N217" s="2">
        <f t="shared" ref="N217" si="620">(L217+K217+M217)/E217</f>
        <v>-15</v>
      </c>
      <c r="O217" s="2">
        <f t="shared" ref="O217" si="621">N217*E217</f>
        <v>-5625</v>
      </c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1:35" s="26" customFormat="1" ht="15" customHeight="1">
      <c r="A218" s="15">
        <v>43769</v>
      </c>
      <c r="B218" s="3" t="s">
        <v>19</v>
      </c>
      <c r="C218" s="16" t="s">
        <v>10</v>
      </c>
      <c r="D218" s="16">
        <v>30500</v>
      </c>
      <c r="E218" s="17">
        <v>100</v>
      </c>
      <c r="F218" s="3" t="s">
        <v>7</v>
      </c>
      <c r="G218" s="35">
        <v>35</v>
      </c>
      <c r="H218" s="35">
        <v>15</v>
      </c>
      <c r="I218" s="1">
        <v>0</v>
      </c>
      <c r="J218" s="1">
        <v>0</v>
      </c>
      <c r="K218" s="1">
        <f t="shared" ref="K218" si="622">(IF(F218="SELL",G218-H218,IF(F218="BUY",H218-G218)))*E218</f>
        <v>-2000</v>
      </c>
      <c r="L218" s="1">
        <v>0</v>
      </c>
      <c r="M218" s="1">
        <v>0</v>
      </c>
      <c r="N218" s="2">
        <f t="shared" ref="N218" si="623">(L218+K218+M218)/E218</f>
        <v>-20</v>
      </c>
      <c r="O218" s="2">
        <f t="shared" ref="O218" si="624">N218*E218</f>
        <v>-2000</v>
      </c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1:35" s="26" customFormat="1" ht="15" customHeight="1">
      <c r="A219" s="15">
        <v>43768</v>
      </c>
      <c r="B219" s="3" t="s">
        <v>19</v>
      </c>
      <c r="C219" s="16" t="s">
        <v>10</v>
      </c>
      <c r="D219" s="16">
        <v>30200</v>
      </c>
      <c r="E219" s="17">
        <v>100</v>
      </c>
      <c r="F219" s="3" t="s">
        <v>7</v>
      </c>
      <c r="G219" s="35">
        <v>140</v>
      </c>
      <c r="H219" s="35">
        <v>167</v>
      </c>
      <c r="I219" s="1">
        <v>0</v>
      </c>
      <c r="J219" s="1">
        <v>0</v>
      </c>
      <c r="K219" s="1">
        <f t="shared" ref="K219" si="625">(IF(F219="SELL",G219-H219,IF(F219="BUY",H219-G219)))*E219</f>
        <v>2700</v>
      </c>
      <c r="L219" s="1">
        <v>0</v>
      </c>
      <c r="M219" s="1">
        <v>0</v>
      </c>
      <c r="N219" s="2">
        <f t="shared" ref="N219" si="626">(L219+K219+M219)/E219</f>
        <v>27</v>
      </c>
      <c r="O219" s="2">
        <f t="shared" ref="O219" si="627">N219*E219</f>
        <v>2700</v>
      </c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1:35" s="26" customFormat="1" ht="15" customHeight="1">
      <c r="A220" s="15">
        <v>43767</v>
      </c>
      <c r="B220" s="3" t="s">
        <v>19</v>
      </c>
      <c r="C220" s="16" t="s">
        <v>10</v>
      </c>
      <c r="D220" s="16">
        <v>29900</v>
      </c>
      <c r="E220" s="17">
        <v>100</v>
      </c>
      <c r="F220" s="3" t="s">
        <v>7</v>
      </c>
      <c r="G220" s="35">
        <v>120</v>
      </c>
      <c r="H220" s="35">
        <v>150</v>
      </c>
      <c r="I220" s="1">
        <v>200</v>
      </c>
      <c r="J220" s="1">
        <v>300</v>
      </c>
      <c r="K220" s="1">
        <f t="shared" ref="K220" si="628">(IF(F220="SELL",G220-H220,IF(F220="BUY",H220-G220)))*E220</f>
        <v>3000</v>
      </c>
      <c r="L220" s="1">
        <f>E220*50</f>
        <v>5000</v>
      </c>
      <c r="M220" s="1">
        <f>E220*100</f>
        <v>10000</v>
      </c>
      <c r="N220" s="2">
        <f t="shared" ref="N220" si="629">(L220+K220+M220)/E220</f>
        <v>180</v>
      </c>
      <c r="O220" s="2">
        <f t="shared" ref="O220" si="630">N220*E220</f>
        <v>18000</v>
      </c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:35" s="26" customFormat="1" ht="15" customHeight="1">
      <c r="A221" s="15">
        <v>43763</v>
      </c>
      <c r="B221" s="3" t="s">
        <v>19</v>
      </c>
      <c r="C221" s="16" t="s">
        <v>9</v>
      </c>
      <c r="D221" s="16">
        <v>29000</v>
      </c>
      <c r="E221" s="17">
        <v>100</v>
      </c>
      <c r="F221" s="3" t="s">
        <v>7</v>
      </c>
      <c r="G221" s="35">
        <v>263</v>
      </c>
      <c r="H221" s="35">
        <v>310</v>
      </c>
      <c r="I221" s="1">
        <v>0</v>
      </c>
      <c r="J221" s="1">
        <v>0</v>
      </c>
      <c r="K221" s="1">
        <f t="shared" ref="K221" si="631">(IF(F221="SELL",G221-H221,IF(F221="BUY",H221-G221)))*E221</f>
        <v>4700</v>
      </c>
      <c r="L221" s="1">
        <v>0</v>
      </c>
      <c r="M221" s="1">
        <v>0</v>
      </c>
      <c r="N221" s="2">
        <f t="shared" ref="N221" si="632">(L221+K221+M221)/E221</f>
        <v>47</v>
      </c>
      <c r="O221" s="2">
        <f t="shared" ref="O221" si="633">N221*E221</f>
        <v>4700</v>
      </c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1:35" s="26" customFormat="1" ht="15" customHeight="1">
      <c r="A222" s="15">
        <v>43761</v>
      </c>
      <c r="B222" s="3" t="s">
        <v>19</v>
      </c>
      <c r="C222" s="16" t="s">
        <v>9</v>
      </c>
      <c r="D222" s="16">
        <v>28700</v>
      </c>
      <c r="E222" s="17">
        <v>100</v>
      </c>
      <c r="F222" s="3" t="s">
        <v>7</v>
      </c>
      <c r="G222" s="35">
        <v>70</v>
      </c>
      <c r="H222" s="35">
        <v>30</v>
      </c>
      <c r="I222" s="1">
        <v>0</v>
      </c>
      <c r="J222" s="1">
        <v>0</v>
      </c>
      <c r="K222" s="1">
        <f t="shared" ref="K222" si="634">(IF(F222="SELL",G222-H222,IF(F222="BUY",H222-G222)))*E222</f>
        <v>-4000</v>
      </c>
      <c r="L222" s="1">
        <v>0</v>
      </c>
      <c r="M222" s="1">
        <v>0</v>
      </c>
      <c r="N222" s="2">
        <f t="shared" ref="N222" si="635">(L222+K222+M222)/E222</f>
        <v>-40</v>
      </c>
      <c r="O222" s="2">
        <f t="shared" ref="O222" si="636">N222*E222</f>
        <v>-4000</v>
      </c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1:35" s="26" customFormat="1" ht="15" customHeight="1">
      <c r="A223" s="15">
        <v>43760</v>
      </c>
      <c r="B223" s="3" t="s">
        <v>19</v>
      </c>
      <c r="C223" s="16" t="s">
        <v>10</v>
      </c>
      <c r="D223" s="16">
        <v>30100</v>
      </c>
      <c r="E223" s="17">
        <v>100</v>
      </c>
      <c r="F223" s="3" t="s">
        <v>7</v>
      </c>
      <c r="G223" s="35">
        <v>85</v>
      </c>
      <c r="H223" s="35">
        <v>139.85</v>
      </c>
      <c r="I223" s="1">
        <v>0</v>
      </c>
      <c r="J223" s="1">
        <v>0</v>
      </c>
      <c r="K223" s="1">
        <f t="shared" ref="K223" si="637">(IF(F223="SELL",G223-H223,IF(F223="BUY",H223-G223)))*E223</f>
        <v>5484.9999999999991</v>
      </c>
      <c r="L223" s="1">
        <v>0</v>
      </c>
      <c r="M223" s="1">
        <v>0</v>
      </c>
      <c r="N223" s="2">
        <f t="shared" ref="N223" si="638">(L223+K223+M223)/E223</f>
        <v>54.849999999999994</v>
      </c>
      <c r="O223" s="2">
        <f t="shared" ref="O223" si="639">N223*E223</f>
        <v>5484.9999999999991</v>
      </c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1:35" s="26" customFormat="1" ht="15" customHeight="1">
      <c r="A224" s="15">
        <v>43756</v>
      </c>
      <c r="B224" s="3" t="s">
        <v>19</v>
      </c>
      <c r="C224" s="16" t="s">
        <v>10</v>
      </c>
      <c r="D224" s="16">
        <v>29500</v>
      </c>
      <c r="E224" s="17">
        <v>100</v>
      </c>
      <c r="F224" s="3" t="s">
        <v>7</v>
      </c>
      <c r="G224" s="35">
        <v>180</v>
      </c>
      <c r="H224" s="35">
        <v>250</v>
      </c>
      <c r="I224" s="1">
        <v>0</v>
      </c>
      <c r="J224" s="1">
        <v>0</v>
      </c>
      <c r="K224" s="1">
        <f t="shared" ref="K224" si="640">(IF(F224="SELL",G224-H224,IF(F224="BUY",H224-G224)))*E224</f>
        <v>7000</v>
      </c>
      <c r="L224" s="1">
        <v>0</v>
      </c>
      <c r="M224" s="1">
        <v>0</v>
      </c>
      <c r="N224" s="2">
        <f t="shared" ref="N224" si="641">(L224+K224+M224)/E224</f>
        <v>70</v>
      </c>
      <c r="O224" s="2">
        <f t="shared" ref="O224" si="642">N224*E224</f>
        <v>7000</v>
      </c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1:35" s="7" customFormat="1" ht="15" customHeight="1">
      <c r="A225" s="15">
        <v>43755</v>
      </c>
      <c r="B225" s="3" t="s">
        <v>19</v>
      </c>
      <c r="C225" s="16" t="s">
        <v>10</v>
      </c>
      <c r="D225" s="16">
        <v>29500</v>
      </c>
      <c r="E225" s="17">
        <v>100</v>
      </c>
      <c r="F225" s="3" t="s">
        <v>7</v>
      </c>
      <c r="G225" s="35">
        <v>200</v>
      </c>
      <c r="H225" s="35">
        <v>210</v>
      </c>
      <c r="I225" s="1">
        <v>0</v>
      </c>
      <c r="J225" s="1">
        <v>0</v>
      </c>
      <c r="K225" s="1">
        <f t="shared" ref="K225" si="643">(IF(F225="SELL",G225-H225,IF(F225="BUY",H225-G225)))*E225</f>
        <v>1000</v>
      </c>
      <c r="L225" s="1">
        <v>0</v>
      </c>
      <c r="M225" s="1">
        <v>0</v>
      </c>
      <c r="N225" s="2">
        <f t="shared" ref="N225" si="644">(L225+K225+M225)/E225</f>
        <v>10</v>
      </c>
      <c r="O225" s="2">
        <f t="shared" ref="O225" si="645">N225*E225</f>
        <v>1000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s="7" customFormat="1" ht="15" customHeight="1">
      <c r="A226" s="15">
        <v>43754</v>
      </c>
      <c r="B226" s="3" t="s">
        <v>19</v>
      </c>
      <c r="C226" s="16" t="s">
        <v>9</v>
      </c>
      <c r="D226" s="16">
        <v>29100</v>
      </c>
      <c r="E226" s="17">
        <v>100</v>
      </c>
      <c r="F226" s="3" t="s">
        <v>7</v>
      </c>
      <c r="G226" s="35">
        <v>110</v>
      </c>
      <c r="H226" s="35">
        <v>49</v>
      </c>
      <c r="I226" s="1">
        <v>0</v>
      </c>
      <c r="J226" s="1">
        <v>0</v>
      </c>
      <c r="K226" s="1">
        <f t="shared" ref="K226" si="646">(IF(F226="SELL",G226-H226,IF(F226="BUY",H226-G226)))*E226</f>
        <v>-6100</v>
      </c>
      <c r="L226" s="1">
        <v>0</v>
      </c>
      <c r="M226" s="1">
        <v>0</v>
      </c>
      <c r="N226" s="2">
        <f t="shared" ref="N226" si="647">(L226+K226+M226)/E226</f>
        <v>-61</v>
      </c>
      <c r="O226" s="2">
        <f t="shared" ref="O226" si="648">N226*E226</f>
        <v>-6100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s="7" customFormat="1" ht="15" customHeight="1">
      <c r="A227" s="15">
        <v>43753</v>
      </c>
      <c r="B227" s="3" t="s">
        <v>19</v>
      </c>
      <c r="C227" s="16" t="s">
        <v>9</v>
      </c>
      <c r="D227" s="16">
        <v>28000</v>
      </c>
      <c r="E227" s="17">
        <v>100</v>
      </c>
      <c r="F227" s="3" t="s">
        <v>7</v>
      </c>
      <c r="G227" s="35">
        <v>177</v>
      </c>
      <c r="H227" s="35">
        <v>120</v>
      </c>
      <c r="I227" s="1">
        <v>0</v>
      </c>
      <c r="J227" s="1">
        <v>0</v>
      </c>
      <c r="K227" s="1">
        <f t="shared" ref="K227" si="649">(IF(F227="SELL",G227-H227,IF(F227="BUY",H227-G227)))*E227</f>
        <v>-5700</v>
      </c>
      <c r="L227" s="1">
        <v>0</v>
      </c>
      <c r="M227" s="1">
        <v>0</v>
      </c>
      <c r="N227" s="2">
        <f t="shared" ref="N227" si="650">(L227+K227+M227)/E227</f>
        <v>-57</v>
      </c>
      <c r="O227" s="2">
        <f t="shared" ref="O227" si="651">N227*E227</f>
        <v>-5700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s="7" customFormat="1" ht="15" customHeight="1">
      <c r="A228" s="15">
        <v>43749</v>
      </c>
      <c r="B228" s="3" t="s">
        <v>19</v>
      </c>
      <c r="C228" s="16" t="s">
        <v>9</v>
      </c>
      <c r="D228" s="16">
        <v>27300</v>
      </c>
      <c r="E228" s="17">
        <v>100</v>
      </c>
      <c r="F228" s="3" t="s">
        <v>7</v>
      </c>
      <c r="G228" s="35">
        <v>250</v>
      </c>
      <c r="H228" s="35">
        <v>140</v>
      </c>
      <c r="I228" s="1">
        <v>0</v>
      </c>
      <c r="J228" s="1">
        <v>0</v>
      </c>
      <c r="K228" s="1">
        <f t="shared" ref="K228" si="652">(IF(F228="SELL",G228-H228,IF(F228="BUY",H228-G228)))*E228</f>
        <v>-11000</v>
      </c>
      <c r="L228" s="1">
        <v>0</v>
      </c>
      <c r="M228" s="1">
        <v>0</v>
      </c>
      <c r="N228" s="2">
        <f t="shared" ref="N228" si="653">(L228+K228+M228)/E228</f>
        <v>-110</v>
      </c>
      <c r="O228" s="2">
        <f t="shared" ref="O228" si="654">N228*E228</f>
        <v>-11000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s="7" customFormat="1" ht="15" customHeight="1">
      <c r="A229" s="15">
        <v>43749</v>
      </c>
      <c r="B229" s="3" t="s">
        <v>18</v>
      </c>
      <c r="C229" s="16" t="s">
        <v>10</v>
      </c>
      <c r="D229" s="16">
        <v>11300</v>
      </c>
      <c r="E229" s="17">
        <v>375</v>
      </c>
      <c r="F229" s="3" t="s">
        <v>7</v>
      </c>
      <c r="G229" s="35">
        <v>110</v>
      </c>
      <c r="H229" s="35">
        <v>70</v>
      </c>
      <c r="I229" s="1">
        <v>0</v>
      </c>
      <c r="J229" s="1">
        <v>0</v>
      </c>
      <c r="K229" s="1">
        <f t="shared" ref="K229" si="655">(IF(F229="SELL",G229-H229,IF(F229="BUY",H229-G229)))*E229</f>
        <v>-15000</v>
      </c>
      <c r="L229" s="1">
        <v>0</v>
      </c>
      <c r="M229" s="1">
        <v>0</v>
      </c>
      <c r="N229" s="2">
        <f t="shared" ref="N229" si="656">(L229+K229+M229)/E229</f>
        <v>-40</v>
      </c>
      <c r="O229" s="2">
        <f t="shared" ref="O229" si="657">N229*E229</f>
        <v>-15000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s="7" customFormat="1" ht="15" customHeight="1">
      <c r="A230" s="15">
        <v>43749</v>
      </c>
      <c r="B230" s="3" t="s">
        <v>19</v>
      </c>
      <c r="C230" s="16" t="s">
        <v>10</v>
      </c>
      <c r="D230" s="16">
        <v>29300</v>
      </c>
      <c r="E230" s="17">
        <v>100</v>
      </c>
      <c r="F230" s="3" t="s">
        <v>7</v>
      </c>
      <c r="G230" s="35">
        <v>200</v>
      </c>
      <c r="H230" s="35">
        <v>90</v>
      </c>
      <c r="I230" s="1">
        <v>0</v>
      </c>
      <c r="J230" s="1">
        <v>0</v>
      </c>
      <c r="K230" s="1">
        <f t="shared" ref="K230" si="658">(IF(F230="SELL",G230-H230,IF(F230="BUY",H230-G230)))*E230</f>
        <v>-11000</v>
      </c>
      <c r="L230" s="1">
        <v>0</v>
      </c>
      <c r="M230" s="1">
        <v>0</v>
      </c>
      <c r="N230" s="2">
        <f t="shared" ref="N230" si="659">(L230+K230+M230)/E230</f>
        <v>-110</v>
      </c>
      <c r="O230" s="2">
        <f t="shared" ref="O230" si="660">N230*E230</f>
        <v>-11000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s="7" customFormat="1" ht="15" customHeight="1">
      <c r="A231" s="15">
        <v>43748</v>
      </c>
      <c r="B231" s="3" t="s">
        <v>19</v>
      </c>
      <c r="C231" s="16" t="s">
        <v>9</v>
      </c>
      <c r="D231" s="16">
        <v>27800</v>
      </c>
      <c r="E231" s="17">
        <v>100</v>
      </c>
      <c r="F231" s="3" t="s">
        <v>7</v>
      </c>
      <c r="G231" s="35">
        <v>330</v>
      </c>
      <c r="H231" s="35">
        <v>390</v>
      </c>
      <c r="I231" s="1">
        <v>0</v>
      </c>
      <c r="J231" s="1">
        <v>0</v>
      </c>
      <c r="K231" s="1">
        <f t="shared" ref="K231" si="661">(IF(F231="SELL",G231-H231,IF(F231="BUY",H231-G231)))*E231</f>
        <v>6000</v>
      </c>
      <c r="L231" s="1">
        <v>0</v>
      </c>
      <c r="M231" s="1">
        <v>0</v>
      </c>
      <c r="N231" s="2">
        <f t="shared" ref="N231" si="662">(L231+K231+M231)/E231</f>
        <v>60</v>
      </c>
      <c r="O231" s="2">
        <f t="shared" ref="O231" si="663">N231*E231</f>
        <v>6000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s="7" customFormat="1" ht="15" customHeight="1">
      <c r="A232" s="15">
        <v>43747</v>
      </c>
      <c r="B232" s="3" t="s">
        <v>19</v>
      </c>
      <c r="C232" s="16" t="s">
        <v>10</v>
      </c>
      <c r="D232" s="16">
        <v>28500</v>
      </c>
      <c r="E232" s="17">
        <v>100</v>
      </c>
      <c r="F232" s="3" t="s">
        <v>7</v>
      </c>
      <c r="G232" s="35">
        <v>160</v>
      </c>
      <c r="H232" s="35">
        <v>215</v>
      </c>
      <c r="I232" s="1">
        <v>265</v>
      </c>
      <c r="J232" s="1">
        <v>0</v>
      </c>
      <c r="K232" s="1">
        <f t="shared" ref="K232" si="664">(IF(F232="SELL",G232-H232,IF(F232="BUY",H232-G232)))*E232</f>
        <v>5500</v>
      </c>
      <c r="L232" s="1">
        <f>E232*50</f>
        <v>5000</v>
      </c>
      <c r="M232" s="1">
        <v>0</v>
      </c>
      <c r="N232" s="2">
        <f t="shared" ref="N232" si="665">(L232+K232+M232)/E232</f>
        <v>105</v>
      </c>
      <c r="O232" s="2">
        <f t="shared" ref="O232" si="666">N232*E232</f>
        <v>10500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s="7" customFormat="1" ht="15" customHeight="1">
      <c r="A233" s="15">
        <v>43745</v>
      </c>
      <c r="B233" s="3" t="s">
        <v>18</v>
      </c>
      <c r="C233" s="16" t="s">
        <v>10</v>
      </c>
      <c r="D233" s="16">
        <v>11300</v>
      </c>
      <c r="E233" s="17">
        <v>375</v>
      </c>
      <c r="F233" s="3" t="s">
        <v>7</v>
      </c>
      <c r="G233" s="35">
        <v>40</v>
      </c>
      <c r="H233" s="35">
        <v>20</v>
      </c>
      <c r="I233" s="1">
        <v>0</v>
      </c>
      <c r="J233" s="1">
        <v>0</v>
      </c>
      <c r="K233" s="1">
        <f t="shared" ref="K233" si="667">(IF(F233="SELL",G233-H233,IF(F233="BUY",H233-G233)))*E233</f>
        <v>-7500</v>
      </c>
      <c r="L233" s="1">
        <v>0</v>
      </c>
      <c r="M233" s="1">
        <v>0</v>
      </c>
      <c r="N233" s="2">
        <f t="shared" ref="N233" si="668">(L233+K233+M233)/E233</f>
        <v>-20</v>
      </c>
      <c r="O233" s="2">
        <f t="shared" ref="O233" si="669">N233*E233</f>
        <v>-7500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s="7" customFormat="1" ht="15" customHeight="1">
      <c r="A234" s="15">
        <v>43741</v>
      </c>
      <c r="B234" s="3" t="s">
        <v>19</v>
      </c>
      <c r="C234" s="16" t="s">
        <v>10</v>
      </c>
      <c r="D234" s="16">
        <v>29000</v>
      </c>
      <c r="E234" s="17">
        <v>100</v>
      </c>
      <c r="F234" s="3" t="s">
        <v>7</v>
      </c>
      <c r="G234" s="35">
        <v>110</v>
      </c>
      <c r="H234" s="35">
        <v>50</v>
      </c>
      <c r="I234" s="1">
        <v>0</v>
      </c>
      <c r="J234" s="1">
        <v>0</v>
      </c>
      <c r="K234" s="1">
        <f t="shared" ref="K234" si="670">(IF(F234="SELL",G234-H234,IF(F234="BUY",H234-G234)))*E234</f>
        <v>-6000</v>
      </c>
      <c r="L234" s="1">
        <v>0</v>
      </c>
      <c r="M234" s="1">
        <v>0</v>
      </c>
      <c r="N234" s="2">
        <f t="shared" ref="N234" si="671">(L234+K234+M234)/E234</f>
        <v>-60</v>
      </c>
      <c r="O234" s="2">
        <f t="shared" ref="O234" si="672">N234*E234</f>
        <v>-6000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s="7" customFormat="1" ht="15" customHeight="1">
      <c r="A235" s="15">
        <v>43738</v>
      </c>
      <c r="B235" s="3" t="s">
        <v>19</v>
      </c>
      <c r="C235" s="16" t="s">
        <v>9</v>
      </c>
      <c r="D235" s="16">
        <v>29200</v>
      </c>
      <c r="E235" s="17">
        <v>100</v>
      </c>
      <c r="F235" s="3" t="s">
        <v>7</v>
      </c>
      <c r="G235" s="35">
        <v>280</v>
      </c>
      <c r="H235" s="35">
        <v>320</v>
      </c>
      <c r="I235" s="1">
        <v>400</v>
      </c>
      <c r="J235" s="1">
        <v>0</v>
      </c>
      <c r="K235" s="1">
        <f t="shared" ref="K235" si="673">(IF(F235="SELL",G235-H235,IF(F235="BUY",H235-G235)))*E235</f>
        <v>4000</v>
      </c>
      <c r="L235" s="1">
        <f>E235*80</f>
        <v>8000</v>
      </c>
      <c r="M235" s="1">
        <v>0</v>
      </c>
      <c r="N235" s="2">
        <f t="shared" ref="N235" si="674">(L235+K235+M235)/E235</f>
        <v>120</v>
      </c>
      <c r="O235" s="2">
        <f t="shared" ref="O235" si="675">N235*E235</f>
        <v>12000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s="7" customFormat="1" ht="15" customHeight="1">
      <c r="A236" s="15">
        <v>43735</v>
      </c>
      <c r="B236" s="3" t="s">
        <v>19</v>
      </c>
      <c r="C236" s="16" t="s">
        <v>10</v>
      </c>
      <c r="D236" s="16">
        <v>30300</v>
      </c>
      <c r="E236" s="17">
        <v>100</v>
      </c>
      <c r="F236" s="3" t="s">
        <v>7</v>
      </c>
      <c r="G236" s="35">
        <v>350</v>
      </c>
      <c r="H236" s="35">
        <v>390</v>
      </c>
      <c r="I236" s="1">
        <v>0</v>
      </c>
      <c r="J236" s="1">
        <v>0</v>
      </c>
      <c r="K236" s="1">
        <f t="shared" ref="K236" si="676">(IF(F236="SELL",G236-H236,IF(F236="BUY",H236-G236)))*E236</f>
        <v>4000</v>
      </c>
      <c r="L236" s="1">
        <v>0</v>
      </c>
      <c r="M236" s="1">
        <v>0</v>
      </c>
      <c r="N236" s="2">
        <f t="shared" ref="N236" si="677">(L236+K236+M236)/E236</f>
        <v>40</v>
      </c>
      <c r="O236" s="2">
        <f t="shared" ref="O236" si="678">N236*E236</f>
        <v>4000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s="7" customFormat="1" ht="15" customHeight="1">
      <c r="A237" s="15">
        <v>43734</v>
      </c>
      <c r="B237" s="3" t="s">
        <v>19</v>
      </c>
      <c r="C237" s="16" t="s">
        <v>10</v>
      </c>
      <c r="D237" s="16">
        <v>30000</v>
      </c>
      <c r="E237" s="17">
        <v>100</v>
      </c>
      <c r="F237" s="3" t="s">
        <v>7</v>
      </c>
      <c r="G237" s="35">
        <v>80</v>
      </c>
      <c r="H237" s="35">
        <v>120</v>
      </c>
      <c r="I237" s="1">
        <v>200</v>
      </c>
      <c r="J237" s="1">
        <v>300</v>
      </c>
      <c r="K237" s="1">
        <f t="shared" ref="K237" si="679">(IF(F237="SELL",G237-H237,IF(F237="BUY",H237-G237)))*E237</f>
        <v>4000</v>
      </c>
      <c r="L237" s="1">
        <f>E237*80</f>
        <v>8000</v>
      </c>
      <c r="M237" s="1">
        <f>E237*100</f>
        <v>10000</v>
      </c>
      <c r="N237" s="2">
        <f t="shared" ref="N237" si="680">(L237+K237+M237)/E237</f>
        <v>220</v>
      </c>
      <c r="O237" s="2">
        <f t="shared" ref="O237" si="681">N237*E237</f>
        <v>22000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s="7" customFormat="1" ht="15" customHeight="1">
      <c r="A238" s="15">
        <v>43732</v>
      </c>
      <c r="B238" s="3" t="s">
        <v>19</v>
      </c>
      <c r="C238" s="16" t="s">
        <v>10</v>
      </c>
      <c r="D238" s="16">
        <v>30500</v>
      </c>
      <c r="E238" s="17">
        <v>100</v>
      </c>
      <c r="F238" s="3" t="s">
        <v>7</v>
      </c>
      <c r="G238" s="35">
        <v>300</v>
      </c>
      <c r="H238" s="35">
        <v>340</v>
      </c>
      <c r="I238" s="1">
        <v>400</v>
      </c>
      <c r="J238" s="1">
        <v>0</v>
      </c>
      <c r="K238" s="1">
        <f t="shared" ref="K238" si="682">(IF(F238="SELL",G238-H238,IF(F238="BUY",H238-G238)))*E238</f>
        <v>4000</v>
      </c>
      <c r="L238" s="1">
        <f>E238*60</f>
        <v>6000</v>
      </c>
      <c r="M238" s="1">
        <v>0</v>
      </c>
      <c r="N238" s="2">
        <f t="shared" ref="N238" si="683">(L238+K238+M238)/E238</f>
        <v>100</v>
      </c>
      <c r="O238" s="2">
        <f t="shared" ref="O238" si="684">N238*E238</f>
        <v>10000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s="7" customFormat="1" ht="15" customHeight="1">
      <c r="A239" s="15">
        <v>43731</v>
      </c>
      <c r="B239" s="3" t="s">
        <v>19</v>
      </c>
      <c r="C239" s="16" t="s">
        <v>10</v>
      </c>
      <c r="D239" s="16">
        <v>30500</v>
      </c>
      <c r="E239" s="17">
        <v>100</v>
      </c>
      <c r="F239" s="3" t="s">
        <v>7</v>
      </c>
      <c r="G239" s="35">
        <v>270</v>
      </c>
      <c r="H239" s="35">
        <v>320</v>
      </c>
      <c r="I239" s="1">
        <v>400</v>
      </c>
      <c r="J239" s="1">
        <v>500</v>
      </c>
      <c r="K239" s="1">
        <f t="shared" ref="K239" si="685">(IF(F239="SELL",G239-H239,IF(F239="BUY",H239-G239)))*E239</f>
        <v>5000</v>
      </c>
      <c r="L239" s="1">
        <f>E239*80</f>
        <v>8000</v>
      </c>
      <c r="M239" s="1">
        <f>E239*100</f>
        <v>10000</v>
      </c>
      <c r="N239" s="2">
        <f t="shared" ref="N239" si="686">(L239+K239+M239)/E239</f>
        <v>230</v>
      </c>
      <c r="O239" s="2">
        <f t="shared" ref="O239" si="687">N239*E239</f>
        <v>23000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s="7" customFormat="1" ht="15" customHeight="1">
      <c r="A240" s="15">
        <v>43728</v>
      </c>
      <c r="B240" s="3" t="s">
        <v>18</v>
      </c>
      <c r="C240" s="16" t="s">
        <v>10</v>
      </c>
      <c r="D240" s="16">
        <v>10750</v>
      </c>
      <c r="E240" s="17">
        <v>375</v>
      </c>
      <c r="F240" s="3" t="s">
        <v>7</v>
      </c>
      <c r="G240" s="35">
        <v>92</v>
      </c>
      <c r="H240" s="35">
        <v>102</v>
      </c>
      <c r="I240" s="1">
        <v>120</v>
      </c>
      <c r="J240" s="1">
        <v>150</v>
      </c>
      <c r="K240" s="1">
        <f t="shared" ref="K240" si="688">(IF(F240="SELL",G240-H240,IF(F240="BUY",H240-G240)))*E240</f>
        <v>3750</v>
      </c>
      <c r="L240" s="1">
        <f>E240*18</f>
        <v>6750</v>
      </c>
      <c r="M240" s="1">
        <f>E240*30</f>
        <v>11250</v>
      </c>
      <c r="N240" s="2">
        <f t="shared" ref="N240" si="689">(L240+K240+M240)/E240</f>
        <v>58</v>
      </c>
      <c r="O240" s="2">
        <f t="shared" ref="O240" si="690">N240*E240</f>
        <v>21750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s="7" customFormat="1" ht="15" customHeight="1">
      <c r="A241" s="15">
        <v>43727</v>
      </c>
      <c r="B241" s="3" t="s">
        <v>18</v>
      </c>
      <c r="C241" s="16" t="s">
        <v>9</v>
      </c>
      <c r="D241" s="16">
        <v>10800</v>
      </c>
      <c r="E241" s="17">
        <v>375</v>
      </c>
      <c r="F241" s="3" t="s">
        <v>7</v>
      </c>
      <c r="G241" s="35">
        <v>40</v>
      </c>
      <c r="H241" s="35">
        <v>50</v>
      </c>
      <c r="I241" s="1">
        <v>70</v>
      </c>
      <c r="J241" s="1">
        <v>100</v>
      </c>
      <c r="K241" s="1">
        <f t="shared" ref="K241" si="691">(IF(F241="SELL",G241-H241,IF(F241="BUY",H241-G241)))*E241</f>
        <v>3750</v>
      </c>
      <c r="L241" s="1">
        <f>E241*20</f>
        <v>7500</v>
      </c>
      <c r="M241" s="1">
        <f>E241*30</f>
        <v>11250</v>
      </c>
      <c r="N241" s="2">
        <f t="shared" ref="N241" si="692">(L241+K241+M241)/E241</f>
        <v>60</v>
      </c>
      <c r="O241" s="2">
        <f t="shared" ref="O241" si="693">N241*E241</f>
        <v>22500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s="7" customFormat="1" ht="15" customHeight="1">
      <c r="A242" s="15">
        <v>43726</v>
      </c>
      <c r="B242" s="3" t="s">
        <v>18</v>
      </c>
      <c r="C242" s="16" t="s">
        <v>9</v>
      </c>
      <c r="D242" s="16">
        <v>10800</v>
      </c>
      <c r="E242" s="17">
        <v>375</v>
      </c>
      <c r="F242" s="3" t="s">
        <v>7</v>
      </c>
      <c r="G242" s="35">
        <v>35</v>
      </c>
      <c r="H242" s="35">
        <v>20</v>
      </c>
      <c r="I242" s="1">
        <v>0</v>
      </c>
      <c r="J242" s="1">
        <v>0</v>
      </c>
      <c r="K242" s="1">
        <f t="shared" ref="K242" si="694">(IF(F242="SELL",G242-H242,IF(F242="BUY",H242-G242)))*E242</f>
        <v>-5625</v>
      </c>
      <c r="L242" s="1">
        <v>0</v>
      </c>
      <c r="M242" s="1">
        <v>0</v>
      </c>
      <c r="N242" s="2">
        <f t="shared" ref="N242" si="695">(L242+K242+M242)/E242</f>
        <v>-15</v>
      </c>
      <c r="O242" s="2">
        <f t="shared" ref="O242" si="696">N242*E242</f>
        <v>-5625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s="7" customFormat="1" ht="15" customHeight="1">
      <c r="A243" s="15">
        <v>43724</v>
      </c>
      <c r="B243" s="3" t="s">
        <v>18</v>
      </c>
      <c r="C243" s="16" t="s">
        <v>10</v>
      </c>
      <c r="D243" s="16">
        <v>11000</v>
      </c>
      <c r="E243" s="17">
        <v>375</v>
      </c>
      <c r="F243" s="3" t="s">
        <v>7</v>
      </c>
      <c r="G243" s="35">
        <v>80</v>
      </c>
      <c r="H243" s="35">
        <v>90</v>
      </c>
      <c r="I243" s="1">
        <v>0</v>
      </c>
      <c r="J243" s="1">
        <v>0</v>
      </c>
      <c r="K243" s="1">
        <f t="shared" ref="K243" si="697">(IF(F243="SELL",G243-H243,IF(F243="BUY",H243-G243)))*E243</f>
        <v>3750</v>
      </c>
      <c r="L243" s="1">
        <v>0</v>
      </c>
      <c r="M243" s="1">
        <v>0</v>
      </c>
      <c r="N243" s="2">
        <f t="shared" ref="N243" si="698">(L243+K243+M243)/E243</f>
        <v>10</v>
      </c>
      <c r="O243" s="2">
        <f t="shared" ref="O243" si="699">N243*E243</f>
        <v>3750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s="7" customFormat="1" ht="15" customHeight="1">
      <c r="A244" s="15">
        <v>43720</v>
      </c>
      <c r="B244" s="3" t="s">
        <v>19</v>
      </c>
      <c r="C244" s="16" t="s">
        <v>10</v>
      </c>
      <c r="D244" s="16">
        <v>28000</v>
      </c>
      <c r="E244" s="17">
        <v>100</v>
      </c>
      <c r="F244" s="3" t="s">
        <v>7</v>
      </c>
      <c r="G244" s="35">
        <v>100</v>
      </c>
      <c r="H244" s="35">
        <v>50</v>
      </c>
      <c r="I244" s="1">
        <v>0</v>
      </c>
      <c r="J244" s="1">
        <v>0</v>
      </c>
      <c r="K244" s="1">
        <f t="shared" ref="K244" si="700">(IF(F244="SELL",G244-H244,IF(F244="BUY",H244-G244)))*E244</f>
        <v>-5000</v>
      </c>
      <c r="L244" s="1">
        <v>0</v>
      </c>
      <c r="M244" s="1">
        <v>0</v>
      </c>
      <c r="N244" s="2">
        <f t="shared" ref="N244" si="701">(L244+K244+M244)/E244</f>
        <v>-50</v>
      </c>
      <c r="O244" s="2">
        <f t="shared" ref="O244" si="702">N244*E244</f>
        <v>-5000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s="7" customFormat="1" ht="15" customHeight="1">
      <c r="A245" s="15">
        <v>43719</v>
      </c>
      <c r="B245" s="3" t="s">
        <v>18</v>
      </c>
      <c r="C245" s="16" t="s">
        <v>10</v>
      </c>
      <c r="D245" s="16">
        <v>11050</v>
      </c>
      <c r="E245" s="17">
        <v>375</v>
      </c>
      <c r="F245" s="3" t="s">
        <v>7</v>
      </c>
      <c r="G245" s="35">
        <v>45</v>
      </c>
      <c r="H245" s="35">
        <v>30</v>
      </c>
      <c r="I245" s="1">
        <v>0</v>
      </c>
      <c r="J245" s="1">
        <v>0</v>
      </c>
      <c r="K245" s="1">
        <f t="shared" ref="K245" si="703">(IF(F245="SELL",G245-H245,IF(F245="BUY",H245-G245)))*E245</f>
        <v>-5625</v>
      </c>
      <c r="L245" s="1">
        <v>0</v>
      </c>
      <c r="M245" s="1">
        <v>0</v>
      </c>
      <c r="N245" s="2">
        <f t="shared" ref="N245" si="704">(L245+K245+M245)/E245</f>
        <v>-15</v>
      </c>
      <c r="O245" s="2">
        <f t="shared" ref="O245" si="705">N245*E245</f>
        <v>-5625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s="7" customFormat="1" ht="15" customHeight="1">
      <c r="A246" s="15">
        <v>43717</v>
      </c>
      <c r="B246" s="3" t="s">
        <v>19</v>
      </c>
      <c r="C246" s="16" t="s">
        <v>10</v>
      </c>
      <c r="D246" s="16">
        <v>27600</v>
      </c>
      <c r="E246" s="17">
        <v>100</v>
      </c>
      <c r="F246" s="3" t="s">
        <v>7</v>
      </c>
      <c r="G246" s="35">
        <v>170</v>
      </c>
      <c r="H246" s="35">
        <v>110</v>
      </c>
      <c r="I246" s="1">
        <v>0</v>
      </c>
      <c r="J246" s="1">
        <v>0</v>
      </c>
      <c r="K246" s="1">
        <f t="shared" ref="K246" si="706">(IF(F246="SELL",G246-H246,IF(F246="BUY",H246-G246)))*E246</f>
        <v>-6000</v>
      </c>
      <c r="L246" s="1">
        <v>0</v>
      </c>
      <c r="M246" s="1">
        <v>0</v>
      </c>
      <c r="N246" s="2">
        <f t="shared" ref="N246" si="707">(L246+K246+M246)/E246</f>
        <v>-60</v>
      </c>
      <c r="O246" s="2">
        <f t="shared" ref="O246" si="708">N246*E246</f>
        <v>-6000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s="7" customFormat="1" ht="15" customHeight="1">
      <c r="A247" s="15">
        <v>43713</v>
      </c>
      <c r="B247" s="3" t="s">
        <v>18</v>
      </c>
      <c r="C247" s="16" t="s">
        <v>9</v>
      </c>
      <c r="D247" s="16">
        <v>10850</v>
      </c>
      <c r="E247" s="17">
        <v>375</v>
      </c>
      <c r="F247" s="3" t="s">
        <v>7</v>
      </c>
      <c r="G247" s="35">
        <v>35</v>
      </c>
      <c r="H247" s="35">
        <v>45</v>
      </c>
      <c r="I247" s="1">
        <v>0</v>
      </c>
      <c r="J247" s="1">
        <v>0</v>
      </c>
      <c r="K247" s="1">
        <f t="shared" ref="K247" si="709">(IF(F247="SELL",G247-H247,IF(F247="BUY",H247-G247)))*E247</f>
        <v>3750</v>
      </c>
      <c r="L247" s="1">
        <v>0</v>
      </c>
      <c r="M247" s="1">
        <v>0</v>
      </c>
      <c r="N247" s="2">
        <f t="shared" ref="N247" si="710">(L247+K247+M247)/E247</f>
        <v>10</v>
      </c>
      <c r="O247" s="2">
        <f t="shared" ref="O247" si="711">N247*E247</f>
        <v>3750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s="7" customFormat="1" ht="15" customHeight="1">
      <c r="A248" s="15">
        <v>43711</v>
      </c>
      <c r="B248" s="3" t="s">
        <v>18</v>
      </c>
      <c r="C248" s="16" t="s">
        <v>9</v>
      </c>
      <c r="D248" s="16">
        <v>10900</v>
      </c>
      <c r="E248" s="17">
        <v>375</v>
      </c>
      <c r="F248" s="3" t="s">
        <v>7</v>
      </c>
      <c r="G248" s="35">
        <v>90</v>
      </c>
      <c r="H248" s="35">
        <v>100</v>
      </c>
      <c r="I248" s="1">
        <v>0</v>
      </c>
      <c r="J248" s="1">
        <v>0</v>
      </c>
      <c r="K248" s="1">
        <f t="shared" ref="K248" si="712">(IF(F248="SELL",G248-H248,IF(F248="BUY",H248-G248)))*E248</f>
        <v>3750</v>
      </c>
      <c r="L248" s="1">
        <v>0</v>
      </c>
      <c r="M248" s="1">
        <v>0</v>
      </c>
      <c r="N248" s="2">
        <f t="shared" ref="N248" si="713">(L248+K248+M248)/E248</f>
        <v>10</v>
      </c>
      <c r="O248" s="2">
        <f t="shared" ref="O248" si="714">N248*E248</f>
        <v>3750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s="7" customFormat="1" ht="15" customHeight="1">
      <c r="A249" s="15">
        <v>43707</v>
      </c>
      <c r="B249" s="3" t="s">
        <v>18</v>
      </c>
      <c r="C249" s="16" t="s">
        <v>10</v>
      </c>
      <c r="D249" s="16">
        <v>11000</v>
      </c>
      <c r="E249" s="17">
        <v>375</v>
      </c>
      <c r="F249" s="3" t="s">
        <v>7</v>
      </c>
      <c r="G249" s="35">
        <v>75</v>
      </c>
      <c r="H249" s="35">
        <v>84</v>
      </c>
      <c r="I249" s="1">
        <v>0</v>
      </c>
      <c r="J249" s="1">
        <v>0</v>
      </c>
      <c r="K249" s="1">
        <f t="shared" ref="K249:K250" si="715">(IF(F249="SELL",G249-H249,IF(F249="BUY",H249-G249)))*E249</f>
        <v>3375</v>
      </c>
      <c r="L249" s="1">
        <v>0</v>
      </c>
      <c r="M249" s="1">
        <v>0</v>
      </c>
      <c r="N249" s="2">
        <f t="shared" ref="N249:N250" si="716">(L249+K249+M249)/E249</f>
        <v>9</v>
      </c>
      <c r="O249" s="2">
        <f t="shared" ref="O249:O250" si="717">N249*E249</f>
        <v>3375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s="7" customFormat="1" ht="15" customHeight="1">
      <c r="A250" s="15">
        <v>43707</v>
      </c>
      <c r="B250" s="3" t="s">
        <v>18</v>
      </c>
      <c r="C250" s="16" t="s">
        <v>10</v>
      </c>
      <c r="D250" s="16">
        <v>11000</v>
      </c>
      <c r="E250" s="17">
        <v>375</v>
      </c>
      <c r="F250" s="3" t="s">
        <v>7</v>
      </c>
      <c r="G250" s="35">
        <v>110</v>
      </c>
      <c r="H250" s="35">
        <v>90</v>
      </c>
      <c r="I250" s="1">
        <v>0</v>
      </c>
      <c r="J250" s="1">
        <v>0</v>
      </c>
      <c r="K250" s="1">
        <f t="shared" si="715"/>
        <v>-7500</v>
      </c>
      <c r="L250" s="1">
        <v>0</v>
      </c>
      <c r="M250" s="1">
        <v>0</v>
      </c>
      <c r="N250" s="2">
        <f t="shared" si="716"/>
        <v>-20</v>
      </c>
      <c r="O250" s="2">
        <f t="shared" si="717"/>
        <v>-7500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s="7" customFormat="1" ht="15" customHeight="1">
      <c r="A251" s="15">
        <v>43706</v>
      </c>
      <c r="B251" s="3" t="s">
        <v>18</v>
      </c>
      <c r="C251" s="16" t="s">
        <v>9</v>
      </c>
      <c r="D251" s="16">
        <v>10950</v>
      </c>
      <c r="E251" s="17">
        <v>375</v>
      </c>
      <c r="F251" s="3" t="s">
        <v>7</v>
      </c>
      <c r="G251" s="35">
        <v>25</v>
      </c>
      <c r="H251" s="35">
        <v>35</v>
      </c>
      <c r="I251" s="1">
        <v>0</v>
      </c>
      <c r="J251" s="1">
        <v>0</v>
      </c>
      <c r="K251" s="1">
        <f t="shared" ref="K251" si="718">(IF(F251="SELL",G251-H251,IF(F251="BUY",H251-G251)))*E251</f>
        <v>3750</v>
      </c>
      <c r="L251" s="1">
        <v>0</v>
      </c>
      <c r="M251" s="1">
        <v>0</v>
      </c>
      <c r="N251" s="2">
        <f t="shared" ref="N251" si="719">(L251+K251+M251)/E251</f>
        <v>10</v>
      </c>
      <c r="O251" s="2">
        <f t="shared" ref="O251" si="720">N251*E251</f>
        <v>3750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s="7" customFormat="1" ht="15" customHeight="1">
      <c r="A252" s="15">
        <v>43705</v>
      </c>
      <c r="B252" s="3" t="s">
        <v>18</v>
      </c>
      <c r="C252" s="16" t="s">
        <v>9</v>
      </c>
      <c r="D252" s="16">
        <v>11050</v>
      </c>
      <c r="E252" s="17">
        <v>375</v>
      </c>
      <c r="F252" s="3" t="s">
        <v>7</v>
      </c>
      <c r="G252" s="35">
        <v>50</v>
      </c>
      <c r="H252" s="35">
        <v>60</v>
      </c>
      <c r="I252" s="1">
        <v>80</v>
      </c>
      <c r="J252" s="1">
        <v>0</v>
      </c>
      <c r="K252" s="1">
        <f t="shared" ref="K252" si="721">(IF(F252="SELL",G252-H252,IF(F252="BUY",H252-G252)))*E252</f>
        <v>3750</v>
      </c>
      <c r="L252" s="1">
        <f>E252*20</f>
        <v>7500</v>
      </c>
      <c r="M252" s="1">
        <v>0</v>
      </c>
      <c r="N252" s="2">
        <f t="shared" ref="N252" si="722">(L252+K252+M252)/E252</f>
        <v>30</v>
      </c>
      <c r="O252" s="2">
        <f t="shared" ref="O252" si="723">N252*E252</f>
        <v>11250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s="7" customFormat="1" ht="15" customHeight="1">
      <c r="A253" s="15">
        <v>43703</v>
      </c>
      <c r="B253" s="3" t="s">
        <v>18</v>
      </c>
      <c r="C253" s="16" t="s">
        <v>10</v>
      </c>
      <c r="D253" s="16">
        <v>11000</v>
      </c>
      <c r="E253" s="17">
        <v>375</v>
      </c>
      <c r="F253" s="3" t="s">
        <v>7</v>
      </c>
      <c r="G253" s="35">
        <v>90</v>
      </c>
      <c r="H253" s="35">
        <v>100</v>
      </c>
      <c r="I253" s="1">
        <v>0</v>
      </c>
      <c r="J253" s="1">
        <v>0</v>
      </c>
      <c r="K253" s="1">
        <f t="shared" ref="K253:K254" si="724">(IF(F253="SELL",G253-H253,IF(F253="BUY",H253-G253)))*E253</f>
        <v>3750</v>
      </c>
      <c r="L253" s="1">
        <v>0</v>
      </c>
      <c r="M253" s="1">
        <v>0</v>
      </c>
      <c r="N253" s="2">
        <f t="shared" ref="N253:N254" si="725">(L253+K253+M253)/E253</f>
        <v>10</v>
      </c>
      <c r="O253" s="2">
        <f t="shared" ref="O253:O254" si="726">N253*E253</f>
        <v>3750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s="7" customFormat="1" ht="15" customHeight="1">
      <c r="A254" s="15">
        <v>43703</v>
      </c>
      <c r="B254" s="3" t="s">
        <v>18</v>
      </c>
      <c r="C254" s="16" t="s">
        <v>9</v>
      </c>
      <c r="D254" s="16">
        <v>10800</v>
      </c>
      <c r="E254" s="17">
        <v>375</v>
      </c>
      <c r="F254" s="3" t="s">
        <v>7</v>
      </c>
      <c r="G254" s="35">
        <v>120</v>
      </c>
      <c r="H254" s="35">
        <v>100</v>
      </c>
      <c r="I254" s="1">
        <v>0</v>
      </c>
      <c r="J254" s="1">
        <v>0</v>
      </c>
      <c r="K254" s="1">
        <f t="shared" si="724"/>
        <v>-7500</v>
      </c>
      <c r="L254" s="1">
        <v>0</v>
      </c>
      <c r="M254" s="1">
        <v>0</v>
      </c>
      <c r="N254" s="2">
        <f t="shared" si="725"/>
        <v>-20</v>
      </c>
      <c r="O254" s="2">
        <f t="shared" si="726"/>
        <v>-7500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s="7" customFormat="1" ht="15" customHeight="1">
      <c r="A255" s="15">
        <v>43699</v>
      </c>
      <c r="B255" s="3" t="s">
        <v>18</v>
      </c>
      <c r="C255" s="16" t="s">
        <v>9</v>
      </c>
      <c r="D255" s="16">
        <v>10850</v>
      </c>
      <c r="E255" s="17">
        <v>375</v>
      </c>
      <c r="F255" s="3" t="s">
        <v>7</v>
      </c>
      <c r="G255" s="35">
        <v>40</v>
      </c>
      <c r="H255" s="35">
        <v>50</v>
      </c>
      <c r="I255" s="1">
        <v>70</v>
      </c>
      <c r="J255" s="1">
        <v>100</v>
      </c>
      <c r="K255" s="1">
        <f t="shared" ref="K255" si="727">(IF(F255="SELL",G255-H255,IF(F255="BUY",H255-G255)))*E255</f>
        <v>3750</v>
      </c>
      <c r="L255" s="1">
        <f>E255*20</f>
        <v>7500</v>
      </c>
      <c r="M255" s="1">
        <f>E255*30</f>
        <v>11250</v>
      </c>
      <c r="N255" s="2">
        <f t="shared" ref="N255" si="728">(L255+K255+M255)/E255</f>
        <v>60</v>
      </c>
      <c r="O255" s="2">
        <f t="shared" ref="O255" si="729">N255*E255</f>
        <v>22500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s="7" customFormat="1" ht="15" customHeight="1">
      <c r="A256" s="15">
        <v>43698</v>
      </c>
      <c r="B256" s="3" t="s">
        <v>18</v>
      </c>
      <c r="C256" s="16" t="s">
        <v>9</v>
      </c>
      <c r="D256" s="16">
        <v>10950</v>
      </c>
      <c r="E256" s="17">
        <v>375</v>
      </c>
      <c r="F256" s="3" t="s">
        <v>7</v>
      </c>
      <c r="G256" s="35">
        <v>40</v>
      </c>
      <c r="H256" s="35">
        <v>50</v>
      </c>
      <c r="I256" s="1">
        <v>0</v>
      </c>
      <c r="J256" s="1">
        <v>0</v>
      </c>
      <c r="K256" s="1">
        <f t="shared" ref="K256" si="730">(IF(F256="SELL",G256-H256,IF(F256="BUY",H256-G256)))*E256</f>
        <v>3750</v>
      </c>
      <c r="L256" s="1">
        <v>0</v>
      </c>
      <c r="M256" s="1">
        <v>0</v>
      </c>
      <c r="N256" s="2">
        <f t="shared" ref="N256" si="731">(L256+K256+M256)/E256</f>
        <v>10</v>
      </c>
      <c r="O256" s="2">
        <f t="shared" ref="O256" si="732">N256*E256</f>
        <v>3750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s="7" customFormat="1" ht="15" customHeight="1">
      <c r="A257" s="15">
        <v>43697</v>
      </c>
      <c r="B257" s="3" t="s">
        <v>18</v>
      </c>
      <c r="C257" s="16" t="s">
        <v>9</v>
      </c>
      <c r="D257" s="16">
        <v>11000</v>
      </c>
      <c r="E257" s="17">
        <v>375</v>
      </c>
      <c r="F257" s="3" t="s">
        <v>7</v>
      </c>
      <c r="G257" s="35">
        <v>70</v>
      </c>
      <c r="H257" s="35">
        <v>78.900000000000006</v>
      </c>
      <c r="I257" s="1">
        <v>0</v>
      </c>
      <c r="J257" s="1">
        <v>0</v>
      </c>
      <c r="K257" s="1">
        <f t="shared" ref="K257" si="733">(IF(F257="SELL",G257-H257,IF(F257="BUY",H257-G257)))*E257</f>
        <v>3337.5000000000023</v>
      </c>
      <c r="L257" s="1">
        <v>0</v>
      </c>
      <c r="M257" s="1">
        <v>0</v>
      </c>
      <c r="N257" s="2">
        <f t="shared" ref="N257" si="734">(L257+K257+M257)/E257</f>
        <v>8.9000000000000057</v>
      </c>
      <c r="O257" s="2">
        <f t="shared" ref="O257" si="735">N257*E257</f>
        <v>3337.5000000000023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s="7" customFormat="1" ht="15" customHeight="1">
      <c r="A258" s="15">
        <v>43696</v>
      </c>
      <c r="B258" s="3" t="s">
        <v>18</v>
      </c>
      <c r="C258" s="16" t="s">
        <v>9</v>
      </c>
      <c r="D258" s="16">
        <v>11100</v>
      </c>
      <c r="E258" s="17">
        <v>375</v>
      </c>
      <c r="F258" s="3" t="s">
        <v>7</v>
      </c>
      <c r="G258" s="35">
        <v>80</v>
      </c>
      <c r="H258" s="35">
        <v>90</v>
      </c>
      <c r="I258" s="1">
        <v>110</v>
      </c>
      <c r="J258" s="1">
        <v>0</v>
      </c>
      <c r="K258" s="1">
        <f t="shared" ref="K258" si="736">(IF(F258="SELL",G258-H258,IF(F258="BUY",H258-G258)))*E258</f>
        <v>3750</v>
      </c>
      <c r="L258" s="1">
        <f>E258*20</f>
        <v>7500</v>
      </c>
      <c r="M258" s="1">
        <v>0</v>
      </c>
      <c r="N258" s="2">
        <f t="shared" ref="N258" si="737">(L258+K258+M258)/E258</f>
        <v>30</v>
      </c>
      <c r="O258" s="2">
        <f t="shared" ref="O258" si="738">N258*E258</f>
        <v>11250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s="7" customFormat="1" ht="15" customHeight="1">
      <c r="A259" s="15">
        <v>43691</v>
      </c>
      <c r="B259" s="3" t="s">
        <v>18</v>
      </c>
      <c r="C259" s="16" t="s">
        <v>10</v>
      </c>
      <c r="D259" s="16">
        <v>11050</v>
      </c>
      <c r="E259" s="17">
        <v>375</v>
      </c>
      <c r="F259" s="3" t="s">
        <v>7</v>
      </c>
      <c r="G259" s="35">
        <v>23</v>
      </c>
      <c r="H259" s="35">
        <v>33</v>
      </c>
      <c r="I259" s="1">
        <v>0</v>
      </c>
      <c r="J259" s="1">
        <v>0</v>
      </c>
      <c r="K259" s="1">
        <f t="shared" ref="K259" si="739">(IF(F259="SELL",G259-H259,IF(F259="BUY",H259-G259)))*E259</f>
        <v>3750</v>
      </c>
      <c r="L259" s="1">
        <v>0</v>
      </c>
      <c r="M259" s="1">
        <v>0</v>
      </c>
      <c r="N259" s="2">
        <f t="shared" ref="N259" si="740">(L259+K259+M259)/E259</f>
        <v>10</v>
      </c>
      <c r="O259" s="2">
        <f t="shared" ref="O259" si="741">N259*E259</f>
        <v>3750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s="7" customFormat="1" ht="15" customHeight="1">
      <c r="A260" s="15">
        <v>43686</v>
      </c>
      <c r="B260" s="3" t="s">
        <v>18</v>
      </c>
      <c r="C260" s="16" t="s">
        <v>10</v>
      </c>
      <c r="D260" s="16">
        <v>11100</v>
      </c>
      <c r="E260" s="17">
        <v>375</v>
      </c>
      <c r="F260" s="3" t="s">
        <v>7</v>
      </c>
      <c r="G260" s="35">
        <v>85</v>
      </c>
      <c r="H260" s="35">
        <v>95</v>
      </c>
      <c r="I260" s="1">
        <v>120</v>
      </c>
      <c r="J260" s="1">
        <v>0</v>
      </c>
      <c r="K260" s="1">
        <f t="shared" ref="K260" si="742">(IF(F260="SELL",G260-H260,IF(F260="BUY",H260-G260)))*E260</f>
        <v>3750</v>
      </c>
      <c r="L260" s="1">
        <f>E260*25</f>
        <v>9375</v>
      </c>
      <c r="M260" s="1">
        <v>0</v>
      </c>
      <c r="N260" s="2">
        <f t="shared" ref="N260" si="743">(L260+K260+M260)/E260</f>
        <v>35</v>
      </c>
      <c r="O260" s="2">
        <f t="shared" ref="O260" si="744">N260*E260</f>
        <v>13125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s="7" customFormat="1" ht="15" customHeight="1">
      <c r="A261" s="15">
        <v>43682</v>
      </c>
      <c r="B261" s="3" t="s">
        <v>19</v>
      </c>
      <c r="C261" s="16" t="s">
        <v>10</v>
      </c>
      <c r="D261" s="16">
        <v>27900</v>
      </c>
      <c r="E261" s="17">
        <v>100</v>
      </c>
      <c r="F261" s="3" t="s">
        <v>7</v>
      </c>
      <c r="G261" s="35">
        <v>260</v>
      </c>
      <c r="H261" s="35">
        <v>199</v>
      </c>
      <c r="I261" s="1">
        <v>0</v>
      </c>
      <c r="J261" s="1">
        <v>0</v>
      </c>
      <c r="K261" s="1">
        <f t="shared" ref="K261" si="745">(IF(F261="SELL",G261-H261,IF(F261="BUY",H261-G261)))*E261</f>
        <v>-6100</v>
      </c>
      <c r="L261" s="1">
        <v>0</v>
      </c>
      <c r="M261" s="1">
        <v>0</v>
      </c>
      <c r="N261" s="2">
        <f t="shared" ref="N261" si="746">(L261+K261+M261)/E261</f>
        <v>-61</v>
      </c>
      <c r="O261" s="2">
        <f t="shared" ref="O261" si="747">N261*E261</f>
        <v>-6100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s="7" customFormat="1" ht="15" customHeight="1">
      <c r="A262" s="15">
        <v>43677</v>
      </c>
      <c r="B262" s="3" t="s">
        <v>18</v>
      </c>
      <c r="C262" s="16" t="s">
        <v>9</v>
      </c>
      <c r="D262" s="16">
        <v>11050</v>
      </c>
      <c r="E262" s="17">
        <f t="shared" ref="E262:E270" si="748">75*5</f>
        <v>375</v>
      </c>
      <c r="F262" s="3" t="s">
        <v>7</v>
      </c>
      <c r="G262" s="35">
        <v>60</v>
      </c>
      <c r="H262" s="35">
        <v>60</v>
      </c>
      <c r="I262" s="1">
        <v>0</v>
      </c>
      <c r="J262" s="1">
        <v>0</v>
      </c>
      <c r="K262" s="1">
        <f t="shared" ref="K262" si="749">(IF(F262="SELL",G262-H262,IF(F262="BUY",H262-G262)))*E262</f>
        <v>0</v>
      </c>
      <c r="L262" s="1">
        <v>0</v>
      </c>
      <c r="M262" s="1">
        <v>0</v>
      </c>
      <c r="N262" s="2">
        <f t="shared" ref="N262" si="750">(L262+K262+M262)/E262</f>
        <v>0</v>
      </c>
      <c r="O262" s="2">
        <f t="shared" ref="O262" si="751">N262*E262</f>
        <v>0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s="7" customFormat="1" ht="15" customHeight="1">
      <c r="A263" s="15">
        <v>43676</v>
      </c>
      <c r="B263" s="3" t="s">
        <v>18</v>
      </c>
      <c r="C263" s="16" t="s">
        <v>10</v>
      </c>
      <c r="D263" s="16">
        <v>11250</v>
      </c>
      <c r="E263" s="17">
        <f t="shared" si="748"/>
        <v>375</v>
      </c>
      <c r="F263" s="3" t="s">
        <v>7</v>
      </c>
      <c r="G263" s="35">
        <v>50</v>
      </c>
      <c r="H263" s="35">
        <v>35</v>
      </c>
      <c r="I263" s="1">
        <v>0</v>
      </c>
      <c r="J263" s="1">
        <v>0</v>
      </c>
      <c r="K263" s="1">
        <f t="shared" ref="K263:K264" si="752">(IF(F263="SELL",G263-H263,IF(F263="BUY",H263-G263)))*E263</f>
        <v>-5625</v>
      </c>
      <c r="L263" s="1">
        <v>0</v>
      </c>
      <c r="M263" s="1">
        <v>0</v>
      </c>
      <c r="N263" s="2">
        <f t="shared" ref="N263:N264" si="753">(L263+K263+M263)/E263</f>
        <v>-15</v>
      </c>
      <c r="O263" s="2">
        <f t="shared" ref="O263:O264" si="754">N263*E263</f>
        <v>-5625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s="7" customFormat="1" ht="15" customHeight="1">
      <c r="A264" s="15">
        <v>43676</v>
      </c>
      <c r="B264" s="3" t="s">
        <v>18</v>
      </c>
      <c r="C264" s="16" t="s">
        <v>9</v>
      </c>
      <c r="D264" s="16">
        <v>11200</v>
      </c>
      <c r="E264" s="17">
        <f t="shared" si="748"/>
        <v>375</v>
      </c>
      <c r="F264" s="3" t="s">
        <v>7</v>
      </c>
      <c r="G264" s="35">
        <v>65</v>
      </c>
      <c r="H264" s="35">
        <v>45</v>
      </c>
      <c r="I264" s="1">
        <v>0</v>
      </c>
      <c r="J264" s="1">
        <v>0</v>
      </c>
      <c r="K264" s="1">
        <f t="shared" si="752"/>
        <v>-7500</v>
      </c>
      <c r="L264" s="1">
        <v>0</v>
      </c>
      <c r="M264" s="1">
        <v>0</v>
      </c>
      <c r="N264" s="2">
        <f t="shared" si="753"/>
        <v>-20</v>
      </c>
      <c r="O264" s="2">
        <f t="shared" si="754"/>
        <v>-7500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s="7" customFormat="1" ht="15" customHeight="1">
      <c r="A265" s="15">
        <v>43675</v>
      </c>
      <c r="B265" s="3" t="s">
        <v>18</v>
      </c>
      <c r="C265" s="16" t="s">
        <v>9</v>
      </c>
      <c r="D265" s="16">
        <v>11250</v>
      </c>
      <c r="E265" s="17">
        <f t="shared" si="748"/>
        <v>375</v>
      </c>
      <c r="F265" s="3" t="s">
        <v>7</v>
      </c>
      <c r="G265" s="35">
        <v>60</v>
      </c>
      <c r="H265" s="35">
        <v>70</v>
      </c>
      <c r="I265" s="1">
        <v>95</v>
      </c>
      <c r="J265" s="1">
        <v>0</v>
      </c>
      <c r="K265" s="1">
        <f t="shared" ref="K265" si="755">(IF(F265="SELL",G265-H265,IF(F265="BUY",H265-G265)))*E265</f>
        <v>3750</v>
      </c>
      <c r="L265" s="1">
        <f>E265*25</f>
        <v>9375</v>
      </c>
      <c r="M265" s="1">
        <v>0</v>
      </c>
      <c r="N265" s="2">
        <f t="shared" ref="N265" si="756">(L265+K265+M265)/E265</f>
        <v>35</v>
      </c>
      <c r="O265" s="2">
        <f t="shared" ref="O265" si="757">N265*E265</f>
        <v>13125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s="7" customFormat="1" ht="15" customHeight="1">
      <c r="A266" s="15">
        <v>43672</v>
      </c>
      <c r="B266" s="3" t="s">
        <v>18</v>
      </c>
      <c r="C266" s="16" t="s">
        <v>10</v>
      </c>
      <c r="D266" s="16">
        <v>11300</v>
      </c>
      <c r="E266" s="17">
        <f t="shared" si="748"/>
        <v>375</v>
      </c>
      <c r="F266" s="3" t="s">
        <v>7</v>
      </c>
      <c r="G266" s="35">
        <v>65</v>
      </c>
      <c r="H266" s="35">
        <v>50</v>
      </c>
      <c r="I266" s="1">
        <v>0</v>
      </c>
      <c r="J266" s="1">
        <v>0</v>
      </c>
      <c r="K266" s="1">
        <f t="shared" ref="K266" si="758">(IF(F266="SELL",G266-H266,IF(F266="BUY",H266-G266)))*E266</f>
        <v>-5625</v>
      </c>
      <c r="L266" s="1">
        <v>0</v>
      </c>
      <c r="M266" s="1">
        <v>0</v>
      </c>
      <c r="N266" s="2">
        <f t="shared" ref="N266" si="759">(L266+K266+M266)/E266</f>
        <v>-15</v>
      </c>
      <c r="O266" s="2">
        <f t="shared" ref="O266" si="760">N266*E266</f>
        <v>-5625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s="7" customFormat="1" ht="15" customHeight="1">
      <c r="A267" s="15">
        <v>43671</v>
      </c>
      <c r="B267" s="3" t="s">
        <v>18</v>
      </c>
      <c r="C267" s="16" t="s">
        <v>9</v>
      </c>
      <c r="D267" s="16">
        <v>11250</v>
      </c>
      <c r="E267" s="17">
        <f t="shared" si="748"/>
        <v>375</v>
      </c>
      <c r="F267" s="3" t="s">
        <v>7</v>
      </c>
      <c r="G267" s="35">
        <v>20</v>
      </c>
      <c r="H267" s="35">
        <v>5</v>
      </c>
      <c r="I267" s="1">
        <v>0</v>
      </c>
      <c r="J267" s="1">
        <v>0</v>
      </c>
      <c r="K267" s="1">
        <f t="shared" ref="K267" si="761">(IF(F267="SELL",G267-H267,IF(F267="BUY",H267-G267)))*E267</f>
        <v>-5625</v>
      </c>
      <c r="L267" s="1">
        <v>0</v>
      </c>
      <c r="M267" s="1">
        <v>0</v>
      </c>
      <c r="N267" s="2">
        <f t="shared" ref="N267" si="762">(L267+K267+M267)/E267</f>
        <v>-15</v>
      </c>
      <c r="O267" s="2">
        <f t="shared" ref="O267" si="763">N267*E267</f>
        <v>-5625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s="7" customFormat="1" ht="15" customHeight="1">
      <c r="A268" s="15">
        <v>43670</v>
      </c>
      <c r="B268" s="3" t="s">
        <v>18</v>
      </c>
      <c r="C268" s="16" t="s">
        <v>9</v>
      </c>
      <c r="D268" s="16">
        <v>11250</v>
      </c>
      <c r="E268" s="17">
        <f t="shared" si="748"/>
        <v>375</v>
      </c>
      <c r="F268" s="3" t="s">
        <v>7</v>
      </c>
      <c r="G268" s="35">
        <v>40</v>
      </c>
      <c r="H268" s="35">
        <v>50</v>
      </c>
      <c r="I268" s="1">
        <v>0</v>
      </c>
      <c r="J268" s="1">
        <v>0</v>
      </c>
      <c r="K268" s="1">
        <f t="shared" ref="K268:K270" si="764">(IF(F268="SELL",G268-H268,IF(F268="BUY",H268-G268)))*E268</f>
        <v>3750</v>
      </c>
      <c r="L268" s="1">
        <v>0</v>
      </c>
      <c r="M268" s="1">
        <v>0</v>
      </c>
      <c r="N268" s="2">
        <f t="shared" ref="N268:N270" si="765">(L268+K268+M268)/E268</f>
        <v>10</v>
      </c>
      <c r="O268" s="2">
        <f t="shared" ref="O268:O270" si="766">N268*E268</f>
        <v>3750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s="7" customFormat="1" ht="15" customHeight="1">
      <c r="A269" s="15">
        <v>43669</v>
      </c>
      <c r="B269" s="3" t="s">
        <v>18</v>
      </c>
      <c r="C269" s="16" t="s">
        <v>9</v>
      </c>
      <c r="D269" s="16">
        <v>11300</v>
      </c>
      <c r="E269" s="17">
        <f t="shared" si="748"/>
        <v>375</v>
      </c>
      <c r="F269" s="3" t="s">
        <v>7</v>
      </c>
      <c r="G269" s="35">
        <v>41</v>
      </c>
      <c r="H269" s="35">
        <v>20</v>
      </c>
      <c r="I269" s="1">
        <v>0</v>
      </c>
      <c r="J269" s="1">
        <v>0</v>
      </c>
      <c r="K269" s="1">
        <f t="shared" si="764"/>
        <v>-7875</v>
      </c>
      <c r="L269" s="1">
        <v>0</v>
      </c>
      <c r="M269" s="1">
        <v>0</v>
      </c>
      <c r="N269" s="2">
        <f t="shared" si="765"/>
        <v>-21</v>
      </c>
      <c r="O269" s="2">
        <f t="shared" si="766"/>
        <v>-7875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s="7" customFormat="1" ht="15" customHeight="1">
      <c r="A270" s="15">
        <v>43668</v>
      </c>
      <c r="B270" s="3" t="s">
        <v>18</v>
      </c>
      <c r="C270" s="16" t="s">
        <v>9</v>
      </c>
      <c r="D270" s="16">
        <v>11350</v>
      </c>
      <c r="E270" s="17">
        <f t="shared" si="748"/>
        <v>375</v>
      </c>
      <c r="F270" s="3" t="s">
        <v>7</v>
      </c>
      <c r="G270" s="35">
        <v>80</v>
      </c>
      <c r="H270" s="35">
        <v>60</v>
      </c>
      <c r="I270" s="1">
        <v>0</v>
      </c>
      <c r="J270" s="1">
        <v>0</v>
      </c>
      <c r="K270" s="1">
        <f t="shared" si="764"/>
        <v>-7500</v>
      </c>
      <c r="L270" s="1">
        <v>0</v>
      </c>
      <c r="M270" s="1">
        <v>0</v>
      </c>
      <c r="N270" s="2">
        <f t="shared" si="765"/>
        <v>-20</v>
      </c>
      <c r="O270" s="2">
        <f t="shared" si="766"/>
        <v>-7500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s="7" customFormat="1" ht="15" customHeight="1">
      <c r="A271" s="15">
        <v>43665</v>
      </c>
      <c r="B271" s="3" t="s">
        <v>18</v>
      </c>
      <c r="C271" s="16" t="s">
        <v>9</v>
      </c>
      <c r="D271" s="16">
        <v>11450</v>
      </c>
      <c r="E271" s="17">
        <f t="shared" ref="E271:E273" si="767">75*5</f>
        <v>375</v>
      </c>
      <c r="F271" s="3" t="s">
        <v>7</v>
      </c>
      <c r="G271" s="35">
        <v>60</v>
      </c>
      <c r="H271" s="35">
        <v>70</v>
      </c>
      <c r="I271" s="1">
        <v>0</v>
      </c>
      <c r="J271" s="1">
        <v>0</v>
      </c>
      <c r="K271" s="1">
        <f t="shared" ref="K271" si="768">(IF(F271="SELL",G271-H271,IF(F271="BUY",H271-G271)))*E271</f>
        <v>3750</v>
      </c>
      <c r="L271" s="1">
        <v>0</v>
      </c>
      <c r="M271" s="1">
        <v>0</v>
      </c>
      <c r="N271" s="2">
        <f t="shared" ref="N271" si="769">(L271+K271+M271)/E271</f>
        <v>10</v>
      </c>
      <c r="O271" s="2">
        <f t="shared" ref="O271" si="770">N271*E271</f>
        <v>3750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s="7" customFormat="1" ht="15" customHeight="1">
      <c r="A272" s="15">
        <v>43664</v>
      </c>
      <c r="B272" s="3" t="s">
        <v>18</v>
      </c>
      <c r="C272" s="16" t="s">
        <v>9</v>
      </c>
      <c r="D272" s="16">
        <v>11650</v>
      </c>
      <c r="E272" s="17">
        <f t="shared" si="767"/>
        <v>375</v>
      </c>
      <c r="F272" s="3" t="s">
        <v>7</v>
      </c>
      <c r="G272" s="35">
        <v>23</v>
      </c>
      <c r="H272" s="35">
        <v>22</v>
      </c>
      <c r="I272" s="1">
        <v>0</v>
      </c>
      <c r="J272" s="1">
        <v>0</v>
      </c>
      <c r="K272" s="1">
        <f t="shared" ref="K272:K273" si="771">(IF(F272="SELL",G272-H272,IF(F272="BUY",H272-G272)))*E272</f>
        <v>-375</v>
      </c>
      <c r="L272" s="1">
        <v>0</v>
      </c>
      <c r="M272" s="1">
        <v>0</v>
      </c>
      <c r="N272" s="2">
        <f t="shared" ref="N272:N273" si="772">(L272+K272+M272)/E272</f>
        <v>-1</v>
      </c>
      <c r="O272" s="2">
        <f t="shared" ref="O272:O273" si="773">N272*E272</f>
        <v>-375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s="7" customFormat="1" ht="15" customHeight="1">
      <c r="A273" s="15">
        <v>43663</v>
      </c>
      <c r="B273" s="3" t="s">
        <v>18</v>
      </c>
      <c r="C273" s="16" t="s">
        <v>10</v>
      </c>
      <c r="D273" s="16">
        <v>11650</v>
      </c>
      <c r="E273" s="17">
        <f t="shared" si="767"/>
        <v>375</v>
      </c>
      <c r="F273" s="3" t="s">
        <v>7</v>
      </c>
      <c r="G273" s="35">
        <v>41</v>
      </c>
      <c r="H273" s="35">
        <v>51</v>
      </c>
      <c r="I273" s="1">
        <v>0</v>
      </c>
      <c r="J273" s="1">
        <v>0</v>
      </c>
      <c r="K273" s="1">
        <f t="shared" si="771"/>
        <v>3750</v>
      </c>
      <c r="L273" s="1">
        <v>0</v>
      </c>
      <c r="M273" s="1">
        <v>0</v>
      </c>
      <c r="N273" s="2">
        <f t="shared" si="772"/>
        <v>10</v>
      </c>
      <c r="O273" s="2">
        <f t="shared" si="773"/>
        <v>3750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s="7" customFormat="1" ht="15" customHeight="1">
      <c r="A274" s="15">
        <v>43662</v>
      </c>
      <c r="B274" s="3" t="s">
        <v>18</v>
      </c>
      <c r="C274" s="16" t="s">
        <v>10</v>
      </c>
      <c r="D274" s="16">
        <v>11600</v>
      </c>
      <c r="E274" s="17">
        <f t="shared" ref="E274:E277" si="774">75*5</f>
        <v>375</v>
      </c>
      <c r="F274" s="3" t="s">
        <v>7</v>
      </c>
      <c r="G274" s="35">
        <v>50</v>
      </c>
      <c r="H274" s="35">
        <v>60</v>
      </c>
      <c r="I274" s="1">
        <v>0</v>
      </c>
      <c r="J274" s="1">
        <v>0</v>
      </c>
      <c r="K274" s="1">
        <f t="shared" ref="K274" si="775">(IF(F274="SELL",G274-H274,IF(F274="BUY",H274-G274)))*E274</f>
        <v>3750</v>
      </c>
      <c r="L274" s="1">
        <v>0</v>
      </c>
      <c r="M274" s="1">
        <v>0</v>
      </c>
      <c r="N274" s="2">
        <f t="shared" ref="N274" si="776">(L274+K274+M274)/E274</f>
        <v>10</v>
      </c>
      <c r="O274" s="2">
        <f t="shared" ref="O274" si="777">N274*E274</f>
        <v>3750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7" customFormat="1" ht="15" customHeight="1">
      <c r="A275" s="15">
        <v>43661</v>
      </c>
      <c r="B275" s="3" t="s">
        <v>18</v>
      </c>
      <c r="C275" s="16" t="s">
        <v>9</v>
      </c>
      <c r="D275" s="16">
        <v>11600</v>
      </c>
      <c r="E275" s="17">
        <f t="shared" si="774"/>
        <v>375</v>
      </c>
      <c r="F275" s="3" t="s">
        <v>7</v>
      </c>
      <c r="G275" s="35">
        <v>80</v>
      </c>
      <c r="H275" s="35">
        <v>90</v>
      </c>
      <c r="I275" s="1">
        <v>0</v>
      </c>
      <c r="J275" s="1">
        <v>0</v>
      </c>
      <c r="K275" s="1">
        <f t="shared" ref="K275" si="778">(IF(F275="SELL",G275-H275,IF(F275="BUY",H275-G275)))*E275</f>
        <v>3750</v>
      </c>
      <c r="L275" s="1">
        <v>0</v>
      </c>
      <c r="M275" s="1">
        <v>0</v>
      </c>
      <c r="N275" s="2">
        <f t="shared" ref="N275" si="779">(L275+K275+M275)/E275</f>
        <v>10</v>
      </c>
      <c r="O275" s="2">
        <f t="shared" ref="O275" si="780">N275*E275</f>
        <v>3750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7" customFormat="1" ht="15" customHeight="1">
      <c r="A276" s="15">
        <v>43658</v>
      </c>
      <c r="B276" s="3" t="s">
        <v>18</v>
      </c>
      <c r="C276" s="16" t="s">
        <v>10</v>
      </c>
      <c r="D276" s="16">
        <v>11600</v>
      </c>
      <c r="E276" s="17">
        <f t="shared" si="774"/>
        <v>375</v>
      </c>
      <c r="F276" s="3" t="s">
        <v>7</v>
      </c>
      <c r="G276" s="35">
        <v>70</v>
      </c>
      <c r="H276" s="35">
        <v>80</v>
      </c>
      <c r="I276" s="1">
        <v>0</v>
      </c>
      <c r="J276" s="1">
        <v>0</v>
      </c>
      <c r="K276" s="1">
        <f t="shared" ref="K276:K277" si="781">(IF(F276="SELL",G276-H276,IF(F276="BUY",H276-G276)))*E276</f>
        <v>3750</v>
      </c>
      <c r="L276" s="1">
        <v>0</v>
      </c>
      <c r="M276" s="1">
        <v>0</v>
      </c>
      <c r="N276" s="2">
        <f t="shared" ref="N276:N277" si="782">(L276+K276+M276)/E276</f>
        <v>10</v>
      </c>
      <c r="O276" s="2">
        <f t="shared" ref="O276:O277" si="783">N276*E276</f>
        <v>3750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7" customFormat="1" ht="15" customHeight="1">
      <c r="A277" s="15">
        <v>43658</v>
      </c>
      <c r="B277" s="3" t="s">
        <v>18</v>
      </c>
      <c r="C277" s="16" t="s">
        <v>9</v>
      </c>
      <c r="D277" s="16">
        <v>11550</v>
      </c>
      <c r="E277" s="17">
        <f t="shared" si="774"/>
        <v>375</v>
      </c>
      <c r="F277" s="3" t="s">
        <v>7</v>
      </c>
      <c r="G277" s="35">
        <v>60</v>
      </c>
      <c r="H277" s="35">
        <v>45</v>
      </c>
      <c r="I277" s="1">
        <v>0</v>
      </c>
      <c r="J277" s="1">
        <v>0</v>
      </c>
      <c r="K277" s="1">
        <f t="shared" si="781"/>
        <v>-5625</v>
      </c>
      <c r="L277" s="1">
        <v>0</v>
      </c>
      <c r="M277" s="1">
        <v>0</v>
      </c>
      <c r="N277" s="2">
        <f t="shared" si="782"/>
        <v>-15</v>
      </c>
      <c r="O277" s="2">
        <f t="shared" si="783"/>
        <v>-5625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7" customFormat="1" ht="15" customHeight="1">
      <c r="A278" s="15">
        <v>43657</v>
      </c>
      <c r="B278" s="3" t="s">
        <v>18</v>
      </c>
      <c r="C278" s="16" t="s">
        <v>10</v>
      </c>
      <c r="D278" s="16">
        <v>11550</v>
      </c>
      <c r="E278" s="17">
        <f t="shared" ref="E278:E281" si="784">75*5</f>
        <v>375</v>
      </c>
      <c r="F278" s="3" t="s">
        <v>7</v>
      </c>
      <c r="G278" s="35">
        <v>30</v>
      </c>
      <c r="H278" s="35">
        <v>40</v>
      </c>
      <c r="I278" s="1">
        <v>0</v>
      </c>
      <c r="J278" s="1">
        <v>0</v>
      </c>
      <c r="K278" s="1">
        <f t="shared" ref="K278" si="785">(IF(F278="SELL",G278-H278,IF(F278="BUY",H278-G278)))*E278</f>
        <v>3750</v>
      </c>
      <c r="L278" s="1">
        <v>0</v>
      </c>
      <c r="M278" s="1">
        <v>0</v>
      </c>
      <c r="N278" s="2">
        <f t="shared" ref="N278" si="786">(L278+K278+M278)/E278</f>
        <v>10</v>
      </c>
      <c r="O278" s="2">
        <f t="shared" ref="O278" si="787">N278*E278</f>
        <v>3750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7" customFormat="1" ht="15" customHeight="1">
      <c r="A279" s="15">
        <v>43656</v>
      </c>
      <c r="B279" s="3" t="s">
        <v>18</v>
      </c>
      <c r="C279" s="16" t="s">
        <v>9</v>
      </c>
      <c r="D279" s="16">
        <v>11500</v>
      </c>
      <c r="E279" s="17">
        <f t="shared" si="784"/>
        <v>375</v>
      </c>
      <c r="F279" s="3" t="s">
        <v>7</v>
      </c>
      <c r="G279" s="35">
        <v>30</v>
      </c>
      <c r="H279" s="35">
        <v>40</v>
      </c>
      <c r="I279" s="1">
        <v>0</v>
      </c>
      <c r="J279" s="1">
        <v>0</v>
      </c>
      <c r="K279" s="1">
        <f t="shared" ref="K279" si="788">(IF(F279="SELL",G279-H279,IF(F279="BUY",H279-G279)))*E279</f>
        <v>3750</v>
      </c>
      <c r="L279" s="1">
        <v>0</v>
      </c>
      <c r="M279" s="1">
        <v>0</v>
      </c>
      <c r="N279" s="2">
        <f t="shared" ref="N279" si="789">(L279+K279+M279)/E279</f>
        <v>10</v>
      </c>
      <c r="O279" s="2">
        <f t="shared" ref="O279" si="790">N279*E279</f>
        <v>3750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7" customFormat="1" ht="15" customHeight="1">
      <c r="A280" s="15">
        <v>43655</v>
      </c>
      <c r="B280" s="3" t="s">
        <v>18</v>
      </c>
      <c r="C280" s="16" t="s">
        <v>10</v>
      </c>
      <c r="D280" s="16">
        <v>11550</v>
      </c>
      <c r="E280" s="17">
        <f t="shared" si="784"/>
        <v>375</v>
      </c>
      <c r="F280" s="3" t="s">
        <v>7</v>
      </c>
      <c r="G280" s="35">
        <v>60</v>
      </c>
      <c r="H280" s="35">
        <v>40</v>
      </c>
      <c r="I280" s="1">
        <v>0</v>
      </c>
      <c r="J280" s="1">
        <v>0</v>
      </c>
      <c r="K280" s="1">
        <f t="shared" ref="K280:K281" si="791">(IF(F280="SELL",G280-H280,IF(F280="BUY",H280-G280)))*E280</f>
        <v>-7500</v>
      </c>
      <c r="L280" s="1">
        <v>0</v>
      </c>
      <c r="M280" s="1">
        <v>0</v>
      </c>
      <c r="N280" s="2">
        <f t="shared" ref="N280:N281" si="792">(L280+K280+M280)/E280</f>
        <v>-20</v>
      </c>
      <c r="O280" s="2">
        <f t="shared" ref="O280:O281" si="793">N280*E280</f>
        <v>-7500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7" customFormat="1" ht="15" customHeight="1">
      <c r="A281" s="15">
        <v>43655</v>
      </c>
      <c r="B281" s="3" t="s">
        <v>18</v>
      </c>
      <c r="C281" s="16" t="s">
        <v>9</v>
      </c>
      <c r="D281" s="16">
        <v>11500</v>
      </c>
      <c r="E281" s="17">
        <f t="shared" si="784"/>
        <v>375</v>
      </c>
      <c r="F281" s="3" t="s">
        <v>7</v>
      </c>
      <c r="G281" s="35">
        <v>60</v>
      </c>
      <c r="H281" s="35">
        <v>45</v>
      </c>
      <c r="I281" s="1">
        <v>0</v>
      </c>
      <c r="J281" s="1">
        <v>0</v>
      </c>
      <c r="K281" s="1">
        <f t="shared" si="791"/>
        <v>-5625</v>
      </c>
      <c r="L281" s="1">
        <v>0</v>
      </c>
      <c r="M281" s="1">
        <v>0</v>
      </c>
      <c r="N281" s="2">
        <f t="shared" si="792"/>
        <v>-15</v>
      </c>
      <c r="O281" s="2">
        <f t="shared" si="793"/>
        <v>-5625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7" customFormat="1" ht="15" customHeight="1">
      <c r="A282" s="15">
        <v>43654</v>
      </c>
      <c r="B282" s="3" t="s">
        <v>18</v>
      </c>
      <c r="C282" s="16" t="s">
        <v>9</v>
      </c>
      <c r="D282" s="16">
        <v>11600</v>
      </c>
      <c r="E282" s="17">
        <f t="shared" ref="E282:E283" si="794">75*5</f>
        <v>375</v>
      </c>
      <c r="F282" s="3" t="s">
        <v>7</v>
      </c>
      <c r="G282" s="35">
        <v>65</v>
      </c>
      <c r="H282" s="35">
        <v>75</v>
      </c>
      <c r="I282" s="1">
        <v>95</v>
      </c>
      <c r="J282" s="1">
        <v>0</v>
      </c>
      <c r="K282" s="1">
        <f t="shared" ref="K282" si="795">(IF(F282="SELL",G282-H282,IF(F282="BUY",H282-G282)))*E282</f>
        <v>3750</v>
      </c>
      <c r="L282" s="1">
        <f>E282*20</f>
        <v>7500</v>
      </c>
      <c r="M282" s="1">
        <v>0</v>
      </c>
      <c r="N282" s="2">
        <f t="shared" ref="N282" si="796">(L282+K282+M282)/E282</f>
        <v>30</v>
      </c>
      <c r="O282" s="2">
        <f t="shared" ref="O282" si="797">N282*E282</f>
        <v>11250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7" customFormat="1" ht="15" customHeight="1">
      <c r="A283" s="15">
        <v>43651</v>
      </c>
      <c r="B283" s="3" t="s">
        <v>18</v>
      </c>
      <c r="C283" s="16" t="s">
        <v>9</v>
      </c>
      <c r="D283" s="16">
        <v>11900</v>
      </c>
      <c r="E283" s="17">
        <f t="shared" si="794"/>
        <v>375</v>
      </c>
      <c r="F283" s="3" t="s">
        <v>7</v>
      </c>
      <c r="G283" s="35">
        <v>90</v>
      </c>
      <c r="H283" s="35">
        <v>70</v>
      </c>
      <c r="I283" s="1">
        <v>0</v>
      </c>
      <c r="J283" s="1">
        <v>0</v>
      </c>
      <c r="K283" s="1">
        <f t="shared" ref="K283:K284" si="798">(IF(F283="SELL",G283-H283,IF(F283="BUY",H283-G283)))*E283</f>
        <v>-7500</v>
      </c>
      <c r="L283" s="1">
        <v>0</v>
      </c>
      <c r="M283" s="1">
        <v>0</v>
      </c>
      <c r="N283" s="2">
        <f t="shared" ref="N283:N284" si="799">(L283+K283+M283)/E283</f>
        <v>-20</v>
      </c>
      <c r="O283" s="2">
        <f t="shared" ref="O283:O284" si="800">N283*E283</f>
        <v>-7500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7" customFormat="1" ht="15" customHeight="1">
      <c r="A284" s="15">
        <v>43651</v>
      </c>
      <c r="B284" s="3" t="s">
        <v>19</v>
      </c>
      <c r="C284" s="16" t="s">
        <v>10</v>
      </c>
      <c r="D284" s="16">
        <v>31600</v>
      </c>
      <c r="E284" s="17">
        <v>100</v>
      </c>
      <c r="F284" s="3" t="s">
        <v>7</v>
      </c>
      <c r="G284" s="35">
        <v>275</v>
      </c>
      <c r="H284" s="35">
        <v>200</v>
      </c>
      <c r="I284" s="1">
        <v>0</v>
      </c>
      <c r="J284" s="1">
        <v>0</v>
      </c>
      <c r="K284" s="1">
        <f t="shared" si="798"/>
        <v>-7500</v>
      </c>
      <c r="L284" s="1">
        <v>0</v>
      </c>
      <c r="M284" s="1">
        <v>0</v>
      </c>
      <c r="N284" s="2">
        <f t="shared" si="799"/>
        <v>-75</v>
      </c>
      <c r="O284" s="2">
        <f t="shared" si="800"/>
        <v>-7500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s="7" customFormat="1" ht="15" customHeight="1">
      <c r="A285" s="15">
        <v>43650</v>
      </c>
      <c r="B285" s="3" t="s">
        <v>18</v>
      </c>
      <c r="C285" s="16" t="s">
        <v>10</v>
      </c>
      <c r="D285" s="16">
        <v>11800</v>
      </c>
      <c r="E285" s="17">
        <f t="shared" ref="E285:E287" si="801">75*5</f>
        <v>375</v>
      </c>
      <c r="F285" s="3" t="s">
        <v>7</v>
      </c>
      <c r="G285" s="35">
        <v>140</v>
      </c>
      <c r="H285" s="35">
        <v>135</v>
      </c>
      <c r="I285" s="1">
        <v>0</v>
      </c>
      <c r="J285" s="1">
        <v>0</v>
      </c>
      <c r="K285" s="1">
        <f t="shared" ref="K285" si="802">(IF(F285="SELL",G285-H285,IF(F285="BUY",H285-G285)))*E285</f>
        <v>-1875</v>
      </c>
      <c r="L285" s="1">
        <v>0</v>
      </c>
      <c r="M285" s="1">
        <v>0</v>
      </c>
      <c r="N285" s="2">
        <f t="shared" ref="N285" si="803">(L285+K285+M285)/E285</f>
        <v>-5</v>
      </c>
      <c r="O285" s="2">
        <f t="shared" ref="O285" si="804">N285*E285</f>
        <v>-1875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s="7" customFormat="1" ht="15" customHeight="1">
      <c r="A286" s="15">
        <v>43649</v>
      </c>
      <c r="B286" s="3" t="s">
        <v>18</v>
      </c>
      <c r="C286" s="16" t="s">
        <v>9</v>
      </c>
      <c r="D286" s="16">
        <v>12100</v>
      </c>
      <c r="E286" s="17">
        <f t="shared" si="801"/>
        <v>375</v>
      </c>
      <c r="F286" s="3" t="s">
        <v>7</v>
      </c>
      <c r="G286" s="35">
        <v>170</v>
      </c>
      <c r="H286" s="35">
        <v>179</v>
      </c>
      <c r="I286" s="1">
        <v>0</v>
      </c>
      <c r="J286" s="1">
        <v>0</v>
      </c>
      <c r="K286" s="1">
        <f t="shared" ref="K286:K287" si="805">(IF(F286="SELL",G286-H286,IF(F286="BUY",H286-G286)))*E286</f>
        <v>3375</v>
      </c>
      <c r="L286" s="1">
        <v>0</v>
      </c>
      <c r="M286" s="1">
        <v>0</v>
      </c>
      <c r="N286" s="2">
        <f t="shared" ref="N286:N287" si="806">(L286+K286+M286)/E286</f>
        <v>9</v>
      </c>
      <c r="O286" s="2">
        <f t="shared" ref="O286:O287" si="807">N286*E286</f>
        <v>3375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s="7" customFormat="1" ht="15" customHeight="1">
      <c r="A287" s="15">
        <v>43649</v>
      </c>
      <c r="B287" s="3" t="s">
        <v>18</v>
      </c>
      <c r="C287" s="16" t="s">
        <v>9</v>
      </c>
      <c r="D287" s="16">
        <v>12100</v>
      </c>
      <c r="E287" s="17">
        <f t="shared" si="801"/>
        <v>375</v>
      </c>
      <c r="F287" s="3" t="s">
        <v>7</v>
      </c>
      <c r="G287" s="35">
        <v>177</v>
      </c>
      <c r="H287" s="35">
        <v>158</v>
      </c>
      <c r="I287" s="1">
        <v>0</v>
      </c>
      <c r="J287" s="1">
        <v>0</v>
      </c>
      <c r="K287" s="1">
        <f t="shared" si="805"/>
        <v>-7125</v>
      </c>
      <c r="L287" s="1">
        <v>0</v>
      </c>
      <c r="M287" s="1">
        <v>0</v>
      </c>
      <c r="N287" s="2">
        <f t="shared" si="806"/>
        <v>-19</v>
      </c>
      <c r="O287" s="2">
        <f t="shared" si="807"/>
        <v>-7125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s="7" customFormat="1" ht="15" customHeight="1">
      <c r="A288" s="15">
        <v>43648</v>
      </c>
      <c r="B288" s="3" t="s">
        <v>18</v>
      </c>
      <c r="C288" s="16" t="s">
        <v>9</v>
      </c>
      <c r="D288" s="16">
        <v>12100</v>
      </c>
      <c r="E288" s="17">
        <f t="shared" ref="E288:E305" si="808">75*5</f>
        <v>375</v>
      </c>
      <c r="F288" s="3" t="s">
        <v>7</v>
      </c>
      <c r="G288" s="35">
        <v>220</v>
      </c>
      <c r="H288" s="35">
        <v>235</v>
      </c>
      <c r="I288" s="1">
        <v>275</v>
      </c>
      <c r="J288" s="1">
        <v>0</v>
      </c>
      <c r="K288" s="1">
        <f t="shared" ref="K288" si="809">(IF(F288="SELL",G288-H288,IF(F288="BUY",H288-G288)))*E288</f>
        <v>5625</v>
      </c>
      <c r="L288" s="1">
        <f>E288*40</f>
        <v>15000</v>
      </c>
      <c r="M288" s="1">
        <v>0</v>
      </c>
      <c r="N288" s="2">
        <f t="shared" ref="N288" si="810">(L288+K288+M288)/E288</f>
        <v>55</v>
      </c>
      <c r="O288" s="2">
        <f t="shared" ref="O288" si="811">N288*E288</f>
        <v>20625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s="7" customFormat="1" ht="15" customHeight="1">
      <c r="A289" s="15">
        <v>43647</v>
      </c>
      <c r="B289" s="3" t="s">
        <v>18</v>
      </c>
      <c r="C289" s="16" t="s">
        <v>10</v>
      </c>
      <c r="D289" s="16">
        <v>11850</v>
      </c>
      <c r="E289" s="17">
        <f t="shared" si="808"/>
        <v>375</v>
      </c>
      <c r="F289" s="3" t="s">
        <v>7</v>
      </c>
      <c r="G289" s="35">
        <v>70</v>
      </c>
      <c r="H289" s="35">
        <v>80</v>
      </c>
      <c r="I289" s="1">
        <v>0</v>
      </c>
      <c r="J289" s="1">
        <v>0</v>
      </c>
      <c r="K289" s="1">
        <f t="shared" ref="K289" si="812">(IF(F289="SELL",G289-H289,IF(F289="BUY",H289-G289)))*E289</f>
        <v>3750</v>
      </c>
      <c r="L289" s="1">
        <v>0</v>
      </c>
      <c r="M289" s="1">
        <v>0</v>
      </c>
      <c r="N289" s="2">
        <f t="shared" ref="N289" si="813">(L289+K289+M289)/E289</f>
        <v>10</v>
      </c>
      <c r="O289" s="2">
        <f t="shared" ref="O289" si="814">N289*E289</f>
        <v>3750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s="7" customFormat="1" ht="15" customHeight="1">
      <c r="A290" s="15">
        <v>43644</v>
      </c>
      <c r="B290" s="3" t="s">
        <v>18</v>
      </c>
      <c r="C290" s="16" t="s">
        <v>10</v>
      </c>
      <c r="D290" s="16">
        <v>11850</v>
      </c>
      <c r="E290" s="17">
        <f t="shared" si="808"/>
        <v>375</v>
      </c>
      <c r="F290" s="3" t="s">
        <v>7</v>
      </c>
      <c r="G290" s="35">
        <v>90</v>
      </c>
      <c r="H290" s="35">
        <v>70</v>
      </c>
      <c r="I290" s="1">
        <v>0</v>
      </c>
      <c r="J290" s="1">
        <v>0</v>
      </c>
      <c r="K290" s="1">
        <f t="shared" ref="K290" si="815">(IF(F290="SELL",G290-H290,IF(F290="BUY",H290-G290)))*E290</f>
        <v>-7500</v>
      </c>
      <c r="L290" s="1">
        <v>0</v>
      </c>
      <c r="M290" s="1">
        <v>0</v>
      </c>
      <c r="N290" s="2">
        <f t="shared" ref="N290" si="816">(L290+K290+M290)/E290</f>
        <v>-20</v>
      </c>
      <c r="O290" s="2">
        <f t="shared" ref="O290" si="817">N290*E290</f>
        <v>-7500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s="7" customFormat="1" ht="15" customHeight="1">
      <c r="A291" s="15">
        <v>43643</v>
      </c>
      <c r="B291" s="3" t="s">
        <v>18</v>
      </c>
      <c r="C291" s="16" t="s">
        <v>10</v>
      </c>
      <c r="D291" s="16">
        <v>11900</v>
      </c>
      <c r="E291" s="17">
        <f t="shared" si="808"/>
        <v>375</v>
      </c>
      <c r="F291" s="3" t="s">
        <v>7</v>
      </c>
      <c r="G291" s="35">
        <v>25</v>
      </c>
      <c r="H291" s="35">
        <v>10</v>
      </c>
      <c r="I291" s="1">
        <v>0</v>
      </c>
      <c r="J291" s="1">
        <v>0</v>
      </c>
      <c r="K291" s="1">
        <f t="shared" ref="K291" si="818">(IF(F291="SELL",G291-H291,IF(F291="BUY",H291-G291)))*E291</f>
        <v>-5625</v>
      </c>
      <c r="L291" s="1">
        <v>0</v>
      </c>
      <c r="M291" s="1">
        <v>0</v>
      </c>
      <c r="N291" s="2">
        <f t="shared" ref="N291" si="819">(L291+K291+M291)/E291</f>
        <v>-15</v>
      </c>
      <c r="O291" s="2">
        <f t="shared" ref="O291" si="820">N291*E291</f>
        <v>-5625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s="7" customFormat="1" ht="15" customHeight="1">
      <c r="A292" s="15">
        <v>43642</v>
      </c>
      <c r="B292" s="3" t="s">
        <v>18</v>
      </c>
      <c r="C292" s="16" t="s">
        <v>10</v>
      </c>
      <c r="D292" s="16">
        <v>11600</v>
      </c>
      <c r="E292" s="17">
        <f t="shared" si="808"/>
        <v>375</v>
      </c>
      <c r="F292" s="3" t="s">
        <v>7</v>
      </c>
      <c r="G292" s="35">
        <v>215</v>
      </c>
      <c r="H292" s="35">
        <v>230</v>
      </c>
      <c r="I292" s="1">
        <v>270</v>
      </c>
      <c r="J292" s="1">
        <v>0</v>
      </c>
      <c r="K292" s="1">
        <f t="shared" ref="K292" si="821">(IF(F292="SELL",G292-H292,IF(F292="BUY",H292-G292)))*E292</f>
        <v>5625</v>
      </c>
      <c r="L292" s="1">
        <f>E292*40</f>
        <v>15000</v>
      </c>
      <c r="M292" s="1">
        <v>0</v>
      </c>
      <c r="N292" s="2">
        <f t="shared" ref="N292" si="822">(L292+K292+M292)/E292</f>
        <v>55</v>
      </c>
      <c r="O292" s="2">
        <f t="shared" ref="O292" si="823">N292*E292</f>
        <v>20625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s="7" customFormat="1" ht="15" customHeight="1">
      <c r="A293" s="15">
        <v>43641</v>
      </c>
      <c r="B293" s="3" t="s">
        <v>18</v>
      </c>
      <c r="C293" s="16" t="s">
        <v>10</v>
      </c>
      <c r="D293" s="16">
        <v>11700</v>
      </c>
      <c r="E293" s="17">
        <f t="shared" si="808"/>
        <v>375</v>
      </c>
      <c r="F293" s="3" t="s">
        <v>7</v>
      </c>
      <c r="G293" s="35">
        <v>60</v>
      </c>
      <c r="H293" s="35">
        <v>70</v>
      </c>
      <c r="I293" s="1">
        <v>90</v>
      </c>
      <c r="J293" s="1">
        <v>120</v>
      </c>
      <c r="K293" s="1">
        <f t="shared" ref="K293" si="824">(IF(F293="SELL",G293-H293,IF(F293="BUY",H293-G293)))*E293</f>
        <v>3750</v>
      </c>
      <c r="L293" s="1">
        <f>E293*20</f>
        <v>7500</v>
      </c>
      <c r="M293" s="1">
        <f>E293*30</f>
        <v>11250</v>
      </c>
      <c r="N293" s="2">
        <f t="shared" ref="N293" si="825">(L293+K293+M293)/E293</f>
        <v>60</v>
      </c>
      <c r="O293" s="2">
        <f t="shared" ref="O293" si="826">N293*E293</f>
        <v>22500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s="7" customFormat="1" ht="15" customHeight="1">
      <c r="A294" s="15">
        <v>43640</v>
      </c>
      <c r="B294" s="3" t="s">
        <v>18</v>
      </c>
      <c r="C294" s="16" t="s">
        <v>10</v>
      </c>
      <c r="D294" s="16">
        <v>11600</v>
      </c>
      <c r="E294" s="17">
        <f t="shared" si="808"/>
        <v>375</v>
      </c>
      <c r="F294" s="3" t="s">
        <v>7</v>
      </c>
      <c r="G294" s="35">
        <v>145</v>
      </c>
      <c r="H294" s="35">
        <v>160</v>
      </c>
      <c r="I294" s="1">
        <v>0</v>
      </c>
      <c r="J294" s="1">
        <v>0</v>
      </c>
      <c r="K294" s="1">
        <f t="shared" ref="K294" si="827">(IF(F294="SELL",G294-H294,IF(F294="BUY",H294-G294)))*E294</f>
        <v>5625</v>
      </c>
      <c r="L294" s="1">
        <v>0</v>
      </c>
      <c r="M294" s="1">
        <v>0</v>
      </c>
      <c r="N294" s="2">
        <f t="shared" ref="N294" si="828">(L294+K294+M294)/E294</f>
        <v>15</v>
      </c>
      <c r="O294" s="2">
        <f t="shared" ref="O294" si="829">N294*E294</f>
        <v>5625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s="7" customFormat="1" ht="15" customHeight="1">
      <c r="A295" s="15">
        <v>43636</v>
      </c>
      <c r="B295" s="3" t="s">
        <v>18</v>
      </c>
      <c r="C295" s="16" t="s">
        <v>10</v>
      </c>
      <c r="D295" s="16">
        <v>11750</v>
      </c>
      <c r="E295" s="17">
        <f t="shared" si="808"/>
        <v>375</v>
      </c>
      <c r="F295" s="3" t="s">
        <v>7</v>
      </c>
      <c r="G295" s="35">
        <v>23</v>
      </c>
      <c r="H295" s="35">
        <v>33</v>
      </c>
      <c r="I295" s="1">
        <v>50</v>
      </c>
      <c r="J295" s="1">
        <v>75</v>
      </c>
      <c r="K295" s="1">
        <f t="shared" ref="K295" si="830">(IF(F295="SELL",G295-H295,IF(F295="BUY",H295-G295)))*E295</f>
        <v>3750</v>
      </c>
      <c r="L295" s="1">
        <f>E295*17</f>
        <v>6375</v>
      </c>
      <c r="M295" s="1">
        <f>E295*25</f>
        <v>9375</v>
      </c>
      <c r="N295" s="2">
        <f t="shared" ref="N295:N300" si="831">(L295+K295+M295)/E295</f>
        <v>52</v>
      </c>
      <c r="O295" s="2">
        <f t="shared" ref="O295" si="832">N295*E295</f>
        <v>19500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s="7" customFormat="1" ht="15" customHeight="1">
      <c r="A296" s="15">
        <v>43634</v>
      </c>
      <c r="B296" s="3" t="s">
        <v>18</v>
      </c>
      <c r="C296" s="16" t="s">
        <v>10</v>
      </c>
      <c r="D296" s="16">
        <v>11600</v>
      </c>
      <c r="E296" s="17">
        <f t="shared" si="808"/>
        <v>375</v>
      </c>
      <c r="F296" s="3" t="s">
        <v>7</v>
      </c>
      <c r="G296" s="35">
        <v>110</v>
      </c>
      <c r="H296" s="35">
        <v>125</v>
      </c>
      <c r="I296" s="1">
        <v>0</v>
      </c>
      <c r="J296" s="1">
        <v>0</v>
      </c>
      <c r="K296" s="1">
        <f t="shared" ref="K296" si="833">(IF(F296="SELL",G296-H296,IF(F296="BUY",H296-G296)))*E296</f>
        <v>5625</v>
      </c>
      <c r="L296" s="1">
        <v>0</v>
      </c>
      <c r="M296" s="1">
        <v>0</v>
      </c>
      <c r="N296" s="2">
        <f t="shared" si="831"/>
        <v>15</v>
      </c>
      <c r="O296" s="2">
        <f t="shared" ref="O296" si="834">N296*E296</f>
        <v>5625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s="7" customFormat="1" ht="15" customHeight="1">
      <c r="A297" s="15">
        <v>43633</v>
      </c>
      <c r="B297" s="3" t="s">
        <v>18</v>
      </c>
      <c r="C297" s="16" t="s">
        <v>9</v>
      </c>
      <c r="D297" s="16">
        <v>11750</v>
      </c>
      <c r="E297" s="17">
        <f t="shared" si="808"/>
        <v>375</v>
      </c>
      <c r="F297" s="3" t="s">
        <v>7</v>
      </c>
      <c r="G297" s="35">
        <v>60</v>
      </c>
      <c r="H297" s="35">
        <v>70</v>
      </c>
      <c r="I297" s="1">
        <v>95</v>
      </c>
      <c r="J297" s="1">
        <v>0</v>
      </c>
      <c r="K297" s="1">
        <f t="shared" ref="K297" si="835">(IF(F297="SELL",G297-H297,IF(F297="BUY",H297-G297)))*E297</f>
        <v>3750</v>
      </c>
      <c r="L297" s="1">
        <f>E297*25</f>
        <v>9375</v>
      </c>
      <c r="M297" s="1">
        <v>0</v>
      </c>
      <c r="N297" s="2">
        <f t="shared" si="831"/>
        <v>35</v>
      </c>
      <c r="O297" s="2">
        <f t="shared" ref="O297" si="836">N297*E297</f>
        <v>13125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s="7" customFormat="1" ht="15" customHeight="1">
      <c r="A298" s="15">
        <v>43627</v>
      </c>
      <c r="B298" s="3" t="s">
        <v>18</v>
      </c>
      <c r="C298" s="16" t="s">
        <v>10</v>
      </c>
      <c r="D298" s="16">
        <v>11700</v>
      </c>
      <c r="E298" s="17">
        <f t="shared" si="808"/>
        <v>375</v>
      </c>
      <c r="F298" s="3" t="s">
        <v>7</v>
      </c>
      <c r="G298" s="35">
        <v>235</v>
      </c>
      <c r="H298" s="35">
        <v>250</v>
      </c>
      <c r="I298" s="1">
        <v>290</v>
      </c>
      <c r="J298" s="1">
        <v>0</v>
      </c>
      <c r="K298" s="1">
        <f t="shared" ref="K298" si="837">(IF(F298="SELL",G298-H298,IF(F298="BUY",H298-G298)))*E298</f>
        <v>5625</v>
      </c>
      <c r="L298" s="1">
        <f>E298*40</f>
        <v>15000</v>
      </c>
      <c r="M298" s="1">
        <v>0</v>
      </c>
      <c r="N298" s="2">
        <f t="shared" si="831"/>
        <v>55</v>
      </c>
      <c r="O298" s="2">
        <f t="shared" ref="O298" si="838">N298*E298</f>
        <v>20625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s="7" customFormat="1" ht="15" customHeight="1">
      <c r="A299" s="15">
        <v>43623</v>
      </c>
      <c r="B299" s="3" t="s">
        <v>18</v>
      </c>
      <c r="C299" s="16" t="s">
        <v>10</v>
      </c>
      <c r="D299" s="16">
        <v>11700</v>
      </c>
      <c r="E299" s="17">
        <f t="shared" si="808"/>
        <v>375</v>
      </c>
      <c r="F299" s="3" t="s">
        <v>7</v>
      </c>
      <c r="G299" s="35">
        <v>145</v>
      </c>
      <c r="H299" s="35">
        <v>160</v>
      </c>
      <c r="I299" s="1">
        <v>190</v>
      </c>
      <c r="J299" s="1">
        <v>0</v>
      </c>
      <c r="K299" s="1">
        <f t="shared" ref="K299" si="839">(IF(F299="SELL",G299-H299,IF(F299="BUY",H299-G299)))*E299</f>
        <v>5625</v>
      </c>
      <c r="L299" s="1">
        <f>E299*30</f>
        <v>11250</v>
      </c>
      <c r="M299" s="1">
        <v>0</v>
      </c>
      <c r="N299" s="2">
        <f t="shared" si="831"/>
        <v>45</v>
      </c>
      <c r="O299" s="2">
        <f t="shared" ref="O299" si="840">N299*E299</f>
        <v>16875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s="7" customFormat="1" ht="15" customHeight="1">
      <c r="A300" s="15">
        <v>43620</v>
      </c>
      <c r="B300" s="3" t="s">
        <v>18</v>
      </c>
      <c r="C300" s="16" t="s">
        <v>10</v>
      </c>
      <c r="D300" s="16">
        <v>11900</v>
      </c>
      <c r="E300" s="17">
        <f t="shared" si="808"/>
        <v>375</v>
      </c>
      <c r="F300" s="3" t="s">
        <v>7</v>
      </c>
      <c r="G300" s="35">
        <v>155</v>
      </c>
      <c r="H300" s="35">
        <v>170</v>
      </c>
      <c r="I300" s="1">
        <v>0</v>
      </c>
      <c r="J300" s="1">
        <v>0</v>
      </c>
      <c r="K300" s="1">
        <f t="shared" ref="K300" si="841">(IF(F300="SELL",G300-H300,IF(F300="BUY",H300-G300)))*E300</f>
        <v>5625</v>
      </c>
      <c r="L300" s="1">
        <v>0</v>
      </c>
      <c r="M300" s="1">
        <v>0</v>
      </c>
      <c r="N300" s="2">
        <f t="shared" si="831"/>
        <v>15</v>
      </c>
      <c r="O300" s="2">
        <f t="shared" ref="O300" si="842">N300*E300</f>
        <v>5625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s="7" customFormat="1" ht="15" customHeight="1">
      <c r="A301" s="15">
        <v>43619</v>
      </c>
      <c r="B301" s="3" t="s">
        <v>18</v>
      </c>
      <c r="C301" s="16" t="s">
        <v>10</v>
      </c>
      <c r="D301" s="16">
        <v>12000</v>
      </c>
      <c r="E301" s="17">
        <f t="shared" si="808"/>
        <v>375</v>
      </c>
      <c r="F301" s="3" t="s">
        <v>7</v>
      </c>
      <c r="G301" s="35">
        <v>60</v>
      </c>
      <c r="H301" s="35">
        <v>70</v>
      </c>
      <c r="I301" s="3">
        <v>90</v>
      </c>
      <c r="J301" s="1">
        <v>0</v>
      </c>
      <c r="K301" s="1">
        <f t="shared" ref="K301" si="843">(IF(F301="SELL",G301-H301,IF(F301="BUY",H301-G301)))*E301</f>
        <v>3750</v>
      </c>
      <c r="L301" s="1">
        <f>E301*20</f>
        <v>7500</v>
      </c>
      <c r="M301" s="1">
        <v>0</v>
      </c>
      <c r="N301" s="2">
        <f t="shared" ref="N301:N339" si="844">(L301+K301+M301)/E301</f>
        <v>30</v>
      </c>
      <c r="O301" s="2">
        <f t="shared" ref="O301" si="845">N301*E301</f>
        <v>11250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s="7" customFormat="1" ht="15" customHeight="1">
      <c r="A302" s="15">
        <v>43616</v>
      </c>
      <c r="B302" s="3" t="s">
        <v>18</v>
      </c>
      <c r="C302" s="16" t="s">
        <v>10</v>
      </c>
      <c r="D302" s="16">
        <v>12000</v>
      </c>
      <c r="E302" s="17">
        <f t="shared" si="808"/>
        <v>375</v>
      </c>
      <c r="F302" s="3" t="s">
        <v>7</v>
      </c>
      <c r="G302" s="35">
        <v>80</v>
      </c>
      <c r="H302" s="35">
        <v>50</v>
      </c>
      <c r="I302" s="1">
        <v>0</v>
      </c>
      <c r="J302" s="1">
        <v>0</v>
      </c>
      <c r="K302" s="1">
        <f t="shared" ref="K302" si="846">(IF(F302="SELL",G302-H302,IF(F302="BUY",H302-G302)))*E302</f>
        <v>-11250</v>
      </c>
      <c r="L302" s="1">
        <v>0</v>
      </c>
      <c r="M302" s="1">
        <v>0</v>
      </c>
      <c r="N302" s="2">
        <f t="shared" si="844"/>
        <v>-30</v>
      </c>
      <c r="O302" s="2">
        <f t="shared" ref="O302" si="847">N302*E302</f>
        <v>-11250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s="7" customFormat="1" ht="15" customHeight="1">
      <c r="A303" s="15">
        <v>43615</v>
      </c>
      <c r="B303" s="3" t="s">
        <v>18</v>
      </c>
      <c r="C303" s="16" t="s">
        <v>10</v>
      </c>
      <c r="D303" s="16">
        <v>11900</v>
      </c>
      <c r="E303" s="17">
        <f t="shared" si="808"/>
        <v>375</v>
      </c>
      <c r="F303" s="3" t="s">
        <v>7</v>
      </c>
      <c r="G303" s="35">
        <v>35</v>
      </c>
      <c r="H303" s="35">
        <v>45</v>
      </c>
      <c r="I303" s="1">
        <v>0</v>
      </c>
      <c r="J303" s="1">
        <v>0</v>
      </c>
      <c r="K303" s="1">
        <f t="shared" ref="K303" si="848">(IF(F303="SELL",G303-H303,IF(F303="BUY",H303-G303)))*E303</f>
        <v>3750</v>
      </c>
      <c r="L303" s="1">
        <v>0</v>
      </c>
      <c r="M303" s="1">
        <v>0</v>
      </c>
      <c r="N303" s="2">
        <f t="shared" si="844"/>
        <v>10</v>
      </c>
      <c r="O303" s="2">
        <f t="shared" ref="O303" si="849">N303*E303</f>
        <v>3750</v>
      </c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s="7" customFormat="1" ht="15" customHeight="1">
      <c r="A304" s="15">
        <v>43614</v>
      </c>
      <c r="B304" s="3" t="s">
        <v>18</v>
      </c>
      <c r="C304" s="16" t="s">
        <v>10</v>
      </c>
      <c r="D304" s="16">
        <v>11950</v>
      </c>
      <c r="E304" s="17">
        <f t="shared" si="808"/>
        <v>375</v>
      </c>
      <c r="F304" s="3" t="s">
        <v>7</v>
      </c>
      <c r="G304" s="35">
        <v>35</v>
      </c>
      <c r="H304" s="35">
        <v>15</v>
      </c>
      <c r="I304" s="1">
        <v>0</v>
      </c>
      <c r="J304" s="1">
        <v>0</v>
      </c>
      <c r="K304" s="1">
        <f t="shared" ref="K304:K305" si="850">(IF(F304="SELL",G304-H304,IF(F304="BUY",H304-G304)))*E304</f>
        <v>-7500</v>
      </c>
      <c r="L304" s="1">
        <v>0</v>
      </c>
      <c r="M304" s="1">
        <v>0</v>
      </c>
      <c r="N304" s="2">
        <f t="shared" si="844"/>
        <v>-20</v>
      </c>
      <c r="O304" s="2">
        <f t="shared" ref="O304:O305" si="851">N304*E304</f>
        <v>-7500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s="7" customFormat="1" ht="15" customHeight="1">
      <c r="A305" s="15">
        <v>43613</v>
      </c>
      <c r="B305" s="3" t="s">
        <v>18</v>
      </c>
      <c r="C305" s="16" t="s">
        <v>9</v>
      </c>
      <c r="D305" s="16">
        <v>12100</v>
      </c>
      <c r="E305" s="17">
        <f t="shared" si="808"/>
        <v>375</v>
      </c>
      <c r="F305" s="3" t="s">
        <v>7</v>
      </c>
      <c r="G305" s="35">
        <v>197</v>
      </c>
      <c r="H305" s="35">
        <v>212</v>
      </c>
      <c r="I305" s="1">
        <v>0</v>
      </c>
      <c r="J305" s="1">
        <v>0</v>
      </c>
      <c r="K305" s="1">
        <f t="shared" si="850"/>
        <v>5625</v>
      </c>
      <c r="L305" s="1">
        <v>0</v>
      </c>
      <c r="M305" s="1">
        <v>0</v>
      </c>
      <c r="N305" s="2">
        <f t="shared" si="844"/>
        <v>15</v>
      </c>
      <c r="O305" s="2">
        <f t="shared" si="851"/>
        <v>5625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s="7" customFormat="1" ht="15" customHeight="1">
      <c r="A306" s="15">
        <v>43612</v>
      </c>
      <c r="B306" s="3" t="s">
        <v>18</v>
      </c>
      <c r="C306" s="16" t="s">
        <v>10</v>
      </c>
      <c r="D306" s="16">
        <v>12000</v>
      </c>
      <c r="E306" s="17">
        <f t="shared" ref="E306:E307" si="852">75*5</f>
        <v>375</v>
      </c>
      <c r="F306" s="3" t="s">
        <v>7</v>
      </c>
      <c r="G306" s="35">
        <v>35</v>
      </c>
      <c r="H306" s="35">
        <v>45</v>
      </c>
      <c r="I306" s="3">
        <v>60</v>
      </c>
      <c r="J306" s="1">
        <v>0</v>
      </c>
      <c r="K306" s="1">
        <f t="shared" ref="K306" si="853">(IF(F306="SELL",G306-H306,IF(F306="BUY",H306-G306)))*E306</f>
        <v>3750</v>
      </c>
      <c r="L306" s="1">
        <f>E306*15</f>
        <v>5625</v>
      </c>
      <c r="M306" s="1">
        <v>0</v>
      </c>
      <c r="N306" s="2">
        <f t="shared" si="844"/>
        <v>25</v>
      </c>
      <c r="O306" s="2">
        <f t="shared" ref="O306" si="854">N306*E306</f>
        <v>9375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s="7" customFormat="1" ht="15" customHeight="1">
      <c r="A307" s="15">
        <v>43609</v>
      </c>
      <c r="B307" s="3" t="s">
        <v>18</v>
      </c>
      <c r="C307" s="16" t="s">
        <v>10</v>
      </c>
      <c r="D307" s="16">
        <v>11700</v>
      </c>
      <c r="E307" s="17">
        <f t="shared" si="852"/>
        <v>375</v>
      </c>
      <c r="F307" s="3" t="s">
        <v>7</v>
      </c>
      <c r="G307" s="35">
        <v>105</v>
      </c>
      <c r="H307" s="35">
        <v>125</v>
      </c>
      <c r="I307" s="3">
        <v>150</v>
      </c>
      <c r="J307" s="1">
        <v>0</v>
      </c>
      <c r="K307" s="1">
        <f t="shared" ref="K307" si="855">(IF(F307="SELL",G307-H307,IF(F307="BUY",H307-G307)))*E307</f>
        <v>7500</v>
      </c>
      <c r="L307" s="1">
        <f>E307*25</f>
        <v>9375</v>
      </c>
      <c r="M307" s="1">
        <v>0</v>
      </c>
      <c r="N307" s="2">
        <f t="shared" si="844"/>
        <v>45</v>
      </c>
      <c r="O307" s="2">
        <f t="shared" ref="O307" si="856">N307*E307</f>
        <v>16875</v>
      </c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s="7" customFormat="1" ht="15" customHeight="1">
      <c r="A308" s="15">
        <v>43608</v>
      </c>
      <c r="B308" s="3" t="s">
        <v>19</v>
      </c>
      <c r="C308" s="16" t="s">
        <v>10</v>
      </c>
      <c r="D308" s="16">
        <v>31200</v>
      </c>
      <c r="E308" s="17">
        <f>20*5</f>
        <v>100</v>
      </c>
      <c r="F308" s="3" t="s">
        <v>7</v>
      </c>
      <c r="G308" s="35">
        <v>320</v>
      </c>
      <c r="H308" s="35">
        <v>370</v>
      </c>
      <c r="I308" s="3">
        <v>470</v>
      </c>
      <c r="J308" s="1">
        <v>0</v>
      </c>
      <c r="K308" s="1">
        <f t="shared" ref="K308" si="857">(IF(F308="SELL",G308-H308,IF(F308="BUY",H308-G308)))*E308</f>
        <v>5000</v>
      </c>
      <c r="L308" s="1">
        <f>E308*100</f>
        <v>10000</v>
      </c>
      <c r="M308" s="1">
        <v>0</v>
      </c>
      <c r="N308" s="2">
        <f t="shared" si="844"/>
        <v>150</v>
      </c>
      <c r="O308" s="2">
        <f t="shared" ref="O308" si="858">N308*E308</f>
        <v>15000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s="7" customFormat="1" ht="15" customHeight="1">
      <c r="A309" s="15">
        <v>43605</v>
      </c>
      <c r="B309" s="3" t="s">
        <v>18</v>
      </c>
      <c r="C309" s="16" t="s">
        <v>10</v>
      </c>
      <c r="D309" s="16">
        <v>11600</v>
      </c>
      <c r="E309" s="17">
        <f t="shared" ref="E309:E318" si="859">75*5</f>
        <v>375</v>
      </c>
      <c r="F309" s="3" t="s">
        <v>7</v>
      </c>
      <c r="G309" s="35">
        <v>230</v>
      </c>
      <c r="H309" s="35">
        <v>250</v>
      </c>
      <c r="I309" s="3">
        <v>290</v>
      </c>
      <c r="J309" s="1">
        <v>0</v>
      </c>
      <c r="K309" s="1">
        <f t="shared" ref="K309" si="860">(IF(F309="SELL",G309-H309,IF(F309="BUY",H309-G309)))*E309</f>
        <v>7500</v>
      </c>
      <c r="L309" s="1">
        <f>E309*40</f>
        <v>15000</v>
      </c>
      <c r="M309" s="1">
        <v>0</v>
      </c>
      <c r="N309" s="2">
        <f t="shared" si="844"/>
        <v>60</v>
      </c>
      <c r="O309" s="2">
        <f t="shared" ref="O309" si="861">N309*E309</f>
        <v>22500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s="7" customFormat="1" ht="15" customHeight="1">
      <c r="A310" s="15">
        <v>43600</v>
      </c>
      <c r="B310" s="3" t="s">
        <v>18</v>
      </c>
      <c r="C310" s="16" t="s">
        <v>10</v>
      </c>
      <c r="D310" s="16">
        <v>11300</v>
      </c>
      <c r="E310" s="17">
        <f t="shared" si="859"/>
        <v>375</v>
      </c>
      <c r="F310" s="3" t="s">
        <v>7</v>
      </c>
      <c r="G310" s="35">
        <v>45</v>
      </c>
      <c r="H310" s="35">
        <v>25</v>
      </c>
      <c r="I310" s="1">
        <v>0</v>
      </c>
      <c r="J310" s="1">
        <v>0</v>
      </c>
      <c r="K310" s="1">
        <f t="shared" ref="K310" si="862">(IF(F310="SELL",G310-H310,IF(F310="BUY",H310-G310)))*E310</f>
        <v>-7500</v>
      </c>
      <c r="L310" s="1">
        <v>0</v>
      </c>
      <c r="M310" s="1">
        <v>0</v>
      </c>
      <c r="N310" s="2">
        <f t="shared" si="844"/>
        <v>-20</v>
      </c>
      <c r="O310" s="2">
        <f t="shared" ref="O310" si="863">N310*E310</f>
        <v>-7500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s="7" customFormat="1" ht="15" customHeight="1">
      <c r="A311" s="15">
        <v>43599</v>
      </c>
      <c r="B311" s="3" t="s">
        <v>18</v>
      </c>
      <c r="C311" s="16" t="s">
        <v>9</v>
      </c>
      <c r="D311" s="16">
        <v>11100</v>
      </c>
      <c r="E311" s="17">
        <f t="shared" si="859"/>
        <v>375</v>
      </c>
      <c r="F311" s="3" t="s">
        <v>7</v>
      </c>
      <c r="G311" s="35">
        <v>60</v>
      </c>
      <c r="H311" s="35">
        <v>50</v>
      </c>
      <c r="I311" s="1">
        <v>0</v>
      </c>
      <c r="J311" s="1">
        <v>0</v>
      </c>
      <c r="K311" s="1">
        <f t="shared" ref="K311" si="864">(IF(F311="SELL",G311-H311,IF(F311="BUY",H311-G311)))*E311</f>
        <v>-3750</v>
      </c>
      <c r="L311" s="1">
        <v>0</v>
      </c>
      <c r="M311" s="1">
        <v>0</v>
      </c>
      <c r="N311" s="2">
        <f t="shared" si="844"/>
        <v>-10</v>
      </c>
      <c r="O311" s="2">
        <f t="shared" ref="O311" si="865">N311*E311</f>
        <v>-3750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s="7" customFormat="1" ht="15" customHeight="1">
      <c r="A312" s="15">
        <v>43595</v>
      </c>
      <c r="B312" s="3" t="s">
        <v>18</v>
      </c>
      <c r="C312" s="16" t="s">
        <v>9</v>
      </c>
      <c r="D312" s="16">
        <v>11300</v>
      </c>
      <c r="E312" s="17">
        <f t="shared" si="859"/>
        <v>375</v>
      </c>
      <c r="F312" s="3" t="s">
        <v>7</v>
      </c>
      <c r="G312" s="35">
        <v>100</v>
      </c>
      <c r="H312" s="35">
        <v>105</v>
      </c>
      <c r="I312" s="1">
        <v>0</v>
      </c>
      <c r="J312" s="1">
        <v>0</v>
      </c>
      <c r="K312" s="1">
        <f t="shared" ref="K312" si="866">(IF(F312="SELL",G312-H312,IF(F312="BUY",H312-G312)))*E312</f>
        <v>1875</v>
      </c>
      <c r="L312" s="1">
        <v>0</v>
      </c>
      <c r="M312" s="1">
        <v>0</v>
      </c>
      <c r="N312" s="2">
        <f t="shared" si="844"/>
        <v>5</v>
      </c>
      <c r="O312" s="2">
        <f t="shared" ref="O312" si="867">N312*E312</f>
        <v>1875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s="7" customFormat="1" ht="15" customHeight="1">
      <c r="A313" s="15">
        <v>43594</v>
      </c>
      <c r="B313" s="3" t="s">
        <v>18</v>
      </c>
      <c r="C313" s="16" t="s">
        <v>10</v>
      </c>
      <c r="D313" s="16">
        <v>11200</v>
      </c>
      <c r="E313" s="17">
        <f t="shared" si="859"/>
        <v>375</v>
      </c>
      <c r="F313" s="3" t="s">
        <v>7</v>
      </c>
      <c r="G313" s="35">
        <v>132</v>
      </c>
      <c r="H313" s="35">
        <v>107</v>
      </c>
      <c r="I313" s="1">
        <v>0</v>
      </c>
      <c r="J313" s="1">
        <v>0</v>
      </c>
      <c r="K313" s="1">
        <f t="shared" ref="K313:K314" si="868">(IF(F313="SELL",G313-H313,IF(F313="BUY",H313-G313)))*E313</f>
        <v>-9375</v>
      </c>
      <c r="L313" s="1">
        <v>0</v>
      </c>
      <c r="M313" s="1">
        <v>0</v>
      </c>
      <c r="N313" s="2">
        <f t="shared" si="844"/>
        <v>-25</v>
      </c>
      <c r="O313" s="2">
        <f t="shared" ref="O313:O314" si="869">N313*E313</f>
        <v>-9375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s="7" customFormat="1" ht="15" customHeight="1">
      <c r="A314" s="15">
        <v>43594</v>
      </c>
      <c r="B314" s="3" t="s">
        <v>18</v>
      </c>
      <c r="C314" s="16" t="s">
        <v>9</v>
      </c>
      <c r="D314" s="16">
        <v>11300</v>
      </c>
      <c r="E314" s="17">
        <f t="shared" si="859"/>
        <v>375</v>
      </c>
      <c r="F314" s="3" t="s">
        <v>7</v>
      </c>
      <c r="G314" s="35">
        <v>30</v>
      </c>
      <c r="H314" s="35">
        <v>10</v>
      </c>
      <c r="I314" s="1">
        <v>0</v>
      </c>
      <c r="J314" s="1">
        <v>0</v>
      </c>
      <c r="K314" s="1">
        <f t="shared" si="868"/>
        <v>-7500</v>
      </c>
      <c r="L314" s="1">
        <v>0</v>
      </c>
      <c r="M314" s="1">
        <v>0</v>
      </c>
      <c r="N314" s="2">
        <f t="shared" si="844"/>
        <v>-20</v>
      </c>
      <c r="O314" s="2">
        <f t="shared" si="869"/>
        <v>-7500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s="7" customFormat="1" ht="15" customHeight="1">
      <c r="A315" s="15">
        <v>43593</v>
      </c>
      <c r="B315" s="3" t="s">
        <v>18</v>
      </c>
      <c r="C315" s="16" t="s">
        <v>9</v>
      </c>
      <c r="D315" s="16">
        <v>11400</v>
      </c>
      <c r="E315" s="17">
        <f t="shared" si="859"/>
        <v>375</v>
      </c>
      <c r="F315" s="3" t="s">
        <v>7</v>
      </c>
      <c r="G315" s="35">
        <v>30</v>
      </c>
      <c r="H315" s="35">
        <v>60</v>
      </c>
      <c r="I315" s="1">
        <v>0</v>
      </c>
      <c r="J315" s="1">
        <v>0</v>
      </c>
      <c r="K315" s="1">
        <f t="shared" ref="K315" si="870">(IF(F315="SELL",G315-H315,IF(F315="BUY",H315-G315)))*E315</f>
        <v>11250</v>
      </c>
      <c r="L315" s="1">
        <v>0</v>
      </c>
      <c r="M315" s="1">
        <v>0</v>
      </c>
      <c r="N315" s="2">
        <f t="shared" si="844"/>
        <v>30</v>
      </c>
      <c r="O315" s="2">
        <f t="shared" ref="O315" si="871">N315*E315</f>
        <v>11250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s="7" customFormat="1" ht="15" customHeight="1">
      <c r="A316" s="15">
        <v>43592</v>
      </c>
      <c r="B316" s="3" t="s">
        <v>18</v>
      </c>
      <c r="C316" s="16" t="s">
        <v>10</v>
      </c>
      <c r="D316" s="16">
        <v>11700</v>
      </c>
      <c r="E316" s="17">
        <f t="shared" si="859"/>
        <v>375</v>
      </c>
      <c r="F316" s="3" t="s">
        <v>7</v>
      </c>
      <c r="G316" s="35">
        <v>30</v>
      </c>
      <c r="H316" s="35">
        <v>15</v>
      </c>
      <c r="I316" s="1">
        <v>0</v>
      </c>
      <c r="J316" s="1">
        <v>0</v>
      </c>
      <c r="K316" s="1">
        <f t="shared" ref="K316:K318" si="872">(IF(F316="SELL",G316-H316,IF(F316="BUY",H316-G316)))*E316</f>
        <v>-5625</v>
      </c>
      <c r="L316" s="1">
        <v>0</v>
      </c>
      <c r="M316" s="1">
        <v>0</v>
      </c>
      <c r="N316" s="2">
        <f t="shared" si="844"/>
        <v>-15</v>
      </c>
      <c r="O316" s="2">
        <f t="shared" ref="O316:O318" si="873">N316*E316</f>
        <v>-5625</v>
      </c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s="7" customFormat="1" ht="15" customHeight="1">
      <c r="A317" s="15">
        <v>43592</v>
      </c>
      <c r="B317" s="3" t="s">
        <v>18</v>
      </c>
      <c r="C317" s="16" t="s">
        <v>9</v>
      </c>
      <c r="D317" s="16">
        <v>11600</v>
      </c>
      <c r="E317" s="17">
        <f t="shared" si="859"/>
        <v>375</v>
      </c>
      <c r="F317" s="3" t="s">
        <v>7</v>
      </c>
      <c r="G317" s="35">
        <v>45</v>
      </c>
      <c r="H317" s="35">
        <v>30</v>
      </c>
      <c r="I317" s="1">
        <v>0</v>
      </c>
      <c r="J317" s="1">
        <v>0</v>
      </c>
      <c r="K317" s="1">
        <f t="shared" si="872"/>
        <v>-5625</v>
      </c>
      <c r="L317" s="1">
        <v>0</v>
      </c>
      <c r="M317" s="1">
        <v>0</v>
      </c>
      <c r="N317" s="2">
        <f t="shared" si="844"/>
        <v>-15</v>
      </c>
      <c r="O317" s="2">
        <f t="shared" si="873"/>
        <v>-5625</v>
      </c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s="7" customFormat="1" ht="15" customHeight="1">
      <c r="A318" s="15">
        <v>43591</v>
      </c>
      <c r="B318" s="3" t="s">
        <v>18</v>
      </c>
      <c r="C318" s="16" t="s">
        <v>10</v>
      </c>
      <c r="D318" s="16">
        <v>11650</v>
      </c>
      <c r="E318" s="17">
        <f t="shared" si="859"/>
        <v>375</v>
      </c>
      <c r="F318" s="3" t="s">
        <v>7</v>
      </c>
      <c r="G318" s="35">
        <v>55</v>
      </c>
      <c r="H318" s="35">
        <v>46.5</v>
      </c>
      <c r="I318" s="1">
        <v>0</v>
      </c>
      <c r="J318" s="1">
        <v>0</v>
      </c>
      <c r="K318" s="1">
        <f t="shared" si="872"/>
        <v>-3187.5</v>
      </c>
      <c r="L318" s="1">
        <v>0</v>
      </c>
      <c r="M318" s="1">
        <v>0</v>
      </c>
      <c r="N318" s="2">
        <f t="shared" si="844"/>
        <v>-8.5</v>
      </c>
      <c r="O318" s="2">
        <f t="shared" si="873"/>
        <v>-3187.5</v>
      </c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s="7" customFormat="1" ht="15" customHeight="1">
      <c r="A319" s="15">
        <v>43588</v>
      </c>
      <c r="B319" s="3" t="s">
        <v>19</v>
      </c>
      <c r="C319" s="16" t="s">
        <v>9</v>
      </c>
      <c r="D319" s="16">
        <v>30100</v>
      </c>
      <c r="E319" s="17">
        <f>20*5</f>
        <v>100</v>
      </c>
      <c r="F319" s="3" t="s">
        <v>7</v>
      </c>
      <c r="G319" s="35">
        <v>315</v>
      </c>
      <c r="H319" s="35">
        <v>220</v>
      </c>
      <c r="I319" s="1">
        <v>0</v>
      </c>
      <c r="J319" s="1">
        <v>0</v>
      </c>
      <c r="K319" s="1">
        <f t="shared" ref="K319" si="874">(IF(F319="SELL",G319-H319,IF(F319="BUY",H319-G319)))*E319</f>
        <v>-9500</v>
      </c>
      <c r="L319" s="1">
        <v>0</v>
      </c>
      <c r="M319" s="1">
        <v>0</v>
      </c>
      <c r="N319" s="2">
        <f t="shared" si="844"/>
        <v>-95</v>
      </c>
      <c r="O319" s="2">
        <f t="shared" ref="O319" si="875">N319*E319</f>
        <v>-9500</v>
      </c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s="7" customFormat="1" ht="15" customHeight="1">
      <c r="A320" s="15">
        <v>43581</v>
      </c>
      <c r="B320" s="3" t="s">
        <v>18</v>
      </c>
      <c r="C320" s="16" t="s">
        <v>9</v>
      </c>
      <c r="D320" s="16">
        <v>11800</v>
      </c>
      <c r="E320" s="17">
        <f t="shared" ref="E320:E325" si="876">75*5</f>
        <v>375</v>
      </c>
      <c r="F320" s="3" t="s">
        <v>7</v>
      </c>
      <c r="G320" s="35">
        <v>130</v>
      </c>
      <c r="H320" s="35">
        <v>105</v>
      </c>
      <c r="I320" s="1">
        <v>0</v>
      </c>
      <c r="J320" s="1">
        <v>0</v>
      </c>
      <c r="K320" s="1">
        <f t="shared" ref="K320" si="877">(IF(F320="SELL",G320-H320,IF(F320="BUY",H320-G320)))*E320</f>
        <v>-9375</v>
      </c>
      <c r="L320" s="1">
        <v>0</v>
      </c>
      <c r="M320" s="1">
        <v>0</v>
      </c>
      <c r="N320" s="2">
        <f t="shared" si="844"/>
        <v>-25</v>
      </c>
      <c r="O320" s="2">
        <f t="shared" ref="O320" si="878">N320*E320</f>
        <v>-9375</v>
      </c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s="7" customFormat="1" ht="15" customHeight="1">
      <c r="A321" s="15">
        <v>43580</v>
      </c>
      <c r="B321" s="3" t="s">
        <v>18</v>
      </c>
      <c r="C321" s="16" t="s">
        <v>10</v>
      </c>
      <c r="D321" s="16">
        <v>11750</v>
      </c>
      <c r="E321" s="17">
        <f t="shared" si="876"/>
        <v>375</v>
      </c>
      <c r="F321" s="3" t="s">
        <v>7</v>
      </c>
      <c r="G321" s="35">
        <v>35</v>
      </c>
      <c r="H321" s="35">
        <v>50</v>
      </c>
      <c r="I321" s="1">
        <v>0</v>
      </c>
      <c r="J321" s="1">
        <v>0</v>
      </c>
      <c r="K321" s="1">
        <f t="shared" ref="K321" si="879">(IF(F321="SELL",G321-H321,IF(F321="BUY",H321-G321)))*E321</f>
        <v>5625</v>
      </c>
      <c r="L321" s="1">
        <v>0</v>
      </c>
      <c r="M321" s="1">
        <v>0</v>
      </c>
      <c r="N321" s="2">
        <f t="shared" si="844"/>
        <v>15</v>
      </c>
      <c r="O321" s="2">
        <f t="shared" ref="O321" si="880">N321*E321</f>
        <v>5625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s="7" customFormat="1" ht="15" customHeight="1">
      <c r="A322" s="15">
        <v>43579</v>
      </c>
      <c r="B322" s="3" t="s">
        <v>18</v>
      </c>
      <c r="C322" s="16" t="s">
        <v>9</v>
      </c>
      <c r="D322" s="16">
        <v>11800</v>
      </c>
      <c r="E322" s="17">
        <f t="shared" si="876"/>
        <v>375</v>
      </c>
      <c r="F322" s="3" t="s">
        <v>7</v>
      </c>
      <c r="G322" s="35">
        <v>195</v>
      </c>
      <c r="H322" s="35">
        <v>205</v>
      </c>
      <c r="I322" s="1">
        <v>0</v>
      </c>
      <c r="J322" s="1">
        <v>0</v>
      </c>
      <c r="K322" s="1">
        <f t="shared" ref="K322" si="881">(IF(F322="SELL",G322-H322,IF(F322="BUY",H322-G322)))*E322</f>
        <v>3750</v>
      </c>
      <c r="L322" s="1">
        <v>0</v>
      </c>
      <c r="M322" s="1">
        <v>0</v>
      </c>
      <c r="N322" s="2">
        <f t="shared" si="844"/>
        <v>10</v>
      </c>
      <c r="O322" s="2">
        <f t="shared" ref="O322" si="882">N322*E322</f>
        <v>3750</v>
      </c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s="7" customFormat="1" ht="15" customHeight="1">
      <c r="A323" s="15">
        <v>43578</v>
      </c>
      <c r="B323" s="3" t="s">
        <v>18</v>
      </c>
      <c r="C323" s="16" t="s">
        <v>10</v>
      </c>
      <c r="D323" s="16">
        <v>11650</v>
      </c>
      <c r="E323" s="17">
        <f t="shared" si="876"/>
        <v>375</v>
      </c>
      <c r="F323" s="3" t="s">
        <v>7</v>
      </c>
      <c r="G323" s="35">
        <v>40</v>
      </c>
      <c r="H323" s="35">
        <v>31.95</v>
      </c>
      <c r="I323" s="1">
        <v>0</v>
      </c>
      <c r="J323" s="1">
        <v>0</v>
      </c>
      <c r="K323" s="1">
        <f t="shared" ref="K323" si="883">(IF(F323="SELL",G323-H323,IF(F323="BUY",H323-G323)))*E323</f>
        <v>-3018.7500000000005</v>
      </c>
      <c r="L323" s="1">
        <v>0</v>
      </c>
      <c r="M323" s="1">
        <v>0</v>
      </c>
      <c r="N323" s="2">
        <f t="shared" si="844"/>
        <v>-8.0500000000000007</v>
      </c>
      <c r="O323" s="2">
        <f t="shared" ref="O323" si="884">N323*E323</f>
        <v>-3018.7500000000005</v>
      </c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s="7" customFormat="1" ht="15" customHeight="1">
      <c r="A324" s="15">
        <v>43566</v>
      </c>
      <c r="B324" s="3" t="s">
        <v>18</v>
      </c>
      <c r="C324" s="16" t="s">
        <v>10</v>
      </c>
      <c r="D324" s="16">
        <v>11600</v>
      </c>
      <c r="E324" s="17">
        <f t="shared" si="876"/>
        <v>375</v>
      </c>
      <c r="F324" s="3" t="s">
        <v>7</v>
      </c>
      <c r="G324" s="35">
        <v>17.5</v>
      </c>
      <c r="H324" s="35">
        <v>5</v>
      </c>
      <c r="I324" s="1">
        <v>0</v>
      </c>
      <c r="J324" s="1">
        <v>0</v>
      </c>
      <c r="K324" s="1">
        <f t="shared" ref="K324" si="885">(IF(F324="SELL",G324-H324,IF(F324="BUY",H324-G324)))*E324</f>
        <v>-4687.5</v>
      </c>
      <c r="L324" s="1">
        <v>0</v>
      </c>
      <c r="M324" s="1">
        <v>0</v>
      </c>
      <c r="N324" s="2">
        <f t="shared" si="844"/>
        <v>-12.5</v>
      </c>
      <c r="O324" s="2">
        <f t="shared" ref="O324" si="886">N324*E324</f>
        <v>-4687.5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s="7" customFormat="1" ht="15" customHeight="1">
      <c r="A325" s="15">
        <v>43565</v>
      </c>
      <c r="B325" s="3" t="s">
        <v>18</v>
      </c>
      <c r="C325" s="16" t="s">
        <v>10</v>
      </c>
      <c r="D325" s="16">
        <v>11650</v>
      </c>
      <c r="E325" s="17">
        <f t="shared" si="876"/>
        <v>375</v>
      </c>
      <c r="F325" s="3" t="s">
        <v>7</v>
      </c>
      <c r="G325" s="35">
        <v>55</v>
      </c>
      <c r="H325" s="35">
        <v>30</v>
      </c>
      <c r="I325" s="1">
        <v>0</v>
      </c>
      <c r="J325" s="1">
        <v>0</v>
      </c>
      <c r="K325" s="1">
        <f t="shared" ref="K325:K326" si="887">(IF(F325="SELL",G325-H325,IF(F325="BUY",H325-G325)))*E325</f>
        <v>-9375</v>
      </c>
      <c r="L325" s="1">
        <v>0</v>
      </c>
      <c r="M325" s="1">
        <v>0</v>
      </c>
      <c r="N325" s="2">
        <f t="shared" si="844"/>
        <v>-25</v>
      </c>
      <c r="O325" s="2">
        <f t="shared" ref="O325:O326" si="888">N325*E325</f>
        <v>-9375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s="7" customFormat="1" ht="15" customHeight="1">
      <c r="A326" s="15">
        <v>43565</v>
      </c>
      <c r="B326" s="3" t="s">
        <v>19</v>
      </c>
      <c r="C326" s="16" t="s">
        <v>9</v>
      </c>
      <c r="D326" s="16">
        <v>30100</v>
      </c>
      <c r="E326" s="17">
        <f>20*5</f>
        <v>100</v>
      </c>
      <c r="F326" s="3" t="s">
        <v>7</v>
      </c>
      <c r="G326" s="35">
        <v>170</v>
      </c>
      <c r="H326" s="35">
        <v>240</v>
      </c>
      <c r="I326" s="3">
        <v>300</v>
      </c>
      <c r="J326" s="1">
        <v>0</v>
      </c>
      <c r="K326" s="1">
        <f t="shared" si="887"/>
        <v>7000</v>
      </c>
      <c r="L326" s="1">
        <f>E326*60</f>
        <v>6000</v>
      </c>
      <c r="M326" s="1">
        <v>0</v>
      </c>
      <c r="N326" s="2">
        <f t="shared" si="844"/>
        <v>130</v>
      </c>
      <c r="O326" s="2">
        <f t="shared" si="888"/>
        <v>13000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s="7" customFormat="1" ht="15" customHeight="1">
      <c r="A327" s="15">
        <v>43564</v>
      </c>
      <c r="B327" s="3" t="s">
        <v>18</v>
      </c>
      <c r="C327" s="16" t="s">
        <v>9</v>
      </c>
      <c r="D327" s="16">
        <v>11600</v>
      </c>
      <c r="E327" s="17">
        <f t="shared" ref="E327:E330" si="889">75*5</f>
        <v>375</v>
      </c>
      <c r="F327" s="3" t="s">
        <v>7</v>
      </c>
      <c r="G327" s="35">
        <v>55</v>
      </c>
      <c r="H327" s="35">
        <v>30</v>
      </c>
      <c r="I327" s="1">
        <v>0</v>
      </c>
      <c r="J327" s="1">
        <v>0</v>
      </c>
      <c r="K327" s="1">
        <f t="shared" ref="K327" si="890">(IF(F327="SELL",G327-H327,IF(F327="BUY",H327-G327)))*E327</f>
        <v>-9375</v>
      </c>
      <c r="L327" s="1">
        <v>0</v>
      </c>
      <c r="M327" s="1">
        <v>0</v>
      </c>
      <c r="N327" s="2">
        <f t="shared" si="844"/>
        <v>-25</v>
      </c>
      <c r="O327" s="2">
        <f t="shared" ref="O327" si="891">N327*E327</f>
        <v>-9375</v>
      </c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s="7" customFormat="1" ht="15" customHeight="1">
      <c r="A328" s="15">
        <v>43563</v>
      </c>
      <c r="B328" s="3" t="s">
        <v>18</v>
      </c>
      <c r="C328" s="16" t="s">
        <v>9</v>
      </c>
      <c r="D328" s="16">
        <v>11650</v>
      </c>
      <c r="E328" s="17">
        <f t="shared" si="889"/>
        <v>375</v>
      </c>
      <c r="F328" s="3" t="s">
        <v>7</v>
      </c>
      <c r="G328" s="35">
        <v>60</v>
      </c>
      <c r="H328" s="35">
        <v>80</v>
      </c>
      <c r="I328" s="3">
        <v>100</v>
      </c>
      <c r="J328" s="1">
        <v>0</v>
      </c>
      <c r="K328" s="1">
        <f t="shared" ref="K328" si="892">(IF(F328="SELL",G328-H328,IF(F328="BUY",H328-G328)))*E328</f>
        <v>7500</v>
      </c>
      <c r="L328" s="1">
        <f>E328*20</f>
        <v>7500</v>
      </c>
      <c r="M328" s="1">
        <v>0</v>
      </c>
      <c r="N328" s="2">
        <f t="shared" si="844"/>
        <v>40</v>
      </c>
      <c r="O328" s="2">
        <f t="shared" ref="O328" si="893">N328*E328</f>
        <v>15000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s="7" customFormat="1" ht="15" customHeight="1">
      <c r="A329" s="15">
        <v>43560</v>
      </c>
      <c r="B329" s="3" t="s">
        <v>18</v>
      </c>
      <c r="C329" s="16" t="s">
        <v>10</v>
      </c>
      <c r="D329" s="16">
        <v>11650</v>
      </c>
      <c r="E329" s="17">
        <f t="shared" si="889"/>
        <v>375</v>
      </c>
      <c r="F329" s="3" t="s">
        <v>7</v>
      </c>
      <c r="G329" s="35">
        <v>85</v>
      </c>
      <c r="H329" s="35">
        <v>60</v>
      </c>
      <c r="I329" s="1">
        <v>0</v>
      </c>
      <c r="J329" s="1">
        <v>0</v>
      </c>
      <c r="K329" s="1">
        <f t="shared" ref="K329" si="894">(IF(F329="SELL",G329-H329,IF(F329="BUY",H329-G329)))*E329</f>
        <v>-9375</v>
      </c>
      <c r="L329" s="1">
        <v>0</v>
      </c>
      <c r="M329" s="1">
        <v>0</v>
      </c>
      <c r="N329" s="2">
        <f t="shared" si="844"/>
        <v>-25</v>
      </c>
      <c r="O329" s="2">
        <f t="shared" ref="O329" si="895">N329*E329</f>
        <v>-9375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s="7" customFormat="1" ht="15" customHeight="1">
      <c r="A330" s="15">
        <v>43559</v>
      </c>
      <c r="B330" s="3" t="s">
        <v>18</v>
      </c>
      <c r="C330" s="16" t="s">
        <v>9</v>
      </c>
      <c r="D330" s="16">
        <v>11650</v>
      </c>
      <c r="E330" s="17">
        <f t="shared" si="889"/>
        <v>375</v>
      </c>
      <c r="F330" s="3" t="s">
        <v>7</v>
      </c>
      <c r="G330" s="35">
        <v>40</v>
      </c>
      <c r="H330" s="35">
        <v>15</v>
      </c>
      <c r="I330" s="1">
        <v>0</v>
      </c>
      <c r="J330" s="1">
        <v>0</v>
      </c>
      <c r="K330" s="1">
        <f t="shared" ref="K330" si="896">(IF(F330="SELL",G330-H330,IF(F330="BUY",H330-G330)))*E330</f>
        <v>-9375</v>
      </c>
      <c r="L330" s="1">
        <v>0</v>
      </c>
      <c r="M330" s="1">
        <v>0</v>
      </c>
      <c r="N330" s="2">
        <f t="shared" si="844"/>
        <v>-25</v>
      </c>
      <c r="O330" s="2">
        <f t="shared" ref="O330" si="897">N330*E330</f>
        <v>-9375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s="7" customFormat="1" ht="15" customHeight="1">
      <c r="A331" s="15">
        <v>43559</v>
      </c>
      <c r="B331" s="3" t="s">
        <v>19</v>
      </c>
      <c r="C331" s="16" t="s">
        <v>10</v>
      </c>
      <c r="D331" s="16">
        <v>30500</v>
      </c>
      <c r="E331" s="17">
        <f>20*5</f>
        <v>100</v>
      </c>
      <c r="F331" s="3" t="s">
        <v>7</v>
      </c>
      <c r="G331" s="35">
        <v>15</v>
      </c>
      <c r="H331" s="36">
        <v>0</v>
      </c>
      <c r="I331" s="1">
        <v>0</v>
      </c>
      <c r="J331" s="1">
        <v>0</v>
      </c>
      <c r="K331" s="1">
        <f t="shared" ref="K331" si="898">(IF(F331="SELL",G331-H331,IF(F331="BUY",H331-G331)))*E331</f>
        <v>-1500</v>
      </c>
      <c r="L331" s="1">
        <v>0</v>
      </c>
      <c r="M331" s="1">
        <v>0</v>
      </c>
      <c r="N331" s="2">
        <f t="shared" si="844"/>
        <v>-15</v>
      </c>
      <c r="O331" s="2">
        <f t="shared" ref="O331" si="899">N331*E331</f>
        <v>-1500</v>
      </c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s="7" customFormat="1" ht="15" customHeight="1">
      <c r="A332" s="15">
        <v>43543</v>
      </c>
      <c r="B332" s="3" t="s">
        <v>18</v>
      </c>
      <c r="C332" s="16" t="s">
        <v>10</v>
      </c>
      <c r="D332" s="16">
        <v>11500</v>
      </c>
      <c r="E332" s="17">
        <f>75*5</f>
        <v>375</v>
      </c>
      <c r="F332" s="3" t="s">
        <v>7</v>
      </c>
      <c r="G332" s="35">
        <v>103</v>
      </c>
      <c r="H332" s="35">
        <v>130</v>
      </c>
      <c r="I332" s="1">
        <v>0</v>
      </c>
      <c r="J332" s="1">
        <v>0</v>
      </c>
      <c r="K332" s="1">
        <f t="shared" ref="K332:K339" si="900">(IF(F332="SELL",G332-H332,IF(F332="BUY",H332-G332)))*E332</f>
        <v>10125</v>
      </c>
      <c r="L332" s="1">
        <v>0</v>
      </c>
      <c r="M332" s="1">
        <v>0</v>
      </c>
      <c r="N332" s="2">
        <f t="shared" si="844"/>
        <v>27</v>
      </c>
      <c r="O332" s="2">
        <f t="shared" ref="O332:O339" si="901">N332*E332</f>
        <v>10125</v>
      </c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s="7" customFormat="1" ht="15" customHeight="1">
      <c r="A333" s="15">
        <v>43531</v>
      </c>
      <c r="B333" s="3" t="s">
        <v>19</v>
      </c>
      <c r="C333" s="16" t="s">
        <v>10</v>
      </c>
      <c r="D333" s="16">
        <v>27700</v>
      </c>
      <c r="E333" s="17">
        <f t="shared" ref="E333:E334" si="902">20*5</f>
        <v>100</v>
      </c>
      <c r="F333" s="3" t="s">
        <v>7</v>
      </c>
      <c r="G333" s="35">
        <v>15</v>
      </c>
      <c r="H333" s="35">
        <v>35</v>
      </c>
      <c r="I333" s="1">
        <v>0</v>
      </c>
      <c r="J333" s="1">
        <v>0</v>
      </c>
      <c r="K333" s="1">
        <f t="shared" si="900"/>
        <v>2000</v>
      </c>
      <c r="L333" s="1">
        <v>0</v>
      </c>
      <c r="M333" s="1">
        <v>0</v>
      </c>
      <c r="N333" s="2">
        <f t="shared" si="844"/>
        <v>20</v>
      </c>
      <c r="O333" s="2">
        <f t="shared" si="901"/>
        <v>2000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s="7" customFormat="1" ht="15" customHeight="1">
      <c r="A334" s="15">
        <v>43515</v>
      </c>
      <c r="B334" s="3" t="s">
        <v>19</v>
      </c>
      <c r="C334" s="16" t="s">
        <v>10</v>
      </c>
      <c r="D334" s="16">
        <v>27000</v>
      </c>
      <c r="E334" s="17">
        <f t="shared" si="902"/>
        <v>100</v>
      </c>
      <c r="F334" s="3" t="s">
        <v>7</v>
      </c>
      <c r="G334" s="35">
        <v>95</v>
      </c>
      <c r="H334" s="35">
        <v>120</v>
      </c>
      <c r="I334" s="1">
        <v>0</v>
      </c>
      <c r="J334" s="1">
        <v>0</v>
      </c>
      <c r="K334" s="1">
        <f t="shared" si="900"/>
        <v>2500</v>
      </c>
      <c r="L334" s="1">
        <v>0</v>
      </c>
      <c r="M334" s="1">
        <v>0</v>
      </c>
      <c r="N334" s="2">
        <f t="shared" si="844"/>
        <v>25</v>
      </c>
      <c r="O334" s="2">
        <f t="shared" si="901"/>
        <v>2500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s="7" customFormat="1" ht="15" customHeight="1">
      <c r="A335" s="15">
        <v>43510</v>
      </c>
      <c r="B335" s="3" t="s">
        <v>18</v>
      </c>
      <c r="C335" s="16" t="s">
        <v>9</v>
      </c>
      <c r="D335" s="16">
        <v>10750</v>
      </c>
      <c r="E335" s="17">
        <f>75*5</f>
        <v>375</v>
      </c>
      <c r="F335" s="3" t="s">
        <v>7</v>
      </c>
      <c r="G335" s="35">
        <v>17</v>
      </c>
      <c r="H335" s="35">
        <v>28</v>
      </c>
      <c r="I335" s="1">
        <v>0</v>
      </c>
      <c r="J335" s="1">
        <v>0</v>
      </c>
      <c r="K335" s="1">
        <f t="shared" si="900"/>
        <v>4125</v>
      </c>
      <c r="L335" s="1">
        <v>0</v>
      </c>
      <c r="M335" s="1">
        <v>0</v>
      </c>
      <c r="N335" s="2">
        <f t="shared" si="844"/>
        <v>11</v>
      </c>
      <c r="O335" s="2">
        <f t="shared" si="901"/>
        <v>4125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s="7" customFormat="1" ht="15" customHeight="1">
      <c r="A336" s="15">
        <v>43501</v>
      </c>
      <c r="B336" s="3" t="s">
        <v>19</v>
      </c>
      <c r="C336" s="16" t="s">
        <v>10</v>
      </c>
      <c r="D336" s="16">
        <v>27500</v>
      </c>
      <c r="E336" s="17">
        <f>20*5</f>
        <v>100</v>
      </c>
      <c r="F336" s="3" t="s">
        <v>7</v>
      </c>
      <c r="G336" s="35">
        <v>60</v>
      </c>
      <c r="H336" s="35">
        <v>85</v>
      </c>
      <c r="I336" s="1">
        <v>0</v>
      </c>
      <c r="J336" s="1">
        <v>0</v>
      </c>
      <c r="K336" s="1">
        <f t="shared" si="900"/>
        <v>2500</v>
      </c>
      <c r="L336" s="1">
        <v>0</v>
      </c>
      <c r="M336" s="1">
        <v>0</v>
      </c>
      <c r="N336" s="2">
        <f t="shared" si="844"/>
        <v>25</v>
      </c>
      <c r="O336" s="2">
        <f t="shared" si="901"/>
        <v>2500</v>
      </c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s="7" customFormat="1" ht="15" customHeight="1">
      <c r="A337" s="15">
        <v>43494</v>
      </c>
      <c r="B337" s="3" t="s">
        <v>18</v>
      </c>
      <c r="C337" s="16" t="s">
        <v>9</v>
      </c>
      <c r="D337" s="16">
        <v>10600</v>
      </c>
      <c r="E337" s="17">
        <f>75*5</f>
        <v>375</v>
      </c>
      <c r="F337" s="3" t="s">
        <v>7</v>
      </c>
      <c r="G337" s="35">
        <v>47</v>
      </c>
      <c r="H337" s="35">
        <v>60</v>
      </c>
      <c r="I337" s="1">
        <v>0</v>
      </c>
      <c r="J337" s="1">
        <v>0</v>
      </c>
      <c r="K337" s="1">
        <f t="shared" si="900"/>
        <v>4875</v>
      </c>
      <c r="L337" s="1">
        <v>0</v>
      </c>
      <c r="M337" s="1">
        <v>0</v>
      </c>
      <c r="N337" s="2">
        <f t="shared" si="844"/>
        <v>13</v>
      </c>
      <c r="O337" s="2">
        <f t="shared" si="901"/>
        <v>4875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s="7" customFormat="1" ht="15" customHeight="1">
      <c r="A338" s="15">
        <v>43469</v>
      </c>
      <c r="B338" s="3" t="s">
        <v>19</v>
      </c>
      <c r="C338" s="16" t="s">
        <v>10</v>
      </c>
      <c r="D338" s="16">
        <v>27400</v>
      </c>
      <c r="E338" s="17">
        <f>20*5</f>
        <v>100</v>
      </c>
      <c r="F338" s="3" t="s">
        <v>7</v>
      </c>
      <c r="G338" s="35">
        <v>145</v>
      </c>
      <c r="H338" s="35">
        <v>70</v>
      </c>
      <c r="I338" s="1">
        <v>0</v>
      </c>
      <c r="J338" s="1">
        <v>0</v>
      </c>
      <c r="K338" s="1">
        <f t="shared" si="900"/>
        <v>-7500</v>
      </c>
      <c r="L338" s="1">
        <v>0</v>
      </c>
      <c r="M338" s="1">
        <v>0</v>
      </c>
      <c r="N338" s="2">
        <f t="shared" si="844"/>
        <v>-75</v>
      </c>
      <c r="O338" s="2">
        <f t="shared" si="901"/>
        <v>-7500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s="7" customFormat="1" ht="15" customHeight="1">
      <c r="A339" s="15">
        <v>43467</v>
      </c>
      <c r="B339" s="3" t="s">
        <v>18</v>
      </c>
      <c r="C339" s="16" t="s">
        <v>10</v>
      </c>
      <c r="D339" s="16">
        <v>10950</v>
      </c>
      <c r="E339" s="17">
        <f>75*5</f>
        <v>375</v>
      </c>
      <c r="F339" s="3" t="s">
        <v>7</v>
      </c>
      <c r="G339" s="35">
        <v>165</v>
      </c>
      <c r="H339" s="35">
        <v>162</v>
      </c>
      <c r="I339" s="1">
        <v>0</v>
      </c>
      <c r="J339" s="1">
        <v>0</v>
      </c>
      <c r="K339" s="1">
        <f t="shared" si="900"/>
        <v>-1125</v>
      </c>
      <c r="L339" s="1">
        <v>0</v>
      </c>
      <c r="M339" s="1">
        <v>0</v>
      </c>
      <c r="N339" s="2">
        <f t="shared" si="844"/>
        <v>-3</v>
      </c>
      <c r="O339" s="2">
        <f t="shared" si="901"/>
        <v>-1125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s="7" customFormat="1" ht="15" customHeight="1">
      <c r="A340" s="15"/>
      <c r="B340" s="3"/>
      <c r="C340" s="16"/>
      <c r="D340" s="16"/>
      <c r="E340" s="17"/>
      <c r="F340" s="3"/>
      <c r="G340" s="3"/>
      <c r="H340" s="3"/>
      <c r="I340" s="3"/>
      <c r="J340" s="16"/>
      <c r="K340" s="1"/>
      <c r="L340" s="1"/>
      <c r="M340" s="1"/>
      <c r="N340" s="2"/>
      <c r="O340" s="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s="7" customFormat="1" ht="15" customHeight="1">
      <c r="A341" s="15"/>
      <c r="B341" s="3"/>
      <c r="C341" s="16"/>
      <c r="D341" s="16"/>
      <c r="E341" s="17"/>
      <c r="F341" s="3"/>
      <c r="G341" s="3"/>
      <c r="H341" s="3"/>
      <c r="I341" s="3"/>
      <c r="J341" s="16"/>
      <c r="K341" s="1"/>
      <c r="L341" s="1"/>
      <c r="M341" s="1"/>
      <c r="N341" s="2"/>
      <c r="O341" s="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s="7" customFormat="1" ht="15" customHeight="1">
      <c r="A342" s="15"/>
      <c r="B342" s="3"/>
      <c r="C342" s="16"/>
      <c r="D342" s="16"/>
      <c r="E342" s="17"/>
      <c r="F342" s="3"/>
      <c r="G342" s="3"/>
      <c r="H342" s="3"/>
      <c r="I342" s="3"/>
      <c r="J342" s="16"/>
      <c r="K342" s="1"/>
      <c r="L342" s="1"/>
      <c r="M342" s="1"/>
      <c r="N342" s="2"/>
      <c r="O342" s="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s="7" customFormat="1" ht="15" customHeight="1">
      <c r="A343" s="15"/>
      <c r="B343" s="3"/>
      <c r="C343" s="16"/>
      <c r="D343" s="16"/>
      <c r="E343" s="17"/>
      <c r="F343" s="3"/>
      <c r="G343" s="3"/>
      <c r="H343" s="3"/>
      <c r="I343" s="3"/>
      <c r="J343" s="16"/>
      <c r="K343" s="1"/>
      <c r="L343" s="1"/>
      <c r="M343" s="1"/>
      <c r="N343" s="2"/>
      <c r="O343" s="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s="7" customFormat="1" ht="15" customHeight="1">
      <c r="A344" s="15"/>
      <c r="B344" s="3"/>
      <c r="C344" s="16"/>
      <c r="D344" s="16"/>
      <c r="E344" s="17"/>
      <c r="F344" s="3"/>
      <c r="G344" s="3"/>
      <c r="H344" s="3"/>
      <c r="I344" s="3"/>
      <c r="J344" s="16"/>
      <c r="K344" s="1"/>
      <c r="L344" s="1"/>
      <c r="M344" s="1"/>
      <c r="N344" s="2"/>
      <c r="O344" s="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s="7" customFormat="1" ht="15" customHeight="1">
      <c r="A345" s="15"/>
      <c r="B345" s="3"/>
      <c r="C345" s="16"/>
      <c r="D345" s="16"/>
      <c r="E345" s="17"/>
      <c r="F345" s="3"/>
      <c r="G345" s="3"/>
      <c r="H345" s="3"/>
      <c r="I345" s="3"/>
      <c r="J345" s="16"/>
      <c r="K345" s="1"/>
      <c r="L345" s="1"/>
      <c r="M345" s="1"/>
      <c r="N345" s="2"/>
      <c r="O345" s="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s="7" customFormat="1" ht="15" customHeight="1">
      <c r="A346" s="15"/>
      <c r="B346" s="3"/>
      <c r="C346" s="16"/>
      <c r="D346" s="16"/>
      <c r="E346" s="17"/>
      <c r="F346" s="3"/>
      <c r="G346" s="3"/>
      <c r="H346" s="3"/>
      <c r="I346" s="3"/>
      <c r="J346" s="16"/>
      <c r="K346" s="1"/>
      <c r="L346" s="1"/>
      <c r="M346" s="1"/>
      <c r="N346" s="2"/>
      <c r="O346" s="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s="7" customFormat="1" ht="15" customHeight="1">
      <c r="A347" s="15"/>
      <c r="B347" s="3"/>
      <c r="C347" s="16"/>
      <c r="D347" s="16"/>
      <c r="E347" s="17"/>
      <c r="F347" s="3"/>
      <c r="G347" s="3"/>
      <c r="H347" s="3"/>
      <c r="I347" s="3"/>
      <c r="J347" s="16"/>
      <c r="K347" s="1"/>
      <c r="L347" s="1"/>
      <c r="M347" s="1"/>
      <c r="N347" s="2"/>
      <c r="O347" s="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s="7" customFormat="1" ht="15" customHeight="1">
      <c r="A348" s="15"/>
      <c r="B348" s="3"/>
      <c r="C348" s="16"/>
      <c r="D348" s="16"/>
      <c r="E348" s="17"/>
      <c r="F348" s="3"/>
      <c r="G348" s="3"/>
      <c r="H348" s="3"/>
      <c r="I348" s="3"/>
      <c r="J348" s="16"/>
      <c r="K348" s="1"/>
      <c r="L348" s="1"/>
      <c r="M348" s="1"/>
      <c r="N348" s="2"/>
      <c r="O348" s="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s="7" customFormat="1" ht="15" customHeight="1">
      <c r="A349" s="14"/>
      <c r="B349" s="12"/>
      <c r="C349" s="13"/>
      <c r="D349" s="8"/>
      <c r="E349" s="12"/>
      <c r="F349" s="3"/>
      <c r="G349" s="5"/>
      <c r="H349" s="5"/>
      <c r="I349" s="5"/>
      <c r="J349" s="32"/>
      <c r="K349" s="1"/>
      <c r="L349" s="1"/>
      <c r="M349" s="1"/>
      <c r="N349" s="2"/>
      <c r="O349" s="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s="7" customFormat="1" ht="15" customHeight="1">
      <c r="A350" s="14"/>
      <c r="B350" s="12"/>
      <c r="C350" s="13"/>
      <c r="D350" s="8"/>
      <c r="E350" s="12"/>
      <c r="F350" s="3"/>
      <c r="G350" s="5"/>
      <c r="H350" s="5"/>
      <c r="I350" s="5"/>
      <c r="J350" s="32"/>
      <c r="K350" s="1"/>
      <c r="L350" s="1"/>
      <c r="M350" s="1"/>
      <c r="N350" s="2"/>
      <c r="O350" s="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s="7" customFormat="1" ht="15" customHeight="1">
      <c r="A351" s="14"/>
      <c r="B351" s="12"/>
      <c r="C351" s="13"/>
      <c r="D351" s="8"/>
      <c r="E351" s="12"/>
      <c r="F351" s="3"/>
      <c r="G351" s="5"/>
      <c r="H351" s="5"/>
      <c r="I351" s="5"/>
      <c r="J351" s="32"/>
      <c r="K351" s="1"/>
      <c r="L351" s="1"/>
      <c r="M351" s="1"/>
      <c r="N351" s="2"/>
      <c r="O351" s="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s="7" customFormat="1" ht="15" customHeight="1">
      <c r="A352" s="14"/>
      <c r="B352" s="12"/>
      <c r="C352" s="13"/>
      <c r="D352" s="8"/>
      <c r="E352" s="12"/>
      <c r="F352" s="3"/>
      <c r="G352" s="5"/>
      <c r="H352" s="5"/>
      <c r="I352" s="5"/>
      <c r="J352" s="32"/>
      <c r="K352" s="1"/>
      <c r="L352" s="1"/>
      <c r="M352" s="1"/>
      <c r="N352" s="2"/>
      <c r="O352" s="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s="7" customFormat="1" ht="15" customHeight="1">
      <c r="A353" s="14"/>
      <c r="B353" s="12"/>
      <c r="C353" s="13"/>
      <c r="D353" s="8"/>
      <c r="E353" s="12"/>
      <c r="F353" s="3"/>
      <c r="G353" s="5"/>
      <c r="H353" s="5"/>
      <c r="I353" s="5"/>
      <c r="J353" s="32"/>
      <c r="K353" s="1"/>
      <c r="L353" s="1"/>
      <c r="M353" s="1"/>
      <c r="N353" s="2"/>
      <c r="O353" s="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s="7" customFormat="1" ht="15" customHeight="1">
      <c r="A354" s="14"/>
      <c r="B354" s="12"/>
      <c r="C354" s="13"/>
      <c r="D354" s="8"/>
      <c r="E354" s="12"/>
      <c r="F354" s="3"/>
      <c r="G354" s="5"/>
      <c r="H354" s="5"/>
      <c r="I354" s="5"/>
      <c r="J354" s="32"/>
      <c r="K354" s="1"/>
      <c r="L354" s="1"/>
      <c r="M354" s="1"/>
      <c r="N354" s="2"/>
      <c r="O354" s="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s="7" customFormat="1" ht="15" customHeight="1">
      <c r="A355" s="14"/>
      <c r="B355" s="12"/>
      <c r="C355" s="13"/>
      <c r="D355" s="8"/>
      <c r="E355" s="12"/>
      <c r="F355" s="3"/>
      <c r="G355" s="5"/>
      <c r="H355" s="5"/>
      <c r="I355" s="5"/>
      <c r="J355" s="32"/>
      <c r="K355" s="1"/>
      <c r="L355" s="1"/>
      <c r="M355" s="1"/>
      <c r="N355" s="2"/>
      <c r="O355" s="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s="7" customFormat="1" ht="15" customHeight="1">
      <c r="A356" s="14"/>
      <c r="B356" s="12"/>
      <c r="C356" s="13"/>
      <c r="D356" s="8"/>
      <c r="E356" s="12"/>
      <c r="F356" s="3"/>
      <c r="G356" s="5"/>
      <c r="H356" s="5"/>
      <c r="I356" s="5"/>
      <c r="J356" s="32"/>
      <c r="K356" s="1"/>
      <c r="L356" s="1"/>
      <c r="M356" s="1"/>
      <c r="N356" s="2"/>
      <c r="O356" s="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s="7" customFormat="1" ht="15" customHeight="1">
      <c r="A357" s="14"/>
      <c r="B357" s="12"/>
      <c r="C357" s="13"/>
      <c r="D357" s="8"/>
      <c r="E357" s="12"/>
      <c r="F357" s="3"/>
      <c r="G357" s="5"/>
      <c r="H357" s="5"/>
      <c r="I357" s="5"/>
      <c r="J357" s="32"/>
      <c r="K357" s="1"/>
      <c r="L357" s="1"/>
      <c r="M357" s="1"/>
      <c r="N357" s="2"/>
      <c r="O357" s="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s="7" customFormat="1" ht="15" customHeight="1">
      <c r="A358" s="14"/>
      <c r="B358" s="12"/>
      <c r="C358" s="13"/>
      <c r="D358" s="8"/>
      <c r="E358" s="12"/>
      <c r="F358" s="3"/>
      <c r="G358" s="5"/>
      <c r="H358" s="5"/>
      <c r="I358" s="5"/>
      <c r="J358" s="32"/>
      <c r="K358" s="1"/>
      <c r="L358" s="1"/>
      <c r="M358" s="1"/>
      <c r="N358" s="2"/>
      <c r="O358" s="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s="7" customFormat="1" ht="15" customHeight="1">
      <c r="A359" s="14"/>
      <c r="B359" s="12"/>
      <c r="C359" s="13"/>
      <c r="D359" s="8"/>
      <c r="E359" s="12"/>
      <c r="F359" s="3"/>
      <c r="G359" s="5"/>
      <c r="H359" s="5"/>
      <c r="I359" s="5"/>
      <c r="J359" s="32"/>
      <c r="K359" s="1"/>
      <c r="L359" s="1"/>
      <c r="M359" s="1"/>
      <c r="N359" s="2"/>
      <c r="O359" s="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s="7" customFormat="1" ht="15" customHeight="1">
      <c r="A360" s="14"/>
      <c r="B360" s="12"/>
      <c r="C360" s="13"/>
      <c r="D360" s="8"/>
      <c r="E360" s="12"/>
      <c r="F360" s="3"/>
      <c r="G360" s="5"/>
      <c r="H360" s="5"/>
      <c r="I360" s="5"/>
      <c r="J360" s="32"/>
      <c r="K360" s="1"/>
      <c r="L360" s="1"/>
      <c r="M360" s="1"/>
      <c r="N360" s="2"/>
      <c r="O360" s="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s="7" customFormat="1" ht="15" customHeight="1">
      <c r="A361" s="14"/>
      <c r="B361" s="12"/>
      <c r="C361" s="13"/>
      <c r="D361" s="8"/>
      <c r="E361" s="12"/>
      <c r="F361" s="3"/>
      <c r="G361" s="5"/>
      <c r="H361" s="5"/>
      <c r="I361" s="5"/>
      <c r="J361" s="32"/>
      <c r="K361" s="1"/>
      <c r="L361" s="1"/>
      <c r="M361" s="1"/>
      <c r="N361" s="2"/>
      <c r="O361" s="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s="7" customFormat="1" ht="15" customHeight="1">
      <c r="A362" s="14"/>
      <c r="B362" s="12"/>
      <c r="C362" s="13"/>
      <c r="D362" s="8"/>
      <c r="E362" s="12"/>
      <c r="F362" s="3"/>
      <c r="G362" s="5"/>
      <c r="H362" s="5"/>
      <c r="I362" s="5"/>
      <c r="J362" s="32"/>
      <c r="K362" s="1"/>
      <c r="L362" s="1"/>
      <c r="M362" s="1"/>
      <c r="N362" s="2"/>
      <c r="O362" s="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s="7" customFormat="1" ht="15" customHeight="1">
      <c r="A363" s="14"/>
      <c r="B363" s="12"/>
      <c r="C363" s="13"/>
      <c r="D363" s="8"/>
      <c r="E363" s="12"/>
      <c r="F363" s="3"/>
      <c r="G363" s="5"/>
      <c r="H363" s="5"/>
      <c r="I363" s="5"/>
      <c r="J363" s="32"/>
      <c r="K363" s="1"/>
      <c r="L363" s="1"/>
      <c r="M363" s="1"/>
      <c r="N363" s="2"/>
      <c r="O363" s="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s="7" customFormat="1" ht="15" customHeight="1">
      <c r="A364" s="14"/>
      <c r="B364" s="12"/>
      <c r="C364" s="13"/>
      <c r="D364" s="8"/>
      <c r="E364" s="12"/>
      <c r="F364" s="3"/>
      <c r="G364" s="5"/>
      <c r="H364" s="5"/>
      <c r="I364" s="5"/>
      <c r="J364" s="32"/>
      <c r="K364" s="1"/>
      <c r="L364" s="1"/>
      <c r="M364" s="1"/>
      <c r="N364" s="2"/>
      <c r="O364" s="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s="7" customFormat="1" ht="15" customHeight="1">
      <c r="A365" s="14"/>
      <c r="B365" s="12"/>
      <c r="C365" s="13"/>
      <c r="D365" s="8"/>
      <c r="E365" s="12"/>
      <c r="F365" s="3"/>
      <c r="G365" s="5"/>
      <c r="H365" s="5"/>
      <c r="I365" s="5"/>
      <c r="J365" s="32"/>
      <c r="K365" s="1"/>
      <c r="L365" s="1"/>
      <c r="M365" s="1"/>
      <c r="N365" s="2"/>
      <c r="O365" s="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s="7" customFormat="1" ht="15" customHeight="1">
      <c r="A366" s="14"/>
      <c r="B366" s="12"/>
      <c r="C366" s="13"/>
      <c r="D366" s="8"/>
      <c r="E366" s="12"/>
      <c r="F366" s="3"/>
      <c r="G366" s="5"/>
      <c r="H366" s="5"/>
      <c r="I366" s="5"/>
      <c r="J366" s="32"/>
      <c r="K366" s="1"/>
      <c r="L366" s="1"/>
      <c r="M366" s="1"/>
      <c r="N366" s="2"/>
      <c r="O366" s="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s="7" customFormat="1" ht="15" customHeight="1">
      <c r="A367" s="14"/>
      <c r="B367" s="12"/>
      <c r="C367" s="13"/>
      <c r="D367" s="8"/>
      <c r="E367" s="12"/>
      <c r="F367" s="3"/>
      <c r="G367" s="5"/>
      <c r="H367" s="5"/>
      <c r="I367" s="5"/>
      <c r="J367" s="32"/>
      <c r="K367" s="1"/>
      <c r="L367" s="1"/>
      <c r="M367" s="1"/>
      <c r="N367" s="2"/>
      <c r="O367" s="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s="7" customFormat="1" ht="15" customHeight="1">
      <c r="A368" s="14"/>
      <c r="B368" s="12"/>
      <c r="C368" s="13"/>
      <c r="D368" s="8"/>
      <c r="E368" s="12"/>
      <c r="F368" s="3"/>
      <c r="G368" s="5"/>
      <c r="H368" s="5"/>
      <c r="I368" s="18"/>
      <c r="J368" s="33"/>
      <c r="K368" s="1"/>
      <c r="L368" s="1"/>
      <c r="M368" s="1"/>
      <c r="N368" s="2"/>
      <c r="O368" s="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s="7" customFormat="1" ht="15" customHeight="1">
      <c r="A369" s="14"/>
      <c r="B369" s="12"/>
      <c r="C369" s="13"/>
      <c r="D369" s="8"/>
      <c r="E369" s="12"/>
      <c r="F369" s="3"/>
      <c r="G369" s="5"/>
      <c r="H369" s="5"/>
      <c r="I369" s="5"/>
      <c r="J369" s="32"/>
      <c r="K369" s="1"/>
      <c r="L369" s="1"/>
      <c r="M369" s="1"/>
      <c r="N369" s="2"/>
      <c r="O369" s="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s="7" customFormat="1" ht="15" customHeight="1">
      <c r="A370" s="14"/>
      <c r="B370" s="12"/>
      <c r="C370" s="13"/>
      <c r="D370" s="8"/>
      <c r="E370" s="12"/>
      <c r="F370" s="3"/>
      <c r="G370" s="5"/>
      <c r="H370" s="5"/>
      <c r="I370" s="5"/>
      <c r="J370" s="32"/>
      <c r="K370" s="1"/>
      <c r="L370" s="1"/>
      <c r="M370" s="1"/>
      <c r="N370" s="2"/>
      <c r="O370" s="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s="7" customFormat="1" ht="15" customHeight="1">
      <c r="A371" s="14"/>
      <c r="B371" s="12"/>
      <c r="C371" s="13"/>
      <c r="D371" s="8"/>
      <c r="E371" s="12"/>
      <c r="F371" s="3"/>
      <c r="G371" s="5"/>
      <c r="H371" s="5"/>
      <c r="I371" s="5"/>
      <c r="J371" s="32"/>
      <c r="K371" s="1"/>
      <c r="L371" s="1"/>
      <c r="M371" s="1"/>
      <c r="N371" s="2"/>
      <c r="O371" s="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s="7" customFormat="1" ht="15" customHeight="1">
      <c r="A372" s="14"/>
      <c r="B372" s="12"/>
      <c r="C372" s="13"/>
      <c r="D372" s="8"/>
      <c r="E372" s="12"/>
      <c r="F372" s="3"/>
      <c r="G372" s="5"/>
      <c r="H372" s="5"/>
      <c r="I372" s="5"/>
      <c r="J372" s="32"/>
      <c r="K372" s="1"/>
      <c r="L372" s="1"/>
      <c r="M372" s="1"/>
      <c r="N372" s="2"/>
      <c r="O372" s="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s="7" customFormat="1" ht="15" customHeight="1">
      <c r="A373" s="14"/>
      <c r="B373" s="12"/>
      <c r="C373" s="13"/>
      <c r="D373" s="8"/>
      <c r="E373" s="12"/>
      <c r="F373" s="3"/>
      <c r="G373" s="5"/>
      <c r="H373" s="5"/>
      <c r="I373" s="5"/>
      <c r="J373" s="32"/>
      <c r="K373" s="1"/>
      <c r="L373" s="1"/>
      <c r="M373" s="1"/>
      <c r="N373" s="2"/>
      <c r="O373" s="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s="7" customFormat="1" ht="15" customHeight="1">
      <c r="A374" s="14"/>
      <c r="B374" s="12"/>
      <c r="C374" s="13"/>
      <c r="D374" s="8"/>
      <c r="E374" s="12"/>
      <c r="F374" s="3"/>
      <c r="G374" s="5"/>
      <c r="H374" s="5"/>
      <c r="I374" s="5"/>
      <c r="J374" s="32"/>
      <c r="K374" s="1"/>
      <c r="L374" s="1"/>
      <c r="M374" s="1"/>
      <c r="N374" s="2"/>
      <c r="O374" s="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s="7" customFormat="1" ht="15" customHeight="1">
      <c r="A375" s="14"/>
      <c r="B375" s="12"/>
      <c r="C375" s="13"/>
      <c r="D375" s="8"/>
      <c r="E375" s="12"/>
      <c r="F375" s="3"/>
      <c r="G375" s="5"/>
      <c r="H375" s="5"/>
      <c r="I375" s="5"/>
      <c r="J375" s="32"/>
      <c r="K375" s="1"/>
      <c r="L375" s="1"/>
      <c r="M375" s="1"/>
      <c r="N375" s="2"/>
      <c r="O375" s="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s="7" customFormat="1" ht="15" customHeight="1">
      <c r="A376" s="14"/>
      <c r="B376" s="12"/>
      <c r="C376" s="13"/>
      <c r="D376" s="8"/>
      <c r="E376" s="12"/>
      <c r="F376" s="3"/>
      <c r="G376" s="5"/>
      <c r="H376" s="5"/>
      <c r="I376" s="5"/>
      <c r="J376" s="32"/>
      <c r="K376" s="1"/>
      <c r="L376" s="1"/>
      <c r="M376" s="1"/>
      <c r="N376" s="2"/>
      <c r="O376" s="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s="7" customFormat="1" ht="15" customHeight="1">
      <c r="A377" s="14"/>
      <c r="B377" s="12"/>
      <c r="C377" s="13"/>
      <c r="D377" s="8"/>
      <c r="E377" s="12"/>
      <c r="F377" s="3"/>
      <c r="G377" s="5"/>
      <c r="H377" s="5"/>
      <c r="I377" s="5"/>
      <c r="J377" s="32"/>
      <c r="K377" s="1"/>
      <c r="L377" s="1"/>
      <c r="M377" s="1"/>
      <c r="N377" s="2"/>
      <c r="O377" s="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s="7" customFormat="1" ht="15" customHeight="1">
      <c r="A378" s="14"/>
      <c r="B378" s="12"/>
      <c r="C378" s="13"/>
      <c r="D378" s="8"/>
      <c r="E378" s="12"/>
      <c r="F378" s="3"/>
      <c r="G378" s="5"/>
      <c r="H378" s="5"/>
      <c r="I378" s="5"/>
      <c r="J378" s="32"/>
      <c r="K378" s="1"/>
      <c r="L378" s="1"/>
      <c r="M378" s="1"/>
      <c r="N378" s="2"/>
      <c r="O378" s="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s="7" customFormat="1" ht="15" customHeight="1">
      <c r="A379" s="14"/>
      <c r="B379" s="12"/>
      <c r="C379" s="13"/>
      <c r="D379" s="8"/>
      <c r="E379" s="12"/>
      <c r="F379" s="3"/>
      <c r="G379" s="5"/>
      <c r="H379" s="5"/>
      <c r="I379" s="5"/>
      <c r="J379" s="32"/>
      <c r="K379" s="1"/>
      <c r="L379" s="1"/>
      <c r="M379" s="1"/>
      <c r="N379" s="2"/>
      <c r="O379" s="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s="7" customFormat="1" ht="15" customHeight="1">
      <c r="A380" s="14"/>
      <c r="B380" s="12"/>
      <c r="C380" s="13"/>
      <c r="D380" s="8"/>
      <c r="E380" s="12"/>
      <c r="F380" s="3"/>
      <c r="G380" s="5"/>
      <c r="H380" s="5"/>
      <c r="I380" s="5"/>
      <c r="J380" s="32"/>
      <c r="K380" s="1"/>
      <c r="L380" s="1"/>
      <c r="M380" s="1"/>
      <c r="N380" s="2"/>
      <c r="O380" s="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s="7" customFormat="1" ht="15" customHeight="1">
      <c r="A381" s="14"/>
      <c r="B381" s="12"/>
      <c r="C381" s="13"/>
      <c r="D381" s="8"/>
      <c r="E381" s="12"/>
      <c r="F381" s="3"/>
      <c r="G381" s="5"/>
      <c r="H381" s="5"/>
      <c r="I381" s="5"/>
      <c r="J381" s="32"/>
      <c r="K381" s="1"/>
      <c r="L381" s="1"/>
      <c r="M381" s="1"/>
      <c r="N381" s="2"/>
      <c r="O381" s="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s="7" customFormat="1" ht="15" customHeight="1">
      <c r="A382" s="14"/>
      <c r="B382" s="12"/>
      <c r="C382" s="13"/>
      <c r="D382" s="8"/>
      <c r="E382" s="12"/>
      <c r="F382" s="3"/>
      <c r="G382" s="5"/>
      <c r="H382" s="5"/>
      <c r="I382" s="5"/>
      <c r="J382" s="32"/>
      <c r="K382" s="1"/>
      <c r="L382" s="1"/>
      <c r="M382" s="1"/>
      <c r="N382" s="2"/>
      <c r="O382" s="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s="7" customFormat="1" ht="15" customHeight="1">
      <c r="A383" s="14"/>
      <c r="B383" s="12"/>
      <c r="C383" s="13"/>
      <c r="D383" s="8"/>
      <c r="E383" s="12"/>
      <c r="F383" s="3"/>
      <c r="G383" s="5"/>
      <c r="H383" s="5"/>
      <c r="I383" s="5"/>
      <c r="J383" s="32"/>
      <c r="K383" s="1"/>
      <c r="L383" s="1"/>
      <c r="M383" s="1"/>
      <c r="N383" s="2"/>
      <c r="O383" s="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s="7" customFormat="1" ht="15" customHeight="1">
      <c r="A384" s="14"/>
      <c r="B384" s="12"/>
      <c r="C384" s="13"/>
      <c r="D384" s="8"/>
      <c r="E384" s="12"/>
      <c r="F384" s="3"/>
      <c r="G384" s="5"/>
      <c r="H384" s="5"/>
      <c r="I384" s="5"/>
      <c r="J384" s="32"/>
      <c r="K384" s="1"/>
      <c r="L384" s="1"/>
      <c r="M384" s="1"/>
      <c r="N384" s="2"/>
      <c r="O384" s="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s="7" customFormat="1" ht="15" customHeight="1">
      <c r="A385" s="4"/>
      <c r="B385" s="12"/>
      <c r="C385" s="13"/>
      <c r="D385" s="8"/>
      <c r="E385" s="12"/>
      <c r="F385" s="3"/>
      <c r="G385" s="5"/>
      <c r="H385" s="5"/>
      <c r="I385" s="5"/>
      <c r="J385" s="32"/>
      <c r="K385" s="1"/>
      <c r="L385" s="1"/>
      <c r="M385" s="1"/>
      <c r="N385" s="2"/>
      <c r="O385" s="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s="7" customFormat="1" ht="15" customHeight="1">
      <c r="A386" s="4"/>
      <c r="B386" s="12"/>
      <c r="C386" s="13"/>
      <c r="D386" s="8"/>
      <c r="E386" s="12"/>
      <c r="F386" s="3"/>
      <c r="G386" s="5"/>
      <c r="H386" s="5"/>
      <c r="I386" s="5"/>
      <c r="J386" s="32"/>
      <c r="K386" s="1"/>
      <c r="L386" s="1"/>
      <c r="M386" s="1"/>
      <c r="N386" s="2"/>
      <c r="O386" s="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s="7" customFormat="1" ht="15" customHeight="1">
      <c r="A387" s="4"/>
      <c r="B387" s="12"/>
      <c r="C387" s="13"/>
      <c r="D387" s="8"/>
      <c r="E387" s="12"/>
      <c r="F387" s="3"/>
      <c r="G387" s="5"/>
      <c r="H387" s="5"/>
      <c r="I387" s="5"/>
      <c r="J387" s="32"/>
      <c r="K387" s="1"/>
      <c r="L387" s="1"/>
      <c r="M387" s="1"/>
      <c r="N387" s="2"/>
      <c r="O387" s="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s="7" customFormat="1" ht="15" customHeight="1">
      <c r="A388" s="4"/>
      <c r="B388" s="12"/>
      <c r="C388" s="13"/>
      <c r="D388" s="8"/>
      <c r="E388" s="12"/>
      <c r="F388" s="3"/>
      <c r="G388" s="5"/>
      <c r="H388" s="5"/>
      <c r="I388" s="5"/>
      <c r="J388" s="32"/>
      <c r="K388" s="1"/>
      <c r="L388" s="1"/>
      <c r="M388" s="1"/>
      <c r="N388" s="2"/>
      <c r="O388" s="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s="7" customFormat="1" ht="15" customHeight="1">
      <c r="A389" s="4"/>
      <c r="B389" s="12"/>
      <c r="C389" s="13"/>
      <c r="D389" s="8"/>
      <c r="E389" s="12"/>
      <c r="F389" s="3"/>
      <c r="G389" s="5"/>
      <c r="H389" s="5"/>
      <c r="I389" s="5"/>
      <c r="J389" s="32"/>
      <c r="K389" s="1"/>
      <c r="L389" s="1"/>
      <c r="M389" s="1"/>
      <c r="N389" s="2"/>
      <c r="O389" s="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s="7" customFormat="1" ht="15" customHeight="1">
      <c r="A390" s="4"/>
      <c r="B390" s="12"/>
      <c r="C390" s="13"/>
      <c r="D390" s="8"/>
      <c r="E390" s="12"/>
      <c r="F390" s="3"/>
      <c r="G390" s="5"/>
      <c r="H390" s="5"/>
      <c r="I390" s="5"/>
      <c r="J390" s="32"/>
      <c r="K390" s="1"/>
      <c r="L390" s="1"/>
      <c r="M390" s="1"/>
      <c r="N390" s="2"/>
      <c r="O390" s="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s="7" customFormat="1" ht="15" customHeight="1">
      <c r="A391" s="4"/>
      <c r="B391" s="12"/>
      <c r="C391" s="13"/>
      <c r="D391" s="8"/>
      <c r="E391" s="12"/>
      <c r="F391" s="3"/>
      <c r="G391" s="5"/>
      <c r="H391" s="5"/>
      <c r="I391" s="5"/>
      <c r="J391" s="32"/>
      <c r="K391" s="1"/>
      <c r="L391" s="1"/>
      <c r="M391" s="1"/>
      <c r="N391" s="2"/>
      <c r="O391" s="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s="7" customFormat="1" ht="15" customHeight="1">
      <c r="A392" s="4"/>
      <c r="B392" s="12"/>
      <c r="C392" s="13"/>
      <c r="D392" s="8"/>
      <c r="E392" s="12"/>
      <c r="F392" s="3"/>
      <c r="G392" s="5"/>
      <c r="H392" s="5"/>
      <c r="I392" s="5"/>
      <c r="J392" s="32"/>
      <c r="K392" s="1"/>
      <c r="L392" s="1"/>
      <c r="M392" s="1"/>
      <c r="N392" s="2"/>
      <c r="O392" s="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s="7" customFormat="1" ht="15" customHeight="1">
      <c r="A393" s="4"/>
      <c r="B393" s="12"/>
      <c r="C393" s="13"/>
      <c r="D393" s="8"/>
      <c r="E393" s="12"/>
      <c r="F393" s="3"/>
      <c r="G393" s="5"/>
      <c r="H393" s="5"/>
      <c r="I393" s="5"/>
      <c r="J393" s="32"/>
      <c r="K393" s="1"/>
      <c r="L393" s="1"/>
      <c r="M393" s="1"/>
      <c r="N393" s="2"/>
      <c r="O393" s="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s="7" customFormat="1" ht="15" customHeight="1">
      <c r="A394" s="4"/>
      <c r="B394" s="12"/>
      <c r="C394" s="13"/>
      <c r="D394" s="8"/>
      <c r="E394" s="12"/>
      <c r="F394" s="3"/>
      <c r="G394" s="5"/>
      <c r="H394" s="5"/>
      <c r="I394" s="5"/>
      <c r="J394" s="32"/>
      <c r="K394" s="1"/>
      <c r="L394" s="1"/>
      <c r="M394" s="1"/>
      <c r="N394" s="2"/>
      <c r="O394" s="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>
      <c r="A395" s="4"/>
      <c r="B395" s="12"/>
      <c r="C395" s="13"/>
      <c r="D395" s="8"/>
      <c r="E395" s="12"/>
      <c r="F395" s="3"/>
      <c r="G395" s="5"/>
      <c r="H395" s="5"/>
      <c r="I395" s="5"/>
      <c r="J395" s="32"/>
      <c r="K395" s="1"/>
      <c r="L395" s="1"/>
      <c r="M395" s="1"/>
      <c r="N395" s="2"/>
      <c r="O395" s="2"/>
    </row>
    <row r="396" spans="1:35">
      <c r="A396" s="4"/>
      <c r="B396" s="12"/>
      <c r="C396" s="13"/>
      <c r="D396" s="8"/>
      <c r="E396" s="12"/>
      <c r="F396" s="3"/>
      <c r="G396" s="5"/>
      <c r="H396" s="5"/>
      <c r="I396" s="5"/>
      <c r="J396" s="32"/>
      <c r="K396" s="1"/>
      <c r="L396" s="1"/>
      <c r="M396" s="1"/>
      <c r="N396" s="2"/>
      <c r="O396" s="2"/>
    </row>
    <row r="397" spans="1:35">
      <c r="A397" s="4"/>
      <c r="B397" s="12"/>
      <c r="C397" s="13"/>
      <c r="D397" s="8"/>
      <c r="E397" s="12"/>
      <c r="F397" s="3"/>
      <c r="G397" s="5"/>
      <c r="H397" s="5"/>
      <c r="I397" s="5"/>
      <c r="J397" s="32"/>
      <c r="K397" s="1"/>
      <c r="L397" s="1"/>
      <c r="M397" s="1"/>
      <c r="N397" s="2"/>
      <c r="O397" s="2"/>
    </row>
    <row r="398" spans="1:35">
      <c r="A398" s="4"/>
      <c r="B398" s="12"/>
      <c r="C398" s="13"/>
      <c r="D398" s="8"/>
      <c r="E398" s="12"/>
      <c r="F398" s="3"/>
      <c r="G398" s="5"/>
      <c r="H398" s="5"/>
      <c r="I398" s="5"/>
      <c r="J398" s="32"/>
      <c r="K398" s="1"/>
      <c r="L398" s="1"/>
      <c r="M398" s="1"/>
      <c r="N398" s="2"/>
      <c r="O398" s="2"/>
    </row>
    <row r="399" spans="1:35">
      <c r="A399" s="4"/>
      <c r="B399" s="12"/>
      <c r="C399" s="13"/>
      <c r="D399" s="8"/>
      <c r="E399" s="12"/>
      <c r="F399" s="3"/>
      <c r="G399" s="5"/>
      <c r="H399" s="5"/>
      <c r="I399" s="5"/>
      <c r="J399" s="32"/>
      <c r="K399" s="1"/>
      <c r="L399" s="1"/>
      <c r="M399" s="1"/>
      <c r="N399" s="2"/>
      <c r="O399" s="2"/>
    </row>
    <row r="400" spans="1:35">
      <c r="A400" s="4"/>
      <c r="B400" s="12"/>
      <c r="C400" s="13"/>
      <c r="D400" s="8"/>
      <c r="E400" s="12"/>
      <c r="F400" s="3"/>
      <c r="G400" s="5"/>
      <c r="H400" s="5"/>
      <c r="I400" s="5"/>
      <c r="J400" s="32"/>
      <c r="K400" s="1"/>
      <c r="L400" s="1"/>
      <c r="M400" s="1"/>
      <c r="N400" s="2"/>
      <c r="O400" s="2"/>
    </row>
    <row r="401" spans="1:15">
      <c r="A401" s="4"/>
      <c r="B401" s="12"/>
      <c r="C401" s="13"/>
      <c r="D401" s="8"/>
      <c r="E401" s="12"/>
      <c r="F401" s="3"/>
      <c r="G401" s="5"/>
      <c r="H401" s="5"/>
      <c r="I401" s="5"/>
      <c r="J401" s="32"/>
      <c r="K401" s="1"/>
      <c r="L401" s="1"/>
      <c r="M401" s="1"/>
      <c r="N401" s="2"/>
      <c r="O401" s="2"/>
    </row>
    <row r="402" spans="1:15">
      <c r="A402" s="4"/>
      <c r="B402" s="12"/>
      <c r="C402" s="13"/>
      <c r="D402" s="8"/>
      <c r="E402" s="12"/>
      <c r="F402" s="3"/>
      <c r="G402" s="5"/>
      <c r="H402" s="5"/>
      <c r="I402" s="5"/>
      <c r="J402" s="32"/>
      <c r="K402" s="1"/>
      <c r="L402" s="1"/>
      <c r="M402" s="1"/>
      <c r="N402" s="2"/>
      <c r="O402" s="2"/>
    </row>
    <row r="403" spans="1:15">
      <c r="A403" s="4"/>
      <c r="B403" s="12"/>
      <c r="C403" s="13"/>
      <c r="D403" s="8"/>
      <c r="E403" s="12"/>
      <c r="F403" s="3"/>
      <c r="G403" s="5"/>
      <c r="H403" s="5"/>
      <c r="I403" s="5"/>
      <c r="J403" s="32"/>
      <c r="K403" s="1"/>
      <c r="L403" s="1"/>
      <c r="M403" s="1"/>
      <c r="N403" s="2"/>
      <c r="O403" s="2"/>
    </row>
    <row r="404" spans="1:15">
      <c r="A404" s="4"/>
      <c r="B404" s="12"/>
      <c r="C404" s="13"/>
      <c r="D404" s="8"/>
      <c r="E404" s="12"/>
      <c r="F404" s="3"/>
      <c r="G404" s="5"/>
      <c r="H404" s="5"/>
      <c r="I404" s="5"/>
      <c r="J404" s="32"/>
      <c r="K404" s="1"/>
      <c r="L404" s="1"/>
      <c r="M404" s="1"/>
      <c r="N404" s="2"/>
      <c r="O404" s="2"/>
    </row>
    <row r="405" spans="1:15">
      <c r="A405" s="4"/>
      <c r="B405" s="12"/>
      <c r="C405" s="13"/>
      <c r="D405" s="8"/>
      <c r="E405" s="12"/>
      <c r="F405" s="3"/>
      <c r="G405" s="5"/>
      <c r="H405" s="5"/>
      <c r="I405" s="5"/>
      <c r="J405" s="32"/>
      <c r="K405" s="1"/>
      <c r="L405" s="1"/>
      <c r="M405" s="1"/>
      <c r="N405" s="2"/>
      <c r="O405" s="2"/>
    </row>
    <row r="406" spans="1:15">
      <c r="A406" s="4"/>
      <c r="B406" s="12"/>
      <c r="C406" s="13"/>
      <c r="D406" s="8"/>
      <c r="E406" s="12"/>
      <c r="F406" s="3"/>
      <c r="G406" s="5"/>
      <c r="H406" s="5"/>
      <c r="I406" s="5"/>
      <c r="J406" s="32"/>
      <c r="K406" s="1"/>
      <c r="L406" s="1"/>
      <c r="M406" s="1"/>
      <c r="N406" s="2"/>
      <c r="O406" s="2"/>
    </row>
    <row r="407" spans="1:15">
      <c r="A407" s="4"/>
      <c r="B407" s="12"/>
      <c r="C407" s="13"/>
      <c r="D407" s="8"/>
      <c r="E407" s="12"/>
      <c r="F407" s="3"/>
      <c r="G407" s="5"/>
      <c r="H407" s="5"/>
      <c r="I407" s="5"/>
      <c r="J407" s="32"/>
      <c r="K407" s="1"/>
      <c r="L407" s="1"/>
      <c r="M407" s="1"/>
      <c r="N407" s="2"/>
      <c r="O407" s="2"/>
    </row>
    <row r="408" spans="1:15">
      <c r="A408" s="4"/>
      <c r="B408" s="12"/>
      <c r="C408" s="13"/>
      <c r="D408" s="8"/>
      <c r="E408" s="12"/>
      <c r="F408" s="3"/>
      <c r="G408" s="5"/>
      <c r="H408" s="5"/>
      <c r="I408" s="5"/>
      <c r="J408" s="32"/>
      <c r="K408" s="1"/>
      <c r="L408" s="1"/>
      <c r="M408" s="1"/>
      <c r="N408" s="2"/>
      <c r="O408" s="2"/>
    </row>
    <row r="409" spans="1:15">
      <c r="A409" s="4"/>
      <c r="B409" s="12"/>
      <c r="C409" s="13"/>
      <c r="D409" s="8"/>
      <c r="E409" s="12"/>
      <c r="F409" s="3"/>
      <c r="G409" s="5"/>
      <c r="H409" s="5"/>
      <c r="I409" s="5"/>
      <c r="J409" s="32"/>
      <c r="K409" s="1"/>
      <c r="L409" s="1"/>
      <c r="M409" s="1"/>
      <c r="N409" s="2"/>
      <c r="O409" s="2"/>
    </row>
    <row r="410" spans="1:15">
      <c r="A410" s="14"/>
      <c r="B410" s="12"/>
      <c r="C410" s="13"/>
      <c r="D410" s="8"/>
      <c r="E410" s="12"/>
      <c r="F410" s="3"/>
      <c r="G410" s="5"/>
      <c r="H410" s="5"/>
      <c r="I410" s="5"/>
      <c r="J410" s="32"/>
      <c r="K410" s="1"/>
      <c r="L410" s="1"/>
      <c r="M410" s="1"/>
      <c r="N410" s="2"/>
      <c r="O410" s="2"/>
    </row>
    <row r="411" spans="1:15">
      <c r="A411" s="4"/>
      <c r="B411" s="12"/>
      <c r="C411" s="13"/>
      <c r="D411" s="8"/>
      <c r="E411" s="12"/>
      <c r="F411" s="3"/>
      <c r="G411" s="5"/>
      <c r="H411" s="5"/>
      <c r="I411" s="5"/>
      <c r="J411" s="32"/>
      <c r="K411" s="1"/>
      <c r="L411" s="1"/>
      <c r="M411" s="1"/>
      <c r="N411" s="2"/>
      <c r="O411" s="2"/>
    </row>
    <row r="412" spans="1:15">
      <c r="A412" s="4"/>
      <c r="B412" s="12"/>
      <c r="C412" s="13"/>
      <c r="D412" s="8"/>
      <c r="E412" s="12"/>
      <c r="F412" s="3"/>
      <c r="G412" s="5"/>
      <c r="H412" s="5"/>
      <c r="I412" s="5"/>
      <c r="J412" s="32"/>
      <c r="K412" s="1"/>
      <c r="L412" s="1"/>
      <c r="M412" s="1"/>
      <c r="N412" s="2"/>
      <c r="O412" s="2"/>
    </row>
    <row r="413" spans="1:15">
      <c r="A413" s="4"/>
      <c r="B413" s="12"/>
      <c r="C413" s="13"/>
      <c r="D413" s="8"/>
      <c r="E413" s="12"/>
      <c r="F413" s="3"/>
      <c r="G413" s="5"/>
      <c r="H413" s="5"/>
      <c r="I413" s="5"/>
      <c r="J413" s="32"/>
      <c r="K413" s="1"/>
      <c r="L413" s="1"/>
      <c r="M413" s="1"/>
      <c r="N413" s="2"/>
      <c r="O413" s="2"/>
    </row>
    <row r="414" spans="1:15">
      <c r="A414" s="4"/>
      <c r="B414" s="12"/>
      <c r="C414" s="13"/>
      <c r="D414" s="8"/>
      <c r="E414" s="12"/>
      <c r="F414" s="3"/>
      <c r="G414" s="5"/>
      <c r="H414" s="5"/>
      <c r="I414" s="5"/>
      <c r="J414" s="32"/>
      <c r="K414" s="1"/>
      <c r="L414" s="1"/>
      <c r="M414" s="1"/>
      <c r="N414" s="2"/>
      <c r="O414" s="2"/>
    </row>
    <row r="415" spans="1:15">
      <c r="A415" s="4"/>
      <c r="B415" s="12"/>
      <c r="C415" s="13"/>
      <c r="D415" s="8"/>
      <c r="E415" s="12"/>
      <c r="F415" s="3"/>
      <c r="G415" s="5"/>
      <c r="H415" s="5"/>
      <c r="I415" s="5"/>
      <c r="J415" s="32"/>
      <c r="K415" s="1"/>
      <c r="L415" s="1"/>
      <c r="M415" s="1"/>
      <c r="N415" s="2"/>
      <c r="O415" s="2"/>
    </row>
    <row r="416" spans="1:15">
      <c r="A416" s="4"/>
      <c r="B416" s="12"/>
      <c r="C416" s="13"/>
      <c r="D416" s="8"/>
      <c r="E416" s="12"/>
      <c r="F416" s="3"/>
      <c r="G416" s="5"/>
      <c r="H416" s="5"/>
      <c r="I416" s="5"/>
      <c r="J416" s="32"/>
      <c r="K416" s="1"/>
      <c r="L416" s="1"/>
      <c r="M416" s="1"/>
      <c r="N416" s="2"/>
      <c r="O416" s="2"/>
    </row>
    <row r="417" spans="1:15">
      <c r="A417" s="4"/>
      <c r="B417" s="12"/>
      <c r="C417" s="13"/>
      <c r="D417" s="8"/>
      <c r="E417" s="12"/>
      <c r="F417" s="3"/>
      <c r="G417" s="5"/>
      <c r="H417" s="5"/>
      <c r="I417" s="5"/>
      <c r="J417" s="32"/>
      <c r="K417" s="1"/>
      <c r="L417" s="1"/>
      <c r="M417" s="1"/>
      <c r="N417" s="2"/>
      <c r="O417" s="2"/>
    </row>
    <row r="418" spans="1:15">
      <c r="A418" s="4"/>
      <c r="B418" s="12"/>
      <c r="C418" s="13"/>
      <c r="D418" s="8"/>
      <c r="E418" s="12"/>
      <c r="F418" s="3"/>
      <c r="G418" s="5"/>
      <c r="H418" s="5"/>
      <c r="I418" s="5"/>
      <c r="J418" s="32"/>
      <c r="K418" s="1"/>
      <c r="L418" s="1"/>
      <c r="M418" s="1"/>
      <c r="N418" s="2"/>
      <c r="O418" s="2"/>
    </row>
    <row r="419" spans="1:15">
      <c r="A419" s="4"/>
      <c r="B419" s="12"/>
      <c r="C419" s="13"/>
      <c r="D419" s="8"/>
      <c r="E419" s="12"/>
      <c r="F419" s="3"/>
      <c r="G419" s="5"/>
      <c r="H419" s="5"/>
      <c r="I419" s="5"/>
      <c r="J419" s="32"/>
      <c r="K419" s="1"/>
      <c r="L419" s="1"/>
      <c r="M419" s="1"/>
      <c r="N419" s="2"/>
      <c r="O419" s="2"/>
    </row>
  </sheetData>
  <mergeCells count="18"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N6:N8"/>
    <mergeCell ref="O1:O3"/>
    <mergeCell ref="O6:O8"/>
    <mergeCell ref="F6:F8"/>
    <mergeCell ref="G6:G8"/>
    <mergeCell ref="H6:H8"/>
    <mergeCell ref="I6:I8"/>
    <mergeCell ref="K6:K8"/>
  </mergeCells>
  <pageMargins left="0.7" right="0.7" top="0.75" bottom="0.75" header="0.3" footer="0.3"/>
  <pageSetup orientation="portrait" r:id="rId1"/>
  <ignoredErrors>
    <ignoredError sqref="E308 E319 E326 E331 E335 E337 L2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26"/>
  <sheetViews>
    <sheetView workbookViewId="0">
      <selection activeCell="A25" sqref="A25"/>
    </sheetView>
  </sheetViews>
  <sheetFormatPr defaultRowHeight="15"/>
  <cols>
    <col min="1" max="1" width="11" style="9" bestFit="1" customWidth="1"/>
    <col min="2" max="2" width="16.570312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7109375" style="9" customWidth="1"/>
    <col min="11" max="11" width="11.140625" style="9" customWidth="1"/>
    <col min="12" max="12" width="12.42578125" style="9" customWidth="1"/>
    <col min="13" max="13" width="19.85546875" style="9" customWidth="1"/>
    <col min="14" max="16384" width="9.140625" style="9"/>
  </cols>
  <sheetData>
    <row r="1" spans="1:33">
      <c r="A1" s="70"/>
      <c r="B1" s="71"/>
      <c r="C1" s="71"/>
      <c r="D1" s="54" t="s">
        <v>17</v>
      </c>
      <c r="E1" s="55"/>
      <c r="F1" s="55"/>
      <c r="G1" s="55"/>
      <c r="H1" s="55"/>
      <c r="I1" s="55"/>
      <c r="J1" s="55"/>
      <c r="K1" s="55"/>
      <c r="L1" s="55"/>
      <c r="M1" s="7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>
      <c r="A2" s="52"/>
      <c r="B2" s="53"/>
      <c r="C2" s="53"/>
      <c r="D2" s="54"/>
      <c r="E2" s="55"/>
      <c r="F2" s="55"/>
      <c r="G2" s="55"/>
      <c r="H2" s="55"/>
      <c r="I2" s="55"/>
      <c r="J2" s="55"/>
      <c r="K2" s="55"/>
      <c r="L2" s="55"/>
      <c r="M2" s="4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>
      <c r="A3" s="52"/>
      <c r="B3" s="53"/>
      <c r="C3" s="53"/>
      <c r="D3" s="56"/>
      <c r="E3" s="57"/>
      <c r="F3" s="57"/>
      <c r="G3" s="57"/>
      <c r="H3" s="57"/>
      <c r="I3" s="57"/>
      <c r="J3" s="57"/>
      <c r="K3" s="57"/>
      <c r="L3" s="57"/>
      <c r="M3" s="45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>
      <c r="A4" s="52"/>
      <c r="B4" s="53"/>
      <c r="C4" s="53"/>
      <c r="D4" s="58" t="s">
        <v>16</v>
      </c>
      <c r="E4" s="59"/>
      <c r="F4" s="59"/>
      <c r="G4" s="59"/>
      <c r="H4" s="59"/>
      <c r="I4" s="59"/>
      <c r="J4" s="59"/>
      <c r="K4" s="59"/>
      <c r="L4" s="59"/>
      <c r="M4" s="41"/>
      <c r="N4" s="2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>
      <c r="A5" s="52"/>
      <c r="B5" s="53"/>
      <c r="C5" s="53"/>
      <c r="D5" s="60"/>
      <c r="E5" s="72"/>
      <c r="F5" s="72"/>
      <c r="G5" s="72"/>
      <c r="H5" s="72"/>
      <c r="I5" s="72"/>
      <c r="J5" s="72"/>
      <c r="K5" s="72"/>
      <c r="L5" s="72"/>
      <c r="M5" s="40"/>
      <c r="N5" s="2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>
      <c r="A6" s="74" t="s">
        <v>0</v>
      </c>
      <c r="B6" s="73" t="s">
        <v>1</v>
      </c>
      <c r="C6" s="73" t="s">
        <v>8</v>
      </c>
      <c r="D6" s="66" t="s">
        <v>11</v>
      </c>
      <c r="E6" s="68" t="s">
        <v>12</v>
      </c>
      <c r="F6" s="47" t="s">
        <v>2</v>
      </c>
      <c r="G6" s="47" t="s">
        <v>3</v>
      </c>
      <c r="H6" s="47" t="s">
        <v>4</v>
      </c>
      <c r="I6" s="47" t="s">
        <v>5</v>
      </c>
      <c r="J6" s="47" t="s">
        <v>13</v>
      </c>
      <c r="K6" s="47" t="s">
        <v>14</v>
      </c>
      <c r="L6" s="47" t="s">
        <v>6</v>
      </c>
      <c r="M6" s="47" t="s">
        <v>15</v>
      </c>
      <c r="N6" s="2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>
      <c r="A7" s="64"/>
      <c r="B7" s="47"/>
      <c r="C7" s="47"/>
      <c r="D7" s="66"/>
      <c r="E7" s="68"/>
      <c r="F7" s="47"/>
      <c r="G7" s="47"/>
      <c r="H7" s="47"/>
      <c r="I7" s="47"/>
      <c r="J7" s="47"/>
      <c r="K7" s="47"/>
      <c r="L7" s="47"/>
      <c r="M7" s="4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 customHeight="1">
      <c r="A8" s="65"/>
      <c r="B8" s="48"/>
      <c r="C8" s="48"/>
      <c r="D8" s="67"/>
      <c r="E8" s="69"/>
      <c r="F8" s="48"/>
      <c r="G8" s="48"/>
      <c r="H8" s="48"/>
      <c r="I8" s="48"/>
      <c r="J8" s="48"/>
      <c r="K8" s="48"/>
      <c r="L8" s="48"/>
      <c r="M8" s="4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26" customFormat="1" ht="15" customHeight="1">
      <c r="A9" s="19"/>
      <c r="B9" s="20"/>
      <c r="C9" s="21"/>
      <c r="D9" s="22"/>
      <c r="E9" s="23"/>
      <c r="F9" s="20"/>
      <c r="G9" s="20"/>
      <c r="H9" s="20"/>
      <c r="I9" s="42"/>
      <c r="J9" s="21"/>
      <c r="K9" s="1"/>
      <c r="L9" s="39"/>
      <c r="M9" s="2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6" customFormat="1" ht="15" customHeight="1">
      <c r="A10" s="15">
        <v>43797</v>
      </c>
      <c r="B10" s="3" t="s">
        <v>19</v>
      </c>
      <c r="C10" s="16" t="s">
        <v>10</v>
      </c>
      <c r="D10" s="16">
        <v>32000</v>
      </c>
      <c r="E10" s="17">
        <v>200</v>
      </c>
      <c r="F10" s="3" t="s">
        <v>7</v>
      </c>
      <c r="G10" s="35">
        <v>275</v>
      </c>
      <c r="H10" s="35">
        <v>340</v>
      </c>
      <c r="I10" s="35">
        <v>0</v>
      </c>
      <c r="J10" s="1">
        <f t="shared" ref="J10" si="0">(IF(F10="SELL",G10-H10,IF(F10="BUY",H10-G10)))*E10</f>
        <v>13000</v>
      </c>
      <c r="K10" s="1">
        <v>0</v>
      </c>
      <c r="L10" s="2">
        <f t="shared" ref="L10" si="1">(K10+J10)/E10</f>
        <v>65</v>
      </c>
      <c r="M10" s="2">
        <f t="shared" ref="M10" si="2">L10*E10</f>
        <v>13000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26" customFormat="1" ht="15" customHeight="1">
      <c r="A11" s="15">
        <v>43783</v>
      </c>
      <c r="B11" s="3" t="s">
        <v>19</v>
      </c>
      <c r="C11" s="16" t="s">
        <v>10</v>
      </c>
      <c r="D11" s="16">
        <v>30700</v>
      </c>
      <c r="E11" s="17">
        <v>200</v>
      </c>
      <c r="F11" s="3" t="s">
        <v>7</v>
      </c>
      <c r="G11" s="35">
        <v>60</v>
      </c>
      <c r="H11" s="35">
        <v>100</v>
      </c>
      <c r="I11" s="35">
        <v>0</v>
      </c>
      <c r="J11" s="1">
        <f t="shared" ref="J11" si="3">(IF(F11="SELL",G11-H11,IF(F11="BUY",H11-G11)))*E11</f>
        <v>8000</v>
      </c>
      <c r="K11" s="1">
        <v>0</v>
      </c>
      <c r="L11" s="2">
        <f t="shared" ref="L11" si="4">(K11+J11)/E11</f>
        <v>40</v>
      </c>
      <c r="M11" s="2">
        <f t="shared" ref="M11" si="5">L11*E11</f>
        <v>8000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26" customFormat="1" ht="15" customHeight="1">
      <c r="A12" s="15">
        <v>43780</v>
      </c>
      <c r="B12" s="3" t="s">
        <v>19</v>
      </c>
      <c r="C12" s="16" t="s">
        <v>10</v>
      </c>
      <c r="D12" s="16">
        <v>30900</v>
      </c>
      <c r="E12" s="17">
        <v>200</v>
      </c>
      <c r="F12" s="3" t="s">
        <v>7</v>
      </c>
      <c r="G12" s="35">
        <v>230</v>
      </c>
      <c r="H12" s="35">
        <v>300</v>
      </c>
      <c r="I12" s="35">
        <v>400</v>
      </c>
      <c r="J12" s="1">
        <f t="shared" ref="J12" si="6">(IF(F12="SELL",G12-H12,IF(F12="BUY",H12-G12)))*E12</f>
        <v>14000</v>
      </c>
      <c r="K12" s="1">
        <f>E12*100</f>
        <v>20000</v>
      </c>
      <c r="L12" s="2">
        <f t="shared" ref="L12" si="7">(K12+J12)/E12</f>
        <v>170</v>
      </c>
      <c r="M12" s="2">
        <f t="shared" ref="M12" si="8">L12*E12</f>
        <v>34000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26" customFormat="1" ht="15" customHeight="1">
      <c r="A13" s="15">
        <v>43777</v>
      </c>
      <c r="B13" s="3" t="s">
        <v>19</v>
      </c>
      <c r="C13" s="16" t="s">
        <v>10</v>
      </c>
      <c r="D13" s="16">
        <v>30800</v>
      </c>
      <c r="E13" s="17">
        <v>200</v>
      </c>
      <c r="F13" s="3" t="s">
        <v>7</v>
      </c>
      <c r="G13" s="35">
        <v>250</v>
      </c>
      <c r="H13" s="35">
        <v>310</v>
      </c>
      <c r="I13" s="35">
        <v>360</v>
      </c>
      <c r="J13" s="1">
        <f t="shared" ref="J13" si="9">(IF(F13="SELL",G13-H13,IF(F13="BUY",H13-G13)))*E13</f>
        <v>12000</v>
      </c>
      <c r="K13" s="1">
        <f>E13*40</f>
        <v>8000</v>
      </c>
      <c r="L13" s="2">
        <f t="shared" ref="L13" si="10">(K13+J13)/E13</f>
        <v>100</v>
      </c>
      <c r="M13" s="2">
        <f t="shared" ref="M13" si="11">L13*E13</f>
        <v>20000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26" customFormat="1" ht="15" customHeight="1">
      <c r="A14" s="15">
        <v>43776</v>
      </c>
      <c r="B14" s="3" t="s">
        <v>19</v>
      </c>
      <c r="C14" s="16" t="s">
        <v>10</v>
      </c>
      <c r="D14" s="16">
        <v>30800</v>
      </c>
      <c r="E14" s="17">
        <v>200</v>
      </c>
      <c r="F14" s="3" t="s">
        <v>7</v>
      </c>
      <c r="G14" s="35">
        <v>260</v>
      </c>
      <c r="H14" s="35">
        <v>235</v>
      </c>
      <c r="I14" s="35">
        <v>0</v>
      </c>
      <c r="J14" s="1">
        <f t="shared" ref="J14" si="12">(IF(F14="SELL",G14-H14,IF(F14="BUY",H14-G14)))*E14</f>
        <v>-5000</v>
      </c>
      <c r="K14" s="1">
        <v>0</v>
      </c>
      <c r="L14" s="2">
        <f t="shared" ref="L14" si="13">(K14+J14)/E14</f>
        <v>-25</v>
      </c>
      <c r="M14" s="2">
        <f t="shared" ref="M14" si="14">L14*E14</f>
        <v>-5000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26" customFormat="1" ht="15" customHeight="1">
      <c r="A15" s="15">
        <v>43775</v>
      </c>
      <c r="B15" s="3" t="s">
        <v>18</v>
      </c>
      <c r="C15" s="16" t="s">
        <v>10</v>
      </c>
      <c r="D15" s="16">
        <v>11800</v>
      </c>
      <c r="E15" s="17">
        <v>750</v>
      </c>
      <c r="F15" s="3" t="s">
        <v>7</v>
      </c>
      <c r="G15" s="35">
        <v>140</v>
      </c>
      <c r="H15" s="35">
        <v>170</v>
      </c>
      <c r="I15" s="35">
        <v>200</v>
      </c>
      <c r="J15" s="1">
        <f t="shared" ref="J15" si="15">(IF(F15="SELL",G15-H15,IF(F15="BUY",H15-G15)))*E15</f>
        <v>22500</v>
      </c>
      <c r="K15" s="1">
        <f>E15*30</f>
        <v>22500</v>
      </c>
      <c r="L15" s="2">
        <f t="shared" ref="L15" si="16">(K15+J15)/E15</f>
        <v>60</v>
      </c>
      <c r="M15" s="2">
        <f t="shared" ref="M15" si="17">L15*E15</f>
        <v>45000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26" customFormat="1" ht="15" customHeight="1">
      <c r="A16" s="15">
        <v>43775</v>
      </c>
      <c r="B16" s="3" t="s">
        <v>19</v>
      </c>
      <c r="C16" s="16" t="s">
        <v>9</v>
      </c>
      <c r="D16" s="16">
        <v>30000</v>
      </c>
      <c r="E16" s="17">
        <v>200</v>
      </c>
      <c r="F16" s="3" t="s">
        <v>7</v>
      </c>
      <c r="G16" s="35">
        <v>170</v>
      </c>
      <c r="H16" s="35">
        <v>118</v>
      </c>
      <c r="I16" s="35">
        <v>0</v>
      </c>
      <c r="J16" s="1">
        <f t="shared" ref="J16" si="18">(IF(F16="SELL",G16-H16,IF(F16="BUY",H16-G16)))*E16</f>
        <v>-10400</v>
      </c>
      <c r="K16" s="1">
        <v>0</v>
      </c>
      <c r="L16" s="2">
        <f t="shared" ref="L16" si="19">(K16+J16)/E16</f>
        <v>-52</v>
      </c>
      <c r="M16" s="2">
        <f t="shared" ref="M16" si="20">L16*E16</f>
        <v>-10400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26" customFormat="1" ht="15" customHeight="1">
      <c r="A17" s="15">
        <v>43774</v>
      </c>
      <c r="B17" s="3" t="s">
        <v>19</v>
      </c>
      <c r="C17" s="16" t="s">
        <v>9</v>
      </c>
      <c r="D17" s="16">
        <v>30000</v>
      </c>
      <c r="E17" s="17">
        <v>200</v>
      </c>
      <c r="F17" s="3" t="s">
        <v>7</v>
      </c>
      <c r="G17" s="35">
        <v>145</v>
      </c>
      <c r="H17" s="35">
        <v>125</v>
      </c>
      <c r="I17" s="35">
        <v>0</v>
      </c>
      <c r="J17" s="1">
        <f t="shared" ref="J17" si="21">(IF(F17="SELL",G17-H17,IF(F17="BUY",H17-G17)))*E17</f>
        <v>-4000</v>
      </c>
      <c r="K17" s="1">
        <v>0</v>
      </c>
      <c r="L17" s="2">
        <f t="shared" ref="L17" si="22">(K17+J17)/E17</f>
        <v>-20</v>
      </c>
      <c r="M17" s="2">
        <f t="shared" ref="M17" si="23">L17*E17</f>
        <v>-4000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26" customFormat="1" ht="15" customHeight="1">
      <c r="A18" s="15">
        <v>43774</v>
      </c>
      <c r="B18" s="3" t="s">
        <v>19</v>
      </c>
      <c r="C18" s="16" t="s">
        <v>10</v>
      </c>
      <c r="D18" s="16">
        <v>30600</v>
      </c>
      <c r="E18" s="17">
        <v>200</v>
      </c>
      <c r="F18" s="3" t="s">
        <v>7</v>
      </c>
      <c r="G18" s="35">
        <v>160</v>
      </c>
      <c r="H18" s="35">
        <v>123</v>
      </c>
      <c r="I18" s="35">
        <v>0</v>
      </c>
      <c r="J18" s="1">
        <f t="shared" ref="J18" si="24">(IF(F18="SELL",G18-H18,IF(F18="BUY",H18-G18)))*E18</f>
        <v>-7400</v>
      </c>
      <c r="K18" s="1">
        <v>0</v>
      </c>
      <c r="L18" s="2">
        <f t="shared" ref="L18" si="25">(K18+J18)/E18</f>
        <v>-37</v>
      </c>
      <c r="M18" s="2">
        <f t="shared" ref="M18" si="26">L18*E18</f>
        <v>-7400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26" customFormat="1" ht="15" customHeight="1">
      <c r="A19" s="15">
        <v>43773</v>
      </c>
      <c r="B19" s="3" t="s">
        <v>18</v>
      </c>
      <c r="C19" s="16" t="s">
        <v>10</v>
      </c>
      <c r="D19" s="16">
        <v>11900</v>
      </c>
      <c r="E19" s="17">
        <v>750</v>
      </c>
      <c r="F19" s="3" t="s">
        <v>7</v>
      </c>
      <c r="G19" s="35">
        <v>85</v>
      </c>
      <c r="H19" s="35">
        <v>95</v>
      </c>
      <c r="I19" s="35">
        <v>0</v>
      </c>
      <c r="J19" s="1">
        <f t="shared" ref="J19" si="27">(IF(F19="SELL",G19-H19,IF(F19="BUY",H19-G19)))*E19</f>
        <v>7500</v>
      </c>
      <c r="K19" s="1">
        <v>0</v>
      </c>
      <c r="L19" s="2">
        <f t="shared" ref="L19" si="28">(K19+J19)/E19</f>
        <v>10</v>
      </c>
      <c r="M19" s="2">
        <f t="shared" ref="M19" si="29">L19*E19</f>
        <v>7500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26" customFormat="1" ht="15" customHeight="1">
      <c r="A20" s="15">
        <v>43761</v>
      </c>
      <c r="B20" s="3" t="s">
        <v>19</v>
      </c>
      <c r="C20" s="16" t="s">
        <v>9</v>
      </c>
      <c r="D20" s="16">
        <v>28900</v>
      </c>
      <c r="E20" s="17">
        <v>200</v>
      </c>
      <c r="F20" s="3" t="s">
        <v>7</v>
      </c>
      <c r="G20" s="35">
        <v>120</v>
      </c>
      <c r="H20" s="35">
        <v>50</v>
      </c>
      <c r="I20" s="35">
        <v>0</v>
      </c>
      <c r="J20" s="1">
        <f t="shared" ref="J20" si="30">(IF(F20="SELL",G20-H20,IF(F20="BUY",H20-G20)))*E20</f>
        <v>-14000</v>
      </c>
      <c r="K20" s="1">
        <v>0</v>
      </c>
      <c r="L20" s="2">
        <f t="shared" ref="L20" si="31">(K20+J20)/E20</f>
        <v>-70</v>
      </c>
      <c r="M20" s="2">
        <f t="shared" ref="M20" si="32">L20*E20</f>
        <v>-14000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26" customFormat="1" ht="15" customHeight="1">
      <c r="A21" s="15">
        <v>43755</v>
      </c>
      <c r="B21" s="3" t="s">
        <v>19</v>
      </c>
      <c r="C21" s="16" t="s">
        <v>10</v>
      </c>
      <c r="D21" s="16">
        <v>29500</v>
      </c>
      <c r="E21" s="17">
        <v>200</v>
      </c>
      <c r="F21" s="3" t="s">
        <v>7</v>
      </c>
      <c r="G21" s="35">
        <v>200</v>
      </c>
      <c r="H21" s="35">
        <v>210</v>
      </c>
      <c r="I21" s="35">
        <v>0</v>
      </c>
      <c r="J21" s="1">
        <f t="shared" ref="J21" si="33">(IF(F21="SELL",G21-H21,IF(F21="BUY",H21-G21)))*E21</f>
        <v>2000</v>
      </c>
      <c r="K21" s="1">
        <v>0</v>
      </c>
      <c r="L21" s="2">
        <f t="shared" ref="L21:L26" si="34">(K21+J21)/E21</f>
        <v>10</v>
      </c>
      <c r="M21" s="2">
        <f t="shared" ref="M21" si="35">L21*E21</f>
        <v>2000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26" customFormat="1" ht="15" customHeight="1">
      <c r="A22" s="15">
        <v>43748</v>
      </c>
      <c r="B22" s="3" t="s">
        <v>19</v>
      </c>
      <c r="C22" s="16" t="s">
        <v>9</v>
      </c>
      <c r="D22" s="16">
        <v>27800</v>
      </c>
      <c r="E22" s="17">
        <v>200</v>
      </c>
      <c r="F22" s="3" t="s">
        <v>7</v>
      </c>
      <c r="G22" s="35">
        <v>330</v>
      </c>
      <c r="H22" s="35">
        <v>390</v>
      </c>
      <c r="I22" s="35">
        <v>0</v>
      </c>
      <c r="J22" s="1">
        <f t="shared" ref="J22" si="36">(IF(F22="SELL",G22-H22,IF(F22="BUY",H22-G22)))*E22</f>
        <v>12000</v>
      </c>
      <c r="K22" s="1">
        <v>0</v>
      </c>
      <c r="L22" s="2">
        <f t="shared" si="34"/>
        <v>60</v>
      </c>
      <c r="M22" s="2">
        <f t="shared" ref="M22" si="37">L22*E22</f>
        <v>12000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7" customFormat="1" ht="15" customHeight="1">
      <c r="A23" s="15">
        <v>43745</v>
      </c>
      <c r="B23" s="3" t="s">
        <v>19</v>
      </c>
      <c r="C23" s="16" t="s">
        <v>10</v>
      </c>
      <c r="D23" s="16">
        <v>28500</v>
      </c>
      <c r="E23" s="17">
        <v>200</v>
      </c>
      <c r="F23" s="3" t="s">
        <v>7</v>
      </c>
      <c r="G23" s="35">
        <v>200</v>
      </c>
      <c r="H23" s="35">
        <v>130</v>
      </c>
      <c r="I23" s="35">
        <v>0</v>
      </c>
      <c r="J23" s="1">
        <f t="shared" ref="J23" si="38">(IF(F23="SELL",G23-H23,IF(F23="BUY",H23-G23)))*E23</f>
        <v>-14000</v>
      </c>
      <c r="K23" s="1">
        <v>0</v>
      </c>
      <c r="L23" s="2">
        <f t="shared" si="34"/>
        <v>-70</v>
      </c>
      <c r="M23" s="2">
        <f t="shared" ref="M23" si="39">L23*E23</f>
        <v>-14000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15" customHeight="1">
      <c r="A24" s="15">
        <v>43713</v>
      </c>
      <c r="B24" s="3" t="s">
        <v>18</v>
      </c>
      <c r="C24" s="16" t="s">
        <v>9</v>
      </c>
      <c r="D24" s="16">
        <v>10850</v>
      </c>
      <c r="E24" s="17">
        <f t="shared" ref="E24:E43" si="40">75*10</f>
        <v>750</v>
      </c>
      <c r="F24" s="3" t="s">
        <v>7</v>
      </c>
      <c r="G24" s="35">
        <v>35</v>
      </c>
      <c r="H24" s="35">
        <v>15</v>
      </c>
      <c r="I24" s="35">
        <v>0</v>
      </c>
      <c r="J24" s="1">
        <f t="shared" ref="J24" si="41">(IF(F24="SELL",G24-H24,IF(F24="BUY",H24-G24)))*E24</f>
        <v>-15000</v>
      </c>
      <c r="K24" s="1">
        <v>0</v>
      </c>
      <c r="L24" s="2">
        <f t="shared" si="34"/>
        <v>-20</v>
      </c>
      <c r="M24" s="2">
        <f t="shared" ref="M24" si="42">L24*E24</f>
        <v>-15000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15" customHeight="1">
      <c r="A25" s="15">
        <v>43711</v>
      </c>
      <c r="B25" s="3" t="s">
        <v>18</v>
      </c>
      <c r="C25" s="16" t="s">
        <v>9</v>
      </c>
      <c r="D25" s="16">
        <v>10900</v>
      </c>
      <c r="E25" s="17">
        <f t="shared" si="40"/>
        <v>750</v>
      </c>
      <c r="F25" s="3" t="s">
        <v>7</v>
      </c>
      <c r="G25" s="35">
        <v>90</v>
      </c>
      <c r="H25" s="35">
        <v>104</v>
      </c>
      <c r="I25" s="35">
        <v>0</v>
      </c>
      <c r="J25" s="1">
        <f t="shared" ref="J25" si="43">(IF(F25="SELL",G25-H25,IF(F25="BUY",H25-G25)))*E25</f>
        <v>10500</v>
      </c>
      <c r="K25" s="1">
        <v>0</v>
      </c>
      <c r="L25" s="2">
        <f t="shared" si="34"/>
        <v>14</v>
      </c>
      <c r="M25" s="2">
        <f t="shared" ref="M25" si="44">L25*E25</f>
        <v>10500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15" customHeight="1">
      <c r="A26" s="15">
        <v>43706</v>
      </c>
      <c r="B26" s="3" t="s">
        <v>19</v>
      </c>
      <c r="C26" s="16" t="s">
        <v>9</v>
      </c>
      <c r="D26" s="16">
        <v>27300</v>
      </c>
      <c r="E26" s="17">
        <f>20*10</f>
        <v>200</v>
      </c>
      <c r="F26" s="3" t="s">
        <v>7</v>
      </c>
      <c r="G26" s="35">
        <v>30</v>
      </c>
      <c r="H26" s="35">
        <v>60</v>
      </c>
      <c r="I26" s="35">
        <v>146</v>
      </c>
      <c r="J26" s="1">
        <f t="shared" ref="J26" si="45">(IF(F26="SELL",G26-H26,IF(F26="BUY",H26-G26)))*E26</f>
        <v>6000</v>
      </c>
      <c r="K26" s="1">
        <f>E26*86</f>
        <v>17200</v>
      </c>
      <c r="L26" s="2">
        <f t="shared" si="34"/>
        <v>116</v>
      </c>
      <c r="M26" s="2">
        <f t="shared" ref="M26" si="46">L26*E26</f>
        <v>23200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15" customHeight="1">
      <c r="A27" s="15">
        <v>43705</v>
      </c>
      <c r="B27" s="3" t="s">
        <v>18</v>
      </c>
      <c r="C27" s="16" t="s">
        <v>9</v>
      </c>
      <c r="D27" s="16">
        <v>11050</v>
      </c>
      <c r="E27" s="17">
        <f t="shared" si="40"/>
        <v>750</v>
      </c>
      <c r="F27" s="3" t="s">
        <v>7</v>
      </c>
      <c r="G27" s="35">
        <v>50</v>
      </c>
      <c r="H27" s="35">
        <v>70</v>
      </c>
      <c r="I27" s="35">
        <v>0</v>
      </c>
      <c r="J27" s="1">
        <f t="shared" ref="J27" si="47">(IF(F27="SELL",G27-H27,IF(F27="BUY",H27-G27)))*E27</f>
        <v>15000</v>
      </c>
      <c r="K27" s="1">
        <v>0</v>
      </c>
      <c r="L27" s="2">
        <f t="shared" ref="L27:L43" si="48">(K27+J27)/E27</f>
        <v>20</v>
      </c>
      <c r="M27" s="2">
        <f t="shared" ref="M27" si="49">L27*E27</f>
        <v>15000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ht="15" customHeight="1">
      <c r="A28" s="15">
        <v>43686</v>
      </c>
      <c r="B28" s="3" t="s">
        <v>18</v>
      </c>
      <c r="C28" s="16" t="s">
        <v>10</v>
      </c>
      <c r="D28" s="16">
        <v>11150</v>
      </c>
      <c r="E28" s="17">
        <f t="shared" si="40"/>
        <v>750</v>
      </c>
      <c r="F28" s="3" t="s">
        <v>7</v>
      </c>
      <c r="G28" s="35">
        <v>70</v>
      </c>
      <c r="H28" s="35">
        <v>86.5</v>
      </c>
      <c r="I28" s="35">
        <v>0</v>
      </c>
      <c r="J28" s="1">
        <f t="shared" ref="J28:J43" si="50">(IF(F28="SELL",G28-H28,IF(F28="BUY",H28-G28)))*E28</f>
        <v>12375</v>
      </c>
      <c r="K28" s="1">
        <v>0</v>
      </c>
      <c r="L28" s="2">
        <f t="shared" si="48"/>
        <v>16.5</v>
      </c>
      <c r="M28" s="2">
        <f t="shared" ref="M28:M43" si="51">L28*E28</f>
        <v>12375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7" customFormat="1" ht="15" customHeight="1">
      <c r="A29" s="15">
        <v>43675</v>
      </c>
      <c r="B29" s="3" t="s">
        <v>18</v>
      </c>
      <c r="C29" s="16" t="s">
        <v>9</v>
      </c>
      <c r="D29" s="16">
        <v>11250</v>
      </c>
      <c r="E29" s="17">
        <f t="shared" si="40"/>
        <v>750</v>
      </c>
      <c r="F29" s="3" t="s">
        <v>7</v>
      </c>
      <c r="G29" s="35">
        <v>65</v>
      </c>
      <c r="H29" s="35">
        <v>85</v>
      </c>
      <c r="I29" s="35">
        <v>0</v>
      </c>
      <c r="J29" s="1">
        <f t="shared" si="50"/>
        <v>15000</v>
      </c>
      <c r="K29" s="1">
        <v>0</v>
      </c>
      <c r="L29" s="2">
        <f t="shared" si="48"/>
        <v>20</v>
      </c>
      <c r="M29" s="2">
        <f t="shared" si="51"/>
        <v>15000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" customFormat="1" ht="15" customHeight="1">
      <c r="A30" s="15">
        <v>43671</v>
      </c>
      <c r="B30" s="3" t="s">
        <v>18</v>
      </c>
      <c r="C30" s="16" t="s">
        <v>9</v>
      </c>
      <c r="D30" s="16">
        <v>11250</v>
      </c>
      <c r="E30" s="17">
        <f t="shared" si="40"/>
        <v>750</v>
      </c>
      <c r="F30" s="3" t="s">
        <v>7</v>
      </c>
      <c r="G30" s="35">
        <v>20</v>
      </c>
      <c r="H30" s="35">
        <v>5</v>
      </c>
      <c r="I30" s="35">
        <v>0</v>
      </c>
      <c r="J30" s="1">
        <f t="shared" si="50"/>
        <v>-11250</v>
      </c>
      <c r="K30" s="1">
        <v>0</v>
      </c>
      <c r="L30" s="2">
        <f t="shared" si="48"/>
        <v>-15</v>
      </c>
      <c r="M30" s="2">
        <f t="shared" si="51"/>
        <v>-11250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7" customFormat="1" ht="15" customHeight="1">
      <c r="A31" s="15">
        <v>43670</v>
      </c>
      <c r="B31" s="3" t="s">
        <v>18</v>
      </c>
      <c r="C31" s="16" t="s">
        <v>9</v>
      </c>
      <c r="D31" s="16">
        <v>11250</v>
      </c>
      <c r="E31" s="17">
        <f t="shared" si="40"/>
        <v>750</v>
      </c>
      <c r="F31" s="3" t="s">
        <v>7</v>
      </c>
      <c r="G31" s="35">
        <v>50</v>
      </c>
      <c r="H31" s="35">
        <v>25</v>
      </c>
      <c r="I31" s="35">
        <v>0</v>
      </c>
      <c r="J31" s="1">
        <f t="shared" si="50"/>
        <v>-18750</v>
      </c>
      <c r="K31" s="1">
        <v>0</v>
      </c>
      <c r="L31" s="2">
        <f t="shared" si="48"/>
        <v>-25</v>
      </c>
      <c r="M31" s="2">
        <f t="shared" si="51"/>
        <v>-18750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7" customFormat="1" ht="15" customHeight="1">
      <c r="A32" s="15">
        <v>43669</v>
      </c>
      <c r="B32" s="3" t="s">
        <v>18</v>
      </c>
      <c r="C32" s="16" t="s">
        <v>9</v>
      </c>
      <c r="D32" s="16">
        <v>11300</v>
      </c>
      <c r="E32" s="17">
        <f t="shared" si="40"/>
        <v>750</v>
      </c>
      <c r="F32" s="3" t="s">
        <v>7</v>
      </c>
      <c r="G32" s="35">
        <v>41</v>
      </c>
      <c r="H32" s="35">
        <v>20</v>
      </c>
      <c r="I32" s="35">
        <v>0</v>
      </c>
      <c r="J32" s="1">
        <f t="shared" si="50"/>
        <v>-15750</v>
      </c>
      <c r="K32" s="1">
        <v>0</v>
      </c>
      <c r="L32" s="2">
        <f t="shared" si="48"/>
        <v>-21</v>
      </c>
      <c r="M32" s="2">
        <f t="shared" si="51"/>
        <v>-15750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7" customFormat="1" ht="15" customHeight="1">
      <c r="A33" s="15">
        <v>43665</v>
      </c>
      <c r="B33" s="3" t="s">
        <v>18</v>
      </c>
      <c r="C33" s="16" t="s">
        <v>9</v>
      </c>
      <c r="D33" s="16">
        <v>11450</v>
      </c>
      <c r="E33" s="17">
        <f t="shared" si="40"/>
        <v>750</v>
      </c>
      <c r="F33" s="3" t="s">
        <v>7</v>
      </c>
      <c r="G33" s="35">
        <v>75</v>
      </c>
      <c r="H33" s="35">
        <v>75</v>
      </c>
      <c r="I33" s="35">
        <v>0</v>
      </c>
      <c r="J33" s="1">
        <f t="shared" si="50"/>
        <v>0</v>
      </c>
      <c r="K33" s="1">
        <v>0</v>
      </c>
      <c r="L33" s="2">
        <f t="shared" si="48"/>
        <v>0</v>
      </c>
      <c r="M33" s="2">
        <f t="shared" si="51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7" customFormat="1" ht="15" customHeight="1">
      <c r="A34" s="15">
        <v>43663</v>
      </c>
      <c r="B34" s="3" t="s">
        <v>18</v>
      </c>
      <c r="C34" s="16" t="s">
        <v>10</v>
      </c>
      <c r="D34" s="16">
        <v>11600</v>
      </c>
      <c r="E34" s="17">
        <f t="shared" si="40"/>
        <v>750</v>
      </c>
      <c r="F34" s="3" t="s">
        <v>7</v>
      </c>
      <c r="G34" s="35">
        <v>50</v>
      </c>
      <c r="H34" s="35">
        <v>36</v>
      </c>
      <c r="I34" s="35">
        <v>0</v>
      </c>
      <c r="J34" s="1">
        <f t="shared" si="50"/>
        <v>-10500</v>
      </c>
      <c r="K34" s="1">
        <v>0</v>
      </c>
      <c r="L34" s="2">
        <f t="shared" si="48"/>
        <v>-14</v>
      </c>
      <c r="M34" s="2">
        <f t="shared" si="51"/>
        <v>-10500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7" customFormat="1" ht="15" customHeight="1">
      <c r="A35" s="15">
        <v>43661</v>
      </c>
      <c r="B35" s="3" t="s">
        <v>18</v>
      </c>
      <c r="C35" s="16" t="s">
        <v>9</v>
      </c>
      <c r="D35" s="16">
        <v>11600</v>
      </c>
      <c r="E35" s="17">
        <f t="shared" si="40"/>
        <v>750</v>
      </c>
      <c r="F35" s="3" t="s">
        <v>7</v>
      </c>
      <c r="G35" s="35">
        <v>80</v>
      </c>
      <c r="H35" s="35">
        <v>105</v>
      </c>
      <c r="I35" s="35">
        <v>0</v>
      </c>
      <c r="J35" s="1">
        <f t="shared" si="50"/>
        <v>18750</v>
      </c>
      <c r="K35" s="1">
        <v>0</v>
      </c>
      <c r="L35" s="2">
        <f t="shared" si="48"/>
        <v>25</v>
      </c>
      <c r="M35" s="2">
        <f t="shared" si="51"/>
        <v>18750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7" customFormat="1" ht="15" customHeight="1">
      <c r="A36" s="15">
        <v>43658</v>
      </c>
      <c r="B36" s="3" t="s">
        <v>18</v>
      </c>
      <c r="C36" s="16" t="s">
        <v>10</v>
      </c>
      <c r="D36" s="16">
        <v>11600</v>
      </c>
      <c r="E36" s="17">
        <f t="shared" si="40"/>
        <v>750</v>
      </c>
      <c r="F36" s="3" t="s">
        <v>7</v>
      </c>
      <c r="G36" s="35">
        <v>70</v>
      </c>
      <c r="H36" s="35">
        <v>50</v>
      </c>
      <c r="I36" s="35">
        <v>0</v>
      </c>
      <c r="J36" s="1">
        <f t="shared" si="50"/>
        <v>-15000</v>
      </c>
      <c r="K36" s="1">
        <v>0</v>
      </c>
      <c r="L36" s="2">
        <f t="shared" si="48"/>
        <v>-20</v>
      </c>
      <c r="M36" s="2">
        <f t="shared" si="51"/>
        <v>-15000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7" customFormat="1" ht="15" customHeight="1">
      <c r="A37" s="15">
        <v>43655</v>
      </c>
      <c r="B37" s="3" t="s">
        <v>18</v>
      </c>
      <c r="C37" s="16" t="s">
        <v>9</v>
      </c>
      <c r="D37" s="16">
        <v>11500</v>
      </c>
      <c r="E37" s="17">
        <f t="shared" si="40"/>
        <v>750</v>
      </c>
      <c r="F37" s="3" t="s">
        <v>7</v>
      </c>
      <c r="G37" s="35">
        <v>65</v>
      </c>
      <c r="H37" s="35">
        <v>40</v>
      </c>
      <c r="I37" s="35">
        <v>0</v>
      </c>
      <c r="J37" s="1">
        <f t="shared" si="50"/>
        <v>-18750</v>
      </c>
      <c r="K37" s="1">
        <v>0</v>
      </c>
      <c r="L37" s="2">
        <f t="shared" si="48"/>
        <v>-25</v>
      </c>
      <c r="M37" s="2">
        <f t="shared" si="51"/>
        <v>-18750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7" customFormat="1" ht="15" customHeight="1">
      <c r="A38" s="15">
        <v>43648</v>
      </c>
      <c r="B38" s="3" t="s">
        <v>18</v>
      </c>
      <c r="C38" s="16" t="s">
        <v>9</v>
      </c>
      <c r="D38" s="16">
        <v>11800</v>
      </c>
      <c r="E38" s="17">
        <f t="shared" si="40"/>
        <v>750</v>
      </c>
      <c r="F38" s="3" t="s">
        <v>7</v>
      </c>
      <c r="G38" s="35">
        <v>40</v>
      </c>
      <c r="H38" s="35">
        <v>20</v>
      </c>
      <c r="I38" s="35">
        <v>0</v>
      </c>
      <c r="J38" s="1">
        <f t="shared" si="50"/>
        <v>-15000</v>
      </c>
      <c r="K38" s="1">
        <v>0</v>
      </c>
      <c r="L38" s="2">
        <f t="shared" si="48"/>
        <v>-20</v>
      </c>
      <c r="M38" s="2">
        <f t="shared" si="51"/>
        <v>-15000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7" customFormat="1" ht="15" customHeight="1">
      <c r="A39" s="15">
        <v>43647</v>
      </c>
      <c r="B39" s="3" t="s">
        <v>18</v>
      </c>
      <c r="C39" s="16" t="s">
        <v>10</v>
      </c>
      <c r="D39" s="16">
        <v>11850</v>
      </c>
      <c r="E39" s="17">
        <f t="shared" si="40"/>
        <v>750</v>
      </c>
      <c r="F39" s="3" t="s">
        <v>7</v>
      </c>
      <c r="G39" s="35">
        <v>70</v>
      </c>
      <c r="H39" s="35">
        <v>71</v>
      </c>
      <c r="I39" s="35">
        <v>0</v>
      </c>
      <c r="J39" s="1">
        <f t="shared" si="50"/>
        <v>750</v>
      </c>
      <c r="K39" s="1">
        <v>0</v>
      </c>
      <c r="L39" s="2">
        <f t="shared" si="48"/>
        <v>1</v>
      </c>
      <c r="M39" s="2">
        <f t="shared" si="51"/>
        <v>750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7" customFormat="1" ht="15" customHeight="1">
      <c r="A40" s="15">
        <v>43619</v>
      </c>
      <c r="B40" s="3" t="s">
        <v>18</v>
      </c>
      <c r="C40" s="16" t="s">
        <v>10</v>
      </c>
      <c r="D40" s="16">
        <v>12100</v>
      </c>
      <c r="E40" s="17">
        <f t="shared" si="40"/>
        <v>750</v>
      </c>
      <c r="F40" s="3" t="s">
        <v>7</v>
      </c>
      <c r="G40" s="35">
        <v>40</v>
      </c>
      <c r="H40" s="35">
        <v>49</v>
      </c>
      <c r="I40" s="35">
        <v>0</v>
      </c>
      <c r="J40" s="1">
        <f t="shared" si="50"/>
        <v>6750</v>
      </c>
      <c r="K40" s="1">
        <v>0</v>
      </c>
      <c r="L40" s="2">
        <f t="shared" si="48"/>
        <v>9</v>
      </c>
      <c r="M40" s="2">
        <f t="shared" si="51"/>
        <v>6750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" customFormat="1" ht="15" customHeight="1">
      <c r="A41" s="15">
        <v>43609</v>
      </c>
      <c r="B41" s="3" t="s">
        <v>18</v>
      </c>
      <c r="C41" s="16" t="s">
        <v>10</v>
      </c>
      <c r="D41" s="16">
        <v>11700</v>
      </c>
      <c r="E41" s="17">
        <f t="shared" si="40"/>
        <v>750</v>
      </c>
      <c r="F41" s="3" t="s">
        <v>7</v>
      </c>
      <c r="G41" s="35">
        <v>105</v>
      </c>
      <c r="H41" s="35">
        <v>140</v>
      </c>
      <c r="I41" s="35">
        <v>0</v>
      </c>
      <c r="J41" s="1">
        <f t="shared" si="50"/>
        <v>26250</v>
      </c>
      <c r="K41" s="1">
        <v>0</v>
      </c>
      <c r="L41" s="2">
        <f t="shared" si="48"/>
        <v>35</v>
      </c>
      <c r="M41" s="2">
        <f t="shared" si="51"/>
        <v>26250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7" customFormat="1" ht="15" customHeight="1">
      <c r="A42" s="15">
        <v>43607</v>
      </c>
      <c r="B42" s="3" t="s">
        <v>18</v>
      </c>
      <c r="C42" s="16" t="s">
        <v>10</v>
      </c>
      <c r="D42" s="16">
        <v>11800</v>
      </c>
      <c r="E42" s="17">
        <f t="shared" si="40"/>
        <v>750</v>
      </c>
      <c r="F42" s="3" t="s">
        <v>7</v>
      </c>
      <c r="G42" s="35">
        <v>250</v>
      </c>
      <c r="H42" s="35">
        <v>280</v>
      </c>
      <c r="I42" s="35">
        <v>0</v>
      </c>
      <c r="J42" s="1">
        <f t="shared" si="50"/>
        <v>22500</v>
      </c>
      <c r="K42" s="1">
        <v>0</v>
      </c>
      <c r="L42" s="2">
        <f t="shared" si="48"/>
        <v>30</v>
      </c>
      <c r="M42" s="2">
        <f t="shared" si="51"/>
        <v>22500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7" customFormat="1" ht="15" customHeight="1">
      <c r="A43" s="15">
        <v>43469</v>
      </c>
      <c r="B43" s="3" t="s">
        <v>18</v>
      </c>
      <c r="C43" s="16" t="s">
        <v>9</v>
      </c>
      <c r="D43" s="16">
        <v>11650</v>
      </c>
      <c r="E43" s="17">
        <f t="shared" si="40"/>
        <v>750</v>
      </c>
      <c r="F43" s="3" t="s">
        <v>7</v>
      </c>
      <c r="G43" s="35">
        <v>40</v>
      </c>
      <c r="H43" s="35">
        <v>15</v>
      </c>
      <c r="I43" s="36">
        <v>0</v>
      </c>
      <c r="J43" s="1">
        <f t="shared" si="50"/>
        <v>-18750</v>
      </c>
      <c r="K43" s="1">
        <v>0</v>
      </c>
      <c r="L43" s="2">
        <f t="shared" si="48"/>
        <v>-25</v>
      </c>
      <c r="M43" s="2">
        <f t="shared" si="51"/>
        <v>-18750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7" customFormat="1" ht="15" customHeight="1">
      <c r="A44" s="15"/>
      <c r="B44" s="3"/>
      <c r="C44" s="16"/>
      <c r="D44" s="16"/>
      <c r="E44" s="17"/>
      <c r="F44" s="3"/>
      <c r="G44" s="3"/>
      <c r="H44" s="3"/>
      <c r="I44" s="3"/>
      <c r="J44" s="1"/>
      <c r="K44" s="1"/>
      <c r="L44" s="2"/>
      <c r="M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7" customFormat="1" ht="15" customHeight="1">
      <c r="A45" s="15"/>
      <c r="B45" s="3"/>
      <c r="C45" s="16"/>
      <c r="D45" s="16"/>
      <c r="E45" s="17"/>
      <c r="F45" s="3"/>
      <c r="G45" s="3"/>
      <c r="H45" s="3"/>
      <c r="I45" s="3"/>
      <c r="J45" s="1"/>
      <c r="K45" s="1"/>
      <c r="L45" s="2"/>
      <c r="M45" s="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7" customFormat="1" ht="15" customHeight="1">
      <c r="A46" s="15"/>
      <c r="B46" s="3"/>
      <c r="C46" s="16"/>
      <c r="D46" s="16"/>
      <c r="E46" s="17"/>
      <c r="F46" s="3"/>
      <c r="G46" s="3"/>
      <c r="H46" s="3"/>
      <c r="I46" s="3"/>
      <c r="J46" s="1"/>
      <c r="K46" s="1"/>
      <c r="L46" s="2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7" customFormat="1" ht="15" customHeight="1">
      <c r="A47" s="15"/>
      <c r="B47" s="3"/>
      <c r="C47" s="16"/>
      <c r="D47" s="16"/>
      <c r="E47" s="17"/>
      <c r="F47" s="3"/>
      <c r="G47" s="3"/>
      <c r="H47" s="3"/>
      <c r="I47" s="3"/>
      <c r="J47" s="1"/>
      <c r="K47" s="1"/>
      <c r="L47" s="2"/>
      <c r="M47" s="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7" customFormat="1" ht="15" customHeight="1">
      <c r="A48" s="15"/>
      <c r="B48" s="3"/>
      <c r="C48" s="16"/>
      <c r="D48" s="16"/>
      <c r="E48" s="17"/>
      <c r="F48" s="3"/>
      <c r="G48" s="3"/>
      <c r="H48" s="3"/>
      <c r="I48" s="3"/>
      <c r="J48" s="1"/>
      <c r="K48" s="1"/>
      <c r="L48" s="2"/>
      <c r="M48" s="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7" customFormat="1" ht="15" customHeight="1">
      <c r="A49" s="15"/>
      <c r="B49" s="3"/>
      <c r="C49" s="16"/>
      <c r="D49" s="16"/>
      <c r="E49" s="17"/>
      <c r="F49" s="3"/>
      <c r="G49" s="3"/>
      <c r="H49" s="3"/>
      <c r="I49" s="3"/>
      <c r="J49" s="1"/>
      <c r="K49" s="1"/>
      <c r="L49" s="2"/>
      <c r="M49" s="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7" customFormat="1" ht="15" customHeight="1">
      <c r="A50" s="15"/>
      <c r="B50" s="3"/>
      <c r="C50" s="16"/>
      <c r="D50" s="16"/>
      <c r="E50" s="17"/>
      <c r="F50" s="3"/>
      <c r="G50" s="3"/>
      <c r="H50" s="3"/>
      <c r="I50" s="3"/>
      <c r="J50" s="1"/>
      <c r="K50" s="1"/>
      <c r="L50" s="2"/>
      <c r="M50" s="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7" customFormat="1" ht="15" customHeight="1">
      <c r="A51" s="15"/>
      <c r="B51" s="3"/>
      <c r="C51" s="16"/>
      <c r="D51" s="16"/>
      <c r="E51" s="17"/>
      <c r="F51" s="3"/>
      <c r="G51" s="3"/>
      <c r="H51" s="3"/>
      <c r="I51" s="3"/>
      <c r="J51" s="1"/>
      <c r="K51" s="1"/>
      <c r="L51" s="2"/>
      <c r="M51" s="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7" customFormat="1" ht="15" customHeight="1">
      <c r="A52" s="15"/>
      <c r="B52" s="3"/>
      <c r="C52" s="16"/>
      <c r="D52" s="16"/>
      <c r="E52" s="17"/>
      <c r="F52" s="3"/>
      <c r="G52" s="3"/>
      <c r="H52" s="3"/>
      <c r="I52" s="3"/>
      <c r="J52" s="1"/>
      <c r="K52" s="1"/>
      <c r="L52" s="2"/>
      <c r="M52" s="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s="7" customFormat="1" ht="15" customHeight="1">
      <c r="A53" s="38"/>
      <c r="B53" s="12"/>
      <c r="C53" s="13"/>
      <c r="D53" s="8"/>
      <c r="E53" s="12"/>
      <c r="F53" s="3"/>
      <c r="G53" s="5"/>
      <c r="H53" s="5"/>
      <c r="I53" s="5"/>
      <c r="J53" s="1"/>
      <c r="K53" s="1"/>
      <c r="L53" s="2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7" customFormat="1" ht="15" customHeight="1">
      <c r="A54" s="38"/>
      <c r="B54" s="12"/>
      <c r="C54" s="13"/>
      <c r="D54" s="8"/>
      <c r="E54" s="12"/>
      <c r="F54" s="3"/>
      <c r="G54" s="5"/>
      <c r="H54" s="5"/>
      <c r="I54" s="5"/>
      <c r="J54" s="1"/>
      <c r="K54" s="1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7" customFormat="1" ht="15" customHeight="1">
      <c r="A55" s="38"/>
      <c r="B55" s="12"/>
      <c r="C55" s="13"/>
      <c r="D55" s="8"/>
      <c r="E55" s="12"/>
      <c r="F55" s="3"/>
      <c r="G55" s="5"/>
      <c r="H55" s="5"/>
      <c r="I55" s="5"/>
      <c r="J55" s="1"/>
      <c r="K55" s="1"/>
      <c r="L55" s="2"/>
      <c r="M55" s="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7" customFormat="1" ht="15" customHeight="1">
      <c r="A56" s="38"/>
      <c r="B56" s="12"/>
      <c r="C56" s="13"/>
      <c r="D56" s="8"/>
      <c r="E56" s="12"/>
      <c r="F56" s="3"/>
      <c r="G56" s="5"/>
      <c r="H56" s="5"/>
      <c r="I56" s="5"/>
      <c r="J56" s="1"/>
      <c r="K56" s="1"/>
      <c r="L56" s="2"/>
      <c r="M56" s="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7" customFormat="1" ht="15" customHeight="1">
      <c r="A57" s="38"/>
      <c r="B57" s="12"/>
      <c r="C57" s="13"/>
      <c r="D57" s="8"/>
      <c r="E57" s="12"/>
      <c r="F57" s="3"/>
      <c r="G57" s="5"/>
      <c r="H57" s="5"/>
      <c r="I57" s="5"/>
      <c r="J57" s="1"/>
      <c r="K57" s="1"/>
      <c r="L57" s="2"/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7" customFormat="1" ht="15" customHeight="1">
      <c r="A58" s="38"/>
      <c r="B58" s="12"/>
      <c r="C58" s="13"/>
      <c r="D58" s="8"/>
      <c r="E58" s="12"/>
      <c r="F58" s="3"/>
      <c r="G58" s="5"/>
      <c r="H58" s="5"/>
      <c r="I58" s="5"/>
      <c r="J58" s="1"/>
      <c r="K58" s="1"/>
      <c r="L58" s="2"/>
      <c r="M58" s="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7" customFormat="1" ht="15" customHeight="1">
      <c r="A59" s="38"/>
      <c r="B59" s="12"/>
      <c r="C59" s="13"/>
      <c r="D59" s="8"/>
      <c r="E59" s="12"/>
      <c r="F59" s="3"/>
      <c r="G59" s="5"/>
      <c r="H59" s="5"/>
      <c r="I59" s="5"/>
      <c r="J59" s="1"/>
      <c r="K59" s="1"/>
      <c r="L59" s="2"/>
      <c r="M59" s="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7" customFormat="1" ht="15" customHeight="1">
      <c r="A60" s="38"/>
      <c r="B60" s="12"/>
      <c r="C60" s="13"/>
      <c r="D60" s="8"/>
      <c r="E60" s="12"/>
      <c r="F60" s="3"/>
      <c r="G60" s="5"/>
      <c r="H60" s="5"/>
      <c r="I60" s="5"/>
      <c r="J60" s="1"/>
      <c r="K60" s="1"/>
      <c r="L60" s="2"/>
      <c r="M60" s="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7" customFormat="1" ht="15" customHeight="1">
      <c r="A61" s="38"/>
      <c r="B61" s="12"/>
      <c r="C61" s="13"/>
      <c r="D61" s="8"/>
      <c r="E61" s="12"/>
      <c r="F61" s="3"/>
      <c r="G61" s="5"/>
      <c r="H61" s="5"/>
      <c r="I61" s="5"/>
      <c r="J61" s="1"/>
      <c r="K61" s="1"/>
      <c r="L61" s="2"/>
      <c r="M61" s="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7" customFormat="1" ht="15" customHeight="1">
      <c r="A62" s="38"/>
      <c r="B62" s="12"/>
      <c r="C62" s="13"/>
      <c r="D62" s="8"/>
      <c r="E62" s="12"/>
      <c r="F62" s="3"/>
      <c r="G62" s="5"/>
      <c r="H62" s="5"/>
      <c r="I62" s="5"/>
      <c r="J62" s="1"/>
      <c r="K62" s="1"/>
      <c r="L62" s="2"/>
      <c r="M62" s="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7" customFormat="1" ht="15" customHeight="1">
      <c r="A63" s="38"/>
      <c r="B63" s="12"/>
      <c r="C63" s="13"/>
      <c r="D63" s="8"/>
      <c r="E63" s="12"/>
      <c r="F63" s="3"/>
      <c r="G63" s="5"/>
      <c r="H63" s="5"/>
      <c r="I63" s="5"/>
      <c r="J63" s="1"/>
      <c r="K63" s="1"/>
      <c r="L63" s="2"/>
      <c r="M63" s="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7" customFormat="1" ht="15" customHeight="1">
      <c r="A64" s="38"/>
      <c r="B64" s="12"/>
      <c r="C64" s="13"/>
      <c r="D64" s="8"/>
      <c r="E64" s="12"/>
      <c r="F64" s="3"/>
      <c r="G64" s="5"/>
      <c r="H64" s="5"/>
      <c r="I64" s="5"/>
      <c r="J64" s="1"/>
      <c r="K64" s="1"/>
      <c r="L64" s="2"/>
      <c r="M64" s="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7" customFormat="1" ht="15" customHeight="1">
      <c r="A65" s="38"/>
      <c r="B65" s="12"/>
      <c r="C65" s="13"/>
      <c r="D65" s="8"/>
      <c r="E65" s="12"/>
      <c r="F65" s="3"/>
      <c r="G65" s="5"/>
      <c r="H65" s="5"/>
      <c r="I65" s="5"/>
      <c r="J65" s="1"/>
      <c r="K65" s="1"/>
      <c r="L65" s="2"/>
      <c r="M65" s="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7" customFormat="1" ht="15" customHeight="1">
      <c r="A66" s="38"/>
      <c r="B66" s="12"/>
      <c r="C66" s="13"/>
      <c r="D66" s="8"/>
      <c r="E66" s="12"/>
      <c r="F66" s="3"/>
      <c r="G66" s="5"/>
      <c r="H66" s="5"/>
      <c r="I66" s="5"/>
      <c r="J66" s="1"/>
      <c r="K66" s="1"/>
      <c r="L66" s="2"/>
      <c r="M66" s="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7" customFormat="1" ht="15" customHeight="1">
      <c r="A67" s="38"/>
      <c r="B67" s="12"/>
      <c r="C67" s="13"/>
      <c r="D67" s="8"/>
      <c r="E67" s="12"/>
      <c r="F67" s="3"/>
      <c r="G67" s="5"/>
      <c r="H67" s="5"/>
      <c r="I67" s="5"/>
      <c r="J67" s="1"/>
      <c r="K67" s="1"/>
      <c r="L67" s="2"/>
      <c r="M67" s="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7" customFormat="1" ht="15" customHeight="1">
      <c r="A68" s="38"/>
      <c r="B68" s="12"/>
      <c r="C68" s="13"/>
      <c r="D68" s="8"/>
      <c r="E68" s="12"/>
      <c r="F68" s="3"/>
      <c r="G68" s="5"/>
      <c r="H68" s="5"/>
      <c r="I68" s="5"/>
      <c r="J68" s="1"/>
      <c r="K68" s="1"/>
      <c r="L68" s="2"/>
      <c r="M68" s="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7" customFormat="1" ht="15" customHeight="1">
      <c r="A69" s="38"/>
      <c r="B69" s="12"/>
      <c r="C69" s="13"/>
      <c r="D69" s="8"/>
      <c r="E69" s="12"/>
      <c r="F69" s="3"/>
      <c r="G69" s="5"/>
      <c r="H69" s="5"/>
      <c r="I69" s="5"/>
      <c r="J69" s="1"/>
      <c r="K69" s="1"/>
      <c r="L69" s="2"/>
      <c r="M69" s="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7" customFormat="1" ht="15" customHeight="1">
      <c r="A70" s="38"/>
      <c r="B70" s="12"/>
      <c r="C70" s="13"/>
      <c r="D70" s="8"/>
      <c r="E70" s="12"/>
      <c r="F70" s="3"/>
      <c r="G70" s="5"/>
      <c r="H70" s="5"/>
      <c r="I70" s="5"/>
      <c r="J70" s="1"/>
      <c r="K70" s="1"/>
      <c r="L70" s="2"/>
      <c r="M70" s="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s="7" customFormat="1" ht="15" customHeight="1">
      <c r="A71" s="38"/>
      <c r="B71" s="12"/>
      <c r="C71" s="13"/>
      <c r="D71" s="8"/>
      <c r="E71" s="12"/>
      <c r="F71" s="3"/>
      <c r="G71" s="5"/>
      <c r="H71" s="5"/>
      <c r="I71" s="5"/>
      <c r="J71" s="1"/>
      <c r="K71" s="1"/>
      <c r="L71" s="2"/>
      <c r="M71" s="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s="7" customFormat="1" ht="15" customHeight="1">
      <c r="A72" s="38"/>
      <c r="B72" s="12"/>
      <c r="C72" s="13"/>
      <c r="D72" s="8"/>
      <c r="E72" s="12"/>
      <c r="F72" s="3"/>
      <c r="G72" s="5"/>
      <c r="H72" s="5"/>
      <c r="I72" s="18"/>
      <c r="J72" s="1"/>
      <c r="K72" s="1"/>
      <c r="L72" s="2"/>
      <c r="M72" s="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7" customFormat="1" ht="15" customHeight="1">
      <c r="A73" s="38"/>
      <c r="B73" s="12"/>
      <c r="C73" s="13"/>
      <c r="D73" s="8"/>
      <c r="E73" s="12"/>
      <c r="F73" s="3"/>
      <c r="G73" s="5"/>
      <c r="H73" s="5"/>
      <c r="I73" s="5"/>
      <c r="J73" s="1"/>
      <c r="K73" s="1"/>
      <c r="L73" s="2"/>
      <c r="M73" s="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7" customFormat="1" ht="15" customHeight="1">
      <c r="A74" s="38"/>
      <c r="B74" s="12"/>
      <c r="C74" s="13"/>
      <c r="D74" s="8"/>
      <c r="E74" s="12"/>
      <c r="F74" s="3"/>
      <c r="G74" s="5"/>
      <c r="H74" s="5"/>
      <c r="I74" s="5"/>
      <c r="J74" s="1"/>
      <c r="K74" s="1"/>
      <c r="L74" s="2"/>
      <c r="M74" s="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7" customFormat="1" ht="15" customHeight="1">
      <c r="A75" s="38"/>
      <c r="B75" s="12"/>
      <c r="C75" s="13"/>
      <c r="D75" s="8"/>
      <c r="E75" s="12"/>
      <c r="F75" s="3"/>
      <c r="G75" s="5"/>
      <c r="H75" s="5"/>
      <c r="I75" s="5"/>
      <c r="J75" s="1"/>
      <c r="K75" s="1"/>
      <c r="L75" s="2"/>
      <c r="M75" s="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s="7" customFormat="1" ht="15" customHeight="1">
      <c r="A76" s="38"/>
      <c r="B76" s="12"/>
      <c r="C76" s="13"/>
      <c r="D76" s="8"/>
      <c r="E76" s="12"/>
      <c r="F76" s="3"/>
      <c r="G76" s="5"/>
      <c r="H76" s="5"/>
      <c r="I76" s="5"/>
      <c r="J76" s="1"/>
      <c r="K76" s="1"/>
      <c r="L76" s="2"/>
      <c r="M76" s="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s="7" customFormat="1" ht="15" customHeight="1">
      <c r="A77" s="38"/>
      <c r="B77" s="12"/>
      <c r="C77" s="13"/>
      <c r="D77" s="8"/>
      <c r="E77" s="12"/>
      <c r="F77" s="3"/>
      <c r="G77" s="5"/>
      <c r="H77" s="5"/>
      <c r="I77" s="5"/>
      <c r="J77" s="1"/>
      <c r="K77" s="1"/>
      <c r="L77" s="2"/>
      <c r="M77" s="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7" customFormat="1" ht="15" customHeight="1">
      <c r="A78" s="38"/>
      <c r="B78" s="12"/>
      <c r="C78" s="13"/>
      <c r="D78" s="8"/>
      <c r="E78" s="12"/>
      <c r="F78" s="3"/>
      <c r="G78" s="5"/>
      <c r="H78" s="5"/>
      <c r="I78" s="5"/>
      <c r="J78" s="1"/>
      <c r="K78" s="1"/>
      <c r="L78" s="2"/>
      <c r="M78" s="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7" customFormat="1" ht="15" customHeight="1">
      <c r="A79" s="38"/>
      <c r="B79" s="12"/>
      <c r="C79" s="13"/>
      <c r="D79" s="8"/>
      <c r="E79" s="12"/>
      <c r="F79" s="3"/>
      <c r="G79" s="5"/>
      <c r="H79" s="5"/>
      <c r="I79" s="5"/>
      <c r="J79" s="1"/>
      <c r="K79" s="1"/>
      <c r="L79" s="2"/>
      <c r="M79" s="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7" customFormat="1" ht="15" customHeight="1">
      <c r="A80" s="38"/>
      <c r="B80" s="12"/>
      <c r="C80" s="13"/>
      <c r="D80" s="8"/>
      <c r="E80" s="12"/>
      <c r="F80" s="3"/>
      <c r="G80" s="5"/>
      <c r="H80" s="5"/>
      <c r="I80" s="5"/>
      <c r="J80" s="1"/>
      <c r="K80" s="1"/>
      <c r="L80" s="2"/>
      <c r="M80" s="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7" customFormat="1" ht="15" customHeight="1">
      <c r="A81" s="38"/>
      <c r="B81" s="12"/>
      <c r="C81" s="13"/>
      <c r="D81" s="8"/>
      <c r="E81" s="12"/>
      <c r="F81" s="3"/>
      <c r="G81" s="5"/>
      <c r="H81" s="5"/>
      <c r="I81" s="5"/>
      <c r="J81" s="1"/>
      <c r="K81" s="1"/>
      <c r="L81" s="2"/>
      <c r="M81" s="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7" customFormat="1" ht="15" customHeight="1">
      <c r="A82" s="38"/>
      <c r="B82" s="12"/>
      <c r="C82" s="13"/>
      <c r="D82" s="8"/>
      <c r="E82" s="12"/>
      <c r="F82" s="3"/>
      <c r="G82" s="5"/>
      <c r="H82" s="5"/>
      <c r="I82" s="5"/>
      <c r="J82" s="1"/>
      <c r="K82" s="1"/>
      <c r="L82" s="2"/>
      <c r="M82" s="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7" customFormat="1" ht="15" customHeight="1">
      <c r="A83" s="38"/>
      <c r="B83" s="12"/>
      <c r="C83" s="13"/>
      <c r="D83" s="8"/>
      <c r="E83" s="12"/>
      <c r="F83" s="3"/>
      <c r="G83" s="5"/>
      <c r="H83" s="5"/>
      <c r="I83" s="5"/>
      <c r="J83" s="1"/>
      <c r="K83" s="1"/>
      <c r="L83" s="2"/>
      <c r="M83" s="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7" customFormat="1" ht="15" customHeight="1">
      <c r="A84" s="38"/>
      <c r="B84" s="12"/>
      <c r="C84" s="13"/>
      <c r="D84" s="8"/>
      <c r="E84" s="12"/>
      <c r="F84" s="3"/>
      <c r="G84" s="5"/>
      <c r="H84" s="5"/>
      <c r="I84" s="5"/>
      <c r="J84" s="1"/>
      <c r="K84" s="1"/>
      <c r="L84" s="2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7" customFormat="1" ht="15" customHeight="1">
      <c r="A85" s="38"/>
      <c r="B85" s="12"/>
      <c r="C85" s="13"/>
      <c r="D85" s="8"/>
      <c r="E85" s="12"/>
      <c r="F85" s="3"/>
      <c r="G85" s="5"/>
      <c r="H85" s="5"/>
      <c r="I85" s="5"/>
      <c r="J85" s="1"/>
      <c r="K85" s="1"/>
      <c r="L85" s="2"/>
      <c r="M85" s="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7" customFormat="1" ht="15" customHeight="1">
      <c r="A86" s="38"/>
      <c r="B86" s="12"/>
      <c r="C86" s="13"/>
      <c r="D86" s="8"/>
      <c r="E86" s="12"/>
      <c r="F86" s="3"/>
      <c r="G86" s="5"/>
      <c r="H86" s="5"/>
      <c r="I86" s="5"/>
      <c r="J86" s="1"/>
      <c r="K86" s="1"/>
      <c r="L86" s="2"/>
      <c r="M86" s="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s="7" customFormat="1" ht="15" customHeight="1">
      <c r="A87" s="38"/>
      <c r="B87" s="12"/>
      <c r="C87" s="13"/>
      <c r="D87" s="8"/>
      <c r="E87" s="12"/>
      <c r="F87" s="3"/>
      <c r="G87" s="5"/>
      <c r="H87" s="5"/>
      <c r="I87" s="5"/>
      <c r="J87" s="1"/>
      <c r="K87" s="1"/>
      <c r="L87" s="2"/>
      <c r="M87" s="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7" customFormat="1" ht="15" customHeight="1">
      <c r="A88" s="38"/>
      <c r="B88" s="12"/>
      <c r="C88" s="13"/>
      <c r="D88" s="8"/>
      <c r="E88" s="12"/>
      <c r="F88" s="3"/>
      <c r="G88" s="5"/>
      <c r="H88" s="5"/>
      <c r="I88" s="5"/>
      <c r="J88" s="1"/>
      <c r="K88" s="1"/>
      <c r="L88" s="2"/>
      <c r="M88" s="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7" customFormat="1" ht="15" customHeight="1">
      <c r="A89" s="37"/>
      <c r="B89" s="12"/>
      <c r="C89" s="13"/>
      <c r="D89" s="8"/>
      <c r="E89" s="12"/>
      <c r="F89" s="3"/>
      <c r="G89" s="5"/>
      <c r="H89" s="5"/>
      <c r="I89" s="5"/>
      <c r="J89" s="1"/>
      <c r="K89" s="1"/>
      <c r="L89" s="2"/>
      <c r="M89" s="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7" customFormat="1" ht="15" customHeight="1">
      <c r="A90" s="37"/>
      <c r="B90" s="12"/>
      <c r="C90" s="13"/>
      <c r="D90" s="8"/>
      <c r="E90" s="12"/>
      <c r="F90" s="3"/>
      <c r="G90" s="5"/>
      <c r="H90" s="5"/>
      <c r="I90" s="5"/>
      <c r="J90" s="1"/>
      <c r="K90" s="1"/>
      <c r="L90" s="2"/>
      <c r="M90" s="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7" customFormat="1" ht="15" customHeight="1">
      <c r="A91" s="37"/>
      <c r="B91" s="12"/>
      <c r="C91" s="13"/>
      <c r="D91" s="8"/>
      <c r="E91" s="12"/>
      <c r="F91" s="3"/>
      <c r="G91" s="5"/>
      <c r="H91" s="5"/>
      <c r="I91" s="5"/>
      <c r="J91" s="1"/>
      <c r="K91" s="1"/>
      <c r="L91" s="2"/>
      <c r="M91" s="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s="7" customFormat="1" ht="15" customHeight="1">
      <c r="A92" s="37"/>
      <c r="B92" s="12"/>
      <c r="C92" s="13"/>
      <c r="D92" s="8"/>
      <c r="E92" s="12"/>
      <c r="F92" s="3"/>
      <c r="G92" s="5"/>
      <c r="H92" s="5"/>
      <c r="I92" s="5"/>
      <c r="J92" s="1"/>
      <c r="K92" s="1"/>
      <c r="L92" s="2"/>
      <c r="M92" s="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s="7" customFormat="1" ht="15" customHeight="1">
      <c r="A93" s="37"/>
      <c r="B93" s="12"/>
      <c r="C93" s="13"/>
      <c r="D93" s="8"/>
      <c r="E93" s="12"/>
      <c r="F93" s="3"/>
      <c r="G93" s="5"/>
      <c r="H93" s="5"/>
      <c r="I93" s="5"/>
      <c r="J93" s="1"/>
      <c r="K93" s="1"/>
      <c r="L93" s="2"/>
      <c r="M93" s="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s="7" customFormat="1" ht="15" customHeight="1">
      <c r="A94" s="37"/>
      <c r="B94" s="12"/>
      <c r="C94" s="13"/>
      <c r="D94" s="8"/>
      <c r="E94" s="12"/>
      <c r="F94" s="3"/>
      <c r="G94" s="5"/>
      <c r="H94" s="5"/>
      <c r="I94" s="5"/>
      <c r="J94" s="1"/>
      <c r="K94" s="1"/>
      <c r="L94" s="2"/>
      <c r="M94" s="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s="7" customFormat="1" ht="15" customHeight="1">
      <c r="A95" s="37"/>
      <c r="B95" s="12"/>
      <c r="C95" s="13"/>
      <c r="D95" s="8"/>
      <c r="E95" s="12"/>
      <c r="F95" s="3"/>
      <c r="G95" s="5"/>
      <c r="H95" s="5"/>
      <c r="I95" s="5"/>
      <c r="J95" s="1"/>
      <c r="K95" s="1"/>
      <c r="L95" s="2"/>
      <c r="M95" s="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s="7" customFormat="1" ht="15" customHeight="1">
      <c r="A96" s="37"/>
      <c r="B96" s="12"/>
      <c r="C96" s="13"/>
      <c r="D96" s="8"/>
      <c r="E96" s="12"/>
      <c r="F96" s="3"/>
      <c r="G96" s="5"/>
      <c r="H96" s="5"/>
      <c r="I96" s="5"/>
      <c r="J96" s="1"/>
      <c r="K96" s="1"/>
      <c r="L96" s="2"/>
      <c r="M96" s="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s="7" customFormat="1" ht="15" customHeight="1">
      <c r="A97" s="37"/>
      <c r="B97" s="12"/>
      <c r="C97" s="13"/>
      <c r="D97" s="8"/>
      <c r="E97" s="12"/>
      <c r="F97" s="3"/>
      <c r="G97" s="5"/>
      <c r="H97" s="5"/>
      <c r="I97" s="5"/>
      <c r="J97" s="1"/>
      <c r="K97" s="1"/>
      <c r="L97" s="2"/>
      <c r="M97" s="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s="7" customFormat="1" ht="15" customHeight="1">
      <c r="A98" s="37"/>
      <c r="B98" s="12"/>
      <c r="C98" s="13"/>
      <c r="D98" s="8"/>
      <c r="E98" s="12"/>
      <c r="F98" s="3"/>
      <c r="G98" s="5"/>
      <c r="H98" s="5"/>
      <c r="I98" s="5"/>
      <c r="J98" s="1"/>
      <c r="K98" s="1"/>
      <c r="L98" s="2"/>
      <c r="M98" s="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s="7" customFormat="1" ht="15" customHeight="1">
      <c r="A99" s="37"/>
      <c r="B99" s="12"/>
      <c r="C99" s="13"/>
      <c r="D99" s="8"/>
      <c r="E99" s="12"/>
      <c r="F99" s="3"/>
      <c r="G99" s="5"/>
      <c r="H99" s="5"/>
      <c r="I99" s="5"/>
      <c r="J99" s="1"/>
      <c r="K99" s="1"/>
      <c r="L99" s="2"/>
      <c r="M99" s="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s="7" customFormat="1" ht="15" customHeight="1">
      <c r="A100" s="37"/>
      <c r="B100" s="12"/>
      <c r="C100" s="13"/>
      <c r="D100" s="8"/>
      <c r="E100" s="12"/>
      <c r="F100" s="3"/>
      <c r="G100" s="5"/>
      <c r="H100" s="5"/>
      <c r="I100" s="5"/>
      <c r="J100" s="1"/>
      <c r="K100" s="1"/>
      <c r="L100" s="2"/>
      <c r="M100" s="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s="7" customFormat="1" ht="15" customHeight="1">
      <c r="A101" s="37"/>
      <c r="B101" s="12"/>
      <c r="C101" s="13"/>
      <c r="D101" s="8"/>
      <c r="E101" s="12"/>
      <c r="F101" s="3"/>
      <c r="G101" s="5"/>
      <c r="H101" s="5"/>
      <c r="I101" s="5"/>
      <c r="J101" s="1"/>
      <c r="K101" s="1"/>
      <c r="L101" s="2"/>
      <c r="M101" s="2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7" customFormat="1" ht="15" customHeight="1">
      <c r="A102" s="37"/>
      <c r="B102" s="12"/>
      <c r="C102" s="13"/>
      <c r="D102" s="8"/>
      <c r="E102" s="12"/>
      <c r="F102" s="3"/>
      <c r="G102" s="5"/>
      <c r="H102" s="5"/>
      <c r="I102" s="5"/>
      <c r="J102" s="1"/>
      <c r="K102" s="1"/>
      <c r="L102" s="2"/>
      <c r="M102" s="2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s="7" customFormat="1" ht="15" customHeight="1">
      <c r="A103" s="37"/>
      <c r="B103" s="12"/>
      <c r="C103" s="13"/>
      <c r="D103" s="8"/>
      <c r="E103" s="12"/>
      <c r="F103" s="3"/>
      <c r="G103" s="5"/>
      <c r="H103" s="5"/>
      <c r="I103" s="5"/>
      <c r="J103" s="1"/>
      <c r="K103" s="1"/>
      <c r="L103" s="2"/>
      <c r="M103" s="2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s="7" customFormat="1" ht="15" customHeight="1">
      <c r="A104" s="37"/>
      <c r="B104" s="12"/>
      <c r="C104" s="13"/>
      <c r="D104" s="8"/>
      <c r="E104" s="12"/>
      <c r="F104" s="3"/>
      <c r="G104" s="5"/>
      <c r="H104" s="5"/>
      <c r="I104" s="5"/>
      <c r="J104" s="1"/>
      <c r="K104" s="1"/>
      <c r="L104" s="2"/>
      <c r="M104" s="2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s="7" customFormat="1" ht="15" customHeight="1">
      <c r="A105" s="37"/>
      <c r="B105" s="12"/>
      <c r="C105" s="13"/>
      <c r="D105" s="8"/>
      <c r="E105" s="12"/>
      <c r="F105" s="3"/>
      <c r="G105" s="5"/>
      <c r="H105" s="5"/>
      <c r="I105" s="5"/>
      <c r="J105" s="1"/>
      <c r="K105" s="1"/>
      <c r="L105" s="2"/>
      <c r="M105" s="2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7" customFormat="1" ht="15" customHeight="1">
      <c r="A106" s="37"/>
      <c r="B106" s="12"/>
      <c r="C106" s="13"/>
      <c r="D106" s="8"/>
      <c r="E106" s="12"/>
      <c r="F106" s="3"/>
      <c r="G106" s="5"/>
      <c r="H106" s="5"/>
      <c r="I106" s="5"/>
      <c r="J106" s="1"/>
      <c r="K106" s="1"/>
      <c r="L106" s="2"/>
      <c r="M106" s="2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7" customFormat="1" ht="15" customHeight="1">
      <c r="A107" s="37"/>
      <c r="B107" s="12"/>
      <c r="C107" s="13"/>
      <c r="D107" s="8"/>
      <c r="E107" s="12"/>
      <c r="F107" s="3"/>
      <c r="G107" s="5"/>
      <c r="H107" s="5"/>
      <c r="I107" s="5"/>
      <c r="J107" s="1"/>
      <c r="K107" s="1"/>
      <c r="L107" s="2"/>
      <c r="M107" s="2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7" customFormat="1" ht="15" customHeight="1">
      <c r="A108" s="37"/>
      <c r="B108" s="12"/>
      <c r="C108" s="13"/>
      <c r="D108" s="8"/>
      <c r="E108" s="12"/>
      <c r="F108" s="3"/>
      <c r="G108" s="5"/>
      <c r="H108" s="5"/>
      <c r="I108" s="5"/>
      <c r="J108" s="1"/>
      <c r="K108" s="1"/>
      <c r="L108" s="2"/>
      <c r="M108" s="2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7" customFormat="1" ht="15" customHeight="1">
      <c r="A109" s="37"/>
      <c r="B109" s="12"/>
      <c r="C109" s="13"/>
      <c r="D109" s="8"/>
      <c r="E109" s="12"/>
      <c r="F109" s="3"/>
      <c r="G109" s="5"/>
      <c r="H109" s="5"/>
      <c r="I109" s="5"/>
      <c r="J109" s="1"/>
      <c r="K109" s="1"/>
      <c r="L109" s="2"/>
      <c r="M109" s="2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7" customFormat="1" ht="15" customHeight="1">
      <c r="A110" s="37"/>
      <c r="B110" s="12"/>
      <c r="C110" s="13"/>
      <c r="D110" s="8"/>
      <c r="E110" s="12"/>
      <c r="F110" s="3"/>
      <c r="G110" s="5"/>
      <c r="H110" s="5"/>
      <c r="I110" s="5"/>
      <c r="J110" s="1"/>
      <c r="K110" s="1"/>
      <c r="L110" s="2"/>
      <c r="M110" s="2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7" customFormat="1" ht="15" customHeight="1">
      <c r="A111" s="37"/>
      <c r="B111" s="12"/>
      <c r="C111" s="13"/>
      <c r="D111" s="8"/>
      <c r="E111" s="12"/>
      <c r="F111" s="3"/>
      <c r="G111" s="5"/>
      <c r="H111" s="5"/>
      <c r="I111" s="5"/>
      <c r="J111" s="1"/>
      <c r="K111" s="1"/>
      <c r="L111" s="2"/>
      <c r="M111" s="2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7" customFormat="1" ht="15" customHeight="1">
      <c r="A112" s="37"/>
      <c r="B112" s="12"/>
      <c r="C112" s="13"/>
      <c r="D112" s="8"/>
      <c r="E112" s="12"/>
      <c r="F112" s="3"/>
      <c r="G112" s="5"/>
      <c r="H112" s="5"/>
      <c r="I112" s="5"/>
      <c r="J112" s="1"/>
      <c r="K112" s="1"/>
      <c r="L112" s="2"/>
      <c r="M112" s="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s="7" customFormat="1" ht="15" customHeight="1">
      <c r="A113" s="37"/>
      <c r="B113" s="12"/>
      <c r="C113" s="13"/>
      <c r="D113" s="8"/>
      <c r="E113" s="12"/>
      <c r="F113" s="3"/>
      <c r="G113" s="5"/>
      <c r="H113" s="5"/>
      <c r="I113" s="5"/>
      <c r="J113" s="1"/>
      <c r="K113" s="1"/>
      <c r="L113" s="2"/>
      <c r="M113" s="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s="7" customFormat="1" ht="15" customHeight="1">
      <c r="A114" s="38"/>
      <c r="B114" s="12"/>
      <c r="C114" s="13"/>
      <c r="D114" s="8"/>
      <c r="E114" s="12"/>
      <c r="F114" s="3"/>
      <c r="G114" s="5"/>
      <c r="H114" s="5"/>
      <c r="I114" s="5"/>
      <c r="J114" s="1"/>
      <c r="K114" s="1"/>
      <c r="L114" s="2"/>
      <c r="M114" s="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s="7" customFormat="1" ht="15" customHeight="1">
      <c r="A115" s="37"/>
      <c r="B115" s="12"/>
      <c r="C115" s="13"/>
      <c r="D115" s="8"/>
      <c r="E115" s="12"/>
      <c r="F115" s="3"/>
      <c r="G115" s="5"/>
      <c r="H115" s="5"/>
      <c r="I115" s="5"/>
      <c r="J115" s="1"/>
      <c r="K115" s="1"/>
      <c r="L115" s="2"/>
      <c r="M115" s="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s="7" customFormat="1" ht="15" customHeight="1">
      <c r="A116" s="37"/>
      <c r="B116" s="12"/>
      <c r="C116" s="13"/>
      <c r="D116" s="8"/>
      <c r="E116" s="12"/>
      <c r="F116" s="3"/>
      <c r="G116" s="5"/>
      <c r="H116" s="5"/>
      <c r="I116" s="5"/>
      <c r="J116" s="1"/>
      <c r="K116" s="1"/>
      <c r="L116" s="2"/>
      <c r="M116" s="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s="7" customFormat="1" ht="15" customHeight="1">
      <c r="A117" s="37"/>
      <c r="B117" s="12"/>
      <c r="C117" s="13"/>
      <c r="D117" s="8"/>
      <c r="E117" s="12"/>
      <c r="F117" s="3"/>
      <c r="G117" s="5"/>
      <c r="H117" s="5"/>
      <c r="I117" s="5"/>
      <c r="J117" s="1"/>
      <c r="K117" s="1"/>
      <c r="L117" s="2"/>
      <c r="M117" s="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s="7" customFormat="1" ht="15" customHeight="1">
      <c r="A118" s="37"/>
      <c r="B118" s="12"/>
      <c r="C118" s="13"/>
      <c r="D118" s="8"/>
      <c r="E118" s="12"/>
      <c r="F118" s="3"/>
      <c r="G118" s="5"/>
      <c r="H118" s="5"/>
      <c r="I118" s="5"/>
      <c r="J118" s="1"/>
      <c r="K118" s="1"/>
      <c r="L118" s="2"/>
      <c r="M118" s="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s="7" customFormat="1" ht="15" customHeight="1">
      <c r="A119" s="37"/>
      <c r="B119" s="12"/>
      <c r="C119" s="13"/>
      <c r="D119" s="8"/>
      <c r="E119" s="12"/>
      <c r="F119" s="3"/>
      <c r="G119" s="5"/>
      <c r="H119" s="5"/>
      <c r="I119" s="5"/>
      <c r="J119" s="1"/>
      <c r="K119" s="1"/>
      <c r="L119" s="2"/>
      <c r="M119" s="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s="7" customFormat="1" ht="15" customHeight="1">
      <c r="A120" s="37"/>
      <c r="B120" s="12"/>
      <c r="C120" s="13"/>
      <c r="D120" s="8"/>
      <c r="E120" s="12"/>
      <c r="F120" s="3"/>
      <c r="G120" s="5"/>
      <c r="H120" s="5"/>
      <c r="I120" s="5"/>
      <c r="J120" s="1"/>
      <c r="K120" s="1"/>
      <c r="L120" s="2"/>
      <c r="M120" s="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s="7" customFormat="1" ht="15" customHeight="1">
      <c r="A121" s="37"/>
      <c r="B121" s="12"/>
      <c r="C121" s="13"/>
      <c r="D121" s="8"/>
      <c r="E121" s="12"/>
      <c r="F121" s="3"/>
      <c r="G121" s="5"/>
      <c r="H121" s="5"/>
      <c r="I121" s="5"/>
      <c r="J121" s="1"/>
      <c r="K121" s="1"/>
      <c r="L121" s="2"/>
      <c r="M121" s="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s="7" customFormat="1" ht="15" customHeight="1">
      <c r="A122" s="37"/>
      <c r="B122" s="12"/>
      <c r="C122" s="13"/>
      <c r="D122" s="8"/>
      <c r="E122" s="12"/>
      <c r="F122" s="3"/>
      <c r="G122" s="5"/>
      <c r="H122" s="5"/>
      <c r="I122" s="5"/>
      <c r="J122" s="1"/>
      <c r="K122" s="1"/>
      <c r="L122" s="2"/>
      <c r="M122" s="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s="7" customFormat="1" ht="15" customHeight="1">
      <c r="A123" s="37"/>
      <c r="B123" s="12"/>
      <c r="C123" s="13"/>
      <c r="D123" s="8"/>
      <c r="E123" s="12"/>
      <c r="F123" s="3"/>
      <c r="G123" s="5"/>
      <c r="H123" s="5"/>
      <c r="I123" s="5"/>
      <c r="J123" s="1"/>
      <c r="K123" s="1"/>
      <c r="L123" s="2"/>
      <c r="M123" s="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s="7" customFormat="1" ht="15" customHeight="1">
      <c r="A124" s="9"/>
      <c r="B124" s="9"/>
      <c r="C124" s="9"/>
      <c r="D124" s="9"/>
      <c r="E124" s="11"/>
      <c r="F124" s="9"/>
      <c r="G124" s="9"/>
      <c r="H124" s="9"/>
      <c r="I124" s="9"/>
      <c r="J124" s="9"/>
      <c r="K124" s="9"/>
      <c r="L124" s="9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s="7" customFormat="1" ht="15" customHeight="1">
      <c r="A125" s="9"/>
      <c r="B125" s="9"/>
      <c r="C125" s="9"/>
      <c r="D125" s="9"/>
      <c r="E125" s="11"/>
      <c r="F125" s="9"/>
      <c r="G125" s="9"/>
      <c r="H125" s="9"/>
      <c r="I125" s="9"/>
      <c r="J125" s="9"/>
      <c r="K125" s="9"/>
      <c r="L125" s="9"/>
      <c r="M125" s="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s="7" customFormat="1" ht="15" customHeight="1">
      <c r="A126" s="9"/>
      <c r="B126" s="9"/>
      <c r="C126" s="9"/>
      <c r="D126" s="9"/>
      <c r="E126" s="11"/>
      <c r="F126" s="9"/>
      <c r="G126" s="9"/>
      <c r="H126" s="9"/>
      <c r="I126" s="9"/>
      <c r="J126" s="9"/>
      <c r="K126" s="9"/>
      <c r="L126" s="9"/>
      <c r="M126" s="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</sheetData>
  <mergeCells count="18">
    <mergeCell ref="M1:M3"/>
    <mergeCell ref="M6:M8"/>
    <mergeCell ref="F6:F8"/>
    <mergeCell ref="G6:G8"/>
    <mergeCell ref="H6:H8"/>
    <mergeCell ref="I6:I8"/>
    <mergeCell ref="J6:J8"/>
    <mergeCell ref="A1:C5"/>
    <mergeCell ref="D1:L3"/>
    <mergeCell ref="D4:L4"/>
    <mergeCell ref="D5:L5"/>
    <mergeCell ref="C6:C8"/>
    <mergeCell ref="A6:A8"/>
    <mergeCell ref="B6:B8"/>
    <mergeCell ref="D6:D8"/>
    <mergeCell ref="E6:E8"/>
    <mergeCell ref="K6:K8"/>
    <mergeCell ref="L6:L8"/>
  </mergeCells>
  <pageMargins left="0.7" right="0.7" top="0.75" bottom="0.75" header="0.3" footer="0.3"/>
  <pageSetup orientation="portrait" r:id="rId1"/>
  <ignoredErrors>
    <ignoredError sqref="E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2017-02-19T00:29:44Z</dcterms:created>
  <dcterms:modified xsi:type="dcterms:W3CDTF">2020-12-11T10:51:05Z</dcterms:modified>
</cp:coreProperties>
</file>