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BASIC OPTION" sheetId="1" r:id="rId1"/>
  </sheets>
  <calcPr calcId="124519"/>
</workbook>
</file>

<file path=xl/calcChain.xml><?xml version="1.0" encoding="utf-8"?>
<calcChain xmlns="http://schemas.openxmlformats.org/spreadsheetml/2006/main">
  <c r="K10" i="1"/>
  <c r="N10" s="1"/>
  <c r="O10" s="1"/>
  <c r="K11"/>
  <c r="N11" s="1"/>
  <c r="O11" s="1"/>
  <c r="K12"/>
  <c r="N12" s="1"/>
  <c r="O12" s="1"/>
  <c r="K13"/>
  <c r="N13" s="1"/>
  <c r="O13" s="1"/>
  <c r="K14"/>
  <c r="N14" s="1"/>
  <c r="O14" s="1"/>
  <c r="K15"/>
  <c r="N15" s="1"/>
  <c r="O15" s="1"/>
  <c r="K16"/>
  <c r="N16" s="1"/>
  <c r="O16" s="1"/>
  <c r="K17"/>
  <c r="N17" s="1"/>
  <c r="O17" s="1"/>
  <c r="K18"/>
  <c r="N18" s="1"/>
  <c r="O18" s="1"/>
  <c r="K19"/>
  <c r="N19" s="1"/>
  <c r="O19" s="1"/>
  <c r="K20"/>
  <c r="N20" s="1"/>
  <c r="O20" s="1"/>
  <c r="K21"/>
  <c r="N21" s="1"/>
  <c r="O21" s="1"/>
  <c r="K22"/>
  <c r="N22" s="1"/>
  <c r="O22" s="1"/>
  <c r="K23"/>
  <c r="N23" s="1"/>
  <c r="O23" s="1"/>
  <c r="K24"/>
  <c r="L25"/>
  <c r="K25"/>
  <c r="K26"/>
  <c r="N26" s="1"/>
  <c r="O26" s="1"/>
  <c r="K27"/>
  <c r="N27" s="1"/>
  <c r="O27" s="1"/>
  <c r="L28"/>
  <c r="K28"/>
  <c r="K29"/>
  <c r="N29" s="1"/>
  <c r="O29" s="1"/>
  <c r="L31"/>
  <c r="K31"/>
  <c r="N31" s="1"/>
  <c r="O31" s="1"/>
  <c r="K30"/>
  <c r="N30" s="1"/>
  <c r="O30" s="1"/>
  <c r="N33"/>
  <c r="O33" s="1"/>
  <c r="K33"/>
  <c r="N32"/>
  <c r="O32" s="1"/>
  <c r="K32"/>
  <c r="N34"/>
  <c r="O34" s="1"/>
  <c r="K34"/>
  <c r="K36"/>
  <c r="N36" s="1"/>
  <c r="O36" s="1"/>
  <c r="K35"/>
  <c r="N35" s="1"/>
  <c r="O35" s="1"/>
  <c r="K37"/>
  <c r="N37" s="1"/>
  <c r="O37" s="1"/>
  <c r="K38"/>
  <c r="N38" s="1"/>
  <c r="O38" s="1"/>
  <c r="K39"/>
  <c r="N39" s="1"/>
  <c r="O39" s="1"/>
  <c r="L41"/>
  <c r="N42"/>
  <c r="O42" s="1"/>
  <c r="K42"/>
  <c r="K41"/>
  <c r="N41" s="1"/>
  <c r="O41" s="1"/>
  <c r="K40"/>
  <c r="N40" s="1"/>
  <c r="O40" s="1"/>
  <c r="L44"/>
  <c r="N43"/>
  <c r="O43" s="1"/>
  <c r="K43"/>
  <c r="K44"/>
  <c r="L46"/>
  <c r="K46"/>
  <c r="K45"/>
  <c r="N45" s="1"/>
  <c r="O45" s="1"/>
  <c r="K47"/>
  <c r="N47" s="1"/>
  <c r="O47" s="1"/>
  <c r="K48"/>
  <c r="N48" s="1"/>
  <c r="O48" s="1"/>
  <c r="L49"/>
  <c r="L50"/>
  <c r="M91"/>
  <c r="M106"/>
  <c r="M109"/>
  <c r="M119"/>
  <c r="M135"/>
  <c r="M136"/>
  <c r="M141"/>
  <c r="M149"/>
  <c r="M154"/>
  <c r="M165"/>
  <c r="M245"/>
  <c r="M268"/>
  <c r="M274"/>
  <c r="M279"/>
  <c r="M309"/>
  <c r="M319"/>
  <c r="M342"/>
  <c r="M343"/>
  <c r="M345"/>
  <c r="M346"/>
  <c r="M355"/>
  <c r="M359"/>
  <c r="M362"/>
  <c r="M363"/>
  <c r="M366"/>
  <c r="M389"/>
  <c r="M395"/>
  <c r="M398"/>
  <c r="M407"/>
  <c r="M416"/>
  <c r="M444"/>
  <c r="M459"/>
  <c r="M489"/>
  <c r="M491"/>
  <c r="M508"/>
  <c r="M509"/>
  <c r="M518"/>
  <c r="M520"/>
  <c r="M524"/>
  <c r="M539"/>
  <c r="M540"/>
  <c r="M548"/>
  <c r="M552"/>
  <c r="M556"/>
  <c r="M559"/>
  <c r="M569"/>
  <c r="M576"/>
  <c r="M578"/>
  <c r="M626"/>
  <c r="M632"/>
  <c r="M650"/>
  <c r="M651"/>
  <c r="M657"/>
  <c r="M661"/>
  <c r="M662"/>
  <c r="M667"/>
  <c r="M668"/>
  <c r="M672"/>
  <c r="M678"/>
  <c r="M695"/>
  <c r="M703"/>
  <c r="M706"/>
  <c r="M711"/>
  <c r="M713"/>
  <c r="M725"/>
  <c r="M733"/>
  <c r="M758"/>
  <c r="M783"/>
  <c r="M787"/>
  <c r="M792"/>
  <c r="M813"/>
  <c r="M831"/>
  <c r="M851"/>
  <c r="M903"/>
  <c r="M932"/>
  <c r="M933"/>
  <c r="M950"/>
  <c r="M1002"/>
  <c r="M1011"/>
  <c r="M1014"/>
  <c r="M1021"/>
  <c r="M1024"/>
  <c r="M1042"/>
  <c r="M1047"/>
  <c r="M1084"/>
  <c r="M1091"/>
  <c r="M1461"/>
  <c r="M1462"/>
  <c r="M1463"/>
  <c r="M1464"/>
  <c r="M1465"/>
  <c r="M1466"/>
  <c r="M1467"/>
  <c r="M1468"/>
  <c r="M1469"/>
  <c r="M1470"/>
  <c r="M1472"/>
  <c r="M1473"/>
  <c r="M1474"/>
  <c r="M1475"/>
  <c r="M1476"/>
  <c r="M1477"/>
  <c r="M1478"/>
  <c r="M1482"/>
  <c r="M1483"/>
  <c r="M1485"/>
  <c r="M1486"/>
  <c r="M1488"/>
  <c r="M1490"/>
  <c r="M1493"/>
  <c r="M1494"/>
  <c r="M1495"/>
  <c r="M1496"/>
  <c r="M1499"/>
  <c r="M1500"/>
  <c r="M1503"/>
  <c r="M1504"/>
  <c r="M1505"/>
  <c r="M1506"/>
  <c r="M1507"/>
  <c r="M1509"/>
  <c r="M1513"/>
  <c r="M1515"/>
  <c r="M1516"/>
  <c r="M1517"/>
  <c r="M1518"/>
  <c r="M1519"/>
  <c r="M1520"/>
  <c r="M1521"/>
  <c r="M1536"/>
  <c r="M1600"/>
  <c r="M1610"/>
  <c r="M1623"/>
  <c r="M1624"/>
  <c r="M1625"/>
  <c r="M1627"/>
  <c r="M1633"/>
  <c r="M1634"/>
  <c r="M1649"/>
  <c r="M1659"/>
  <c r="M1660"/>
  <c r="M1661"/>
  <c r="M1662"/>
  <c r="M1663"/>
  <c r="M1664"/>
  <c r="M1668"/>
  <c r="M1678"/>
  <c r="M1684"/>
  <c r="M1690"/>
  <c r="M1691"/>
  <c r="M1692"/>
  <c r="M1698"/>
  <c r="M1699"/>
  <c r="M1710"/>
  <c r="M1714"/>
  <c r="M1719"/>
  <c r="M1728"/>
  <c r="M1749"/>
  <c r="M1751"/>
  <c r="M1752"/>
  <c r="M1753"/>
  <c r="M1754"/>
  <c r="M1755"/>
  <c r="M1756"/>
  <c r="M1758"/>
  <c r="M1759"/>
  <c r="M1760"/>
  <c r="M1765"/>
  <c r="M1766"/>
  <c r="M1767"/>
  <c r="M1768"/>
  <c r="M1772"/>
  <c r="M1775"/>
  <c r="M1776"/>
  <c r="M1777"/>
  <c r="M1778"/>
  <c r="M1788"/>
  <c r="M1790"/>
  <c r="M1791"/>
  <c r="M1792"/>
  <c r="M1794"/>
  <c r="M1795"/>
  <c r="M1796"/>
  <c r="M1797"/>
  <c r="M1798"/>
  <c r="M1799"/>
  <c r="M1800"/>
  <c r="M1804"/>
  <c r="M1805"/>
  <c r="M1806"/>
  <c r="M1807"/>
  <c r="M1812"/>
  <c r="M1813"/>
  <c r="M1815"/>
  <c r="M1816"/>
  <c r="M1817"/>
  <c r="M1821"/>
  <c r="M1822"/>
  <c r="M1829"/>
  <c r="M1830"/>
  <c r="M1853"/>
  <c r="M1855"/>
  <c r="M1856"/>
  <c r="M1857"/>
  <c r="M1859"/>
  <c r="M1860"/>
  <c r="M1861"/>
  <c r="M1863"/>
  <c r="M1864"/>
  <c r="M1865"/>
  <c r="M1866"/>
  <c r="M1868"/>
  <c r="M1869"/>
  <c r="M1870"/>
  <c r="M1871"/>
  <c r="M1872"/>
  <c r="M1873"/>
  <c r="M1874"/>
  <c r="M1876"/>
  <c r="M1877"/>
  <c r="M1878"/>
  <c r="M1883"/>
  <c r="M1894"/>
  <c r="M1895"/>
  <c r="M1896"/>
  <c r="M1897"/>
  <c r="M1899"/>
  <c r="M1900"/>
  <c r="M1901"/>
  <c r="M1902"/>
  <c r="M1903"/>
  <c r="M1911"/>
  <c r="M1915"/>
  <c r="M1917"/>
  <c r="M1919"/>
  <c r="M1920"/>
  <c r="M1921"/>
  <c r="M1922"/>
  <c r="M1925"/>
  <c r="M1926"/>
  <c r="M1927"/>
  <c r="M1928"/>
  <c r="M1929"/>
  <c r="M1930"/>
  <c r="M1933"/>
  <c r="M1937"/>
  <c r="M1952"/>
  <c r="M1957"/>
  <c r="M1958"/>
  <c r="M1959"/>
  <c r="M1965"/>
  <c r="M1972"/>
  <c r="M1985"/>
  <c r="M1986"/>
  <c r="M1987"/>
  <c r="M1994"/>
  <c r="M1995"/>
  <c r="M1996"/>
  <c r="M1997"/>
  <c r="M1998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5"/>
  <c r="M2056"/>
  <c r="M2057"/>
  <c r="M2058"/>
  <c r="M2059"/>
  <c r="M2060"/>
  <c r="M2067"/>
  <c r="M2068"/>
  <c r="M2069"/>
  <c r="M2074"/>
  <c r="M2075"/>
  <c r="M2076"/>
  <c r="M2077"/>
  <c r="M2078"/>
  <c r="M2079"/>
  <c r="M2080"/>
  <c r="M2081"/>
  <c r="M2082"/>
  <c r="M2083"/>
  <c r="M2093"/>
  <c r="M2095"/>
  <c r="M2096"/>
  <c r="M2097"/>
  <c r="M2098"/>
  <c r="M2099"/>
  <c r="M2100"/>
  <c r="M2101"/>
  <c r="M2102"/>
  <c r="M2103"/>
  <c r="M2104"/>
  <c r="M2110"/>
  <c r="M2126"/>
  <c r="M2127"/>
  <c r="M2128"/>
  <c r="M2130"/>
  <c r="M2131"/>
  <c r="M2133"/>
  <c r="M2134"/>
  <c r="M2147"/>
  <c r="M2156"/>
  <c r="M2158"/>
  <c r="M2170"/>
  <c r="M2173"/>
  <c r="M2174"/>
  <c r="M2175"/>
  <c r="M2176"/>
  <c r="M2178"/>
  <c r="M2180"/>
  <c r="M2181"/>
  <c r="M2182"/>
  <c r="M2183"/>
  <c r="M2184"/>
  <c r="M2185"/>
  <c r="M2186"/>
  <c r="M2187"/>
  <c r="M2188"/>
  <c r="M2189"/>
  <c r="M2191"/>
  <c r="M2192"/>
  <c r="M2194"/>
  <c r="M2196"/>
  <c r="M2197"/>
  <c r="M2198"/>
  <c r="M2199"/>
  <c r="M2200"/>
  <c r="M2201"/>
  <c r="M2203"/>
  <c r="M2204"/>
  <c r="M2205"/>
  <c r="M2206"/>
  <c r="M2207"/>
  <c r="M2209"/>
  <c r="M2211"/>
  <c r="M2212"/>
  <c r="M2214"/>
  <c r="M2216"/>
  <c r="M2217"/>
  <c r="M2221"/>
  <c r="M2222"/>
  <c r="M2223"/>
  <c r="M2224"/>
  <c r="M2225"/>
  <c r="M2226"/>
  <c r="M2228"/>
  <c r="M2229"/>
  <c r="M2230"/>
  <c r="M2231"/>
  <c r="M2232"/>
  <c r="M2233"/>
  <c r="M2234"/>
  <c r="M2236"/>
  <c r="M2237"/>
  <c r="M2238"/>
  <c r="M2239"/>
  <c r="M2240"/>
  <c r="M2241"/>
  <c r="M2242"/>
  <c r="M2245"/>
  <c r="M2246"/>
  <c r="M2247"/>
  <c r="M2248"/>
  <c r="M2249"/>
  <c r="M2250"/>
  <c r="M2251"/>
  <c r="M2252"/>
  <c r="M2253"/>
  <c r="M2254"/>
  <c r="M2255"/>
  <c r="M2256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5"/>
  <c r="M2287"/>
  <c r="M2294"/>
  <c r="M2296"/>
  <c r="M2301"/>
  <c r="M2304"/>
  <c r="M2308"/>
  <c r="M2311"/>
  <c r="M2313"/>
  <c r="M2314"/>
  <c r="M2317"/>
  <c r="M2324"/>
  <c r="M2330"/>
  <c r="M2335"/>
  <c r="M2342"/>
  <c r="M2344"/>
  <c r="M2345"/>
  <c r="M2346"/>
  <c r="M2348"/>
  <c r="M2380"/>
  <c r="M2381"/>
  <c r="M2384"/>
  <c r="M2385"/>
  <c r="M2390"/>
  <c r="M2393"/>
  <c r="M2399"/>
  <c r="M2400"/>
  <c r="M2403"/>
  <c r="M2405"/>
  <c r="M2407"/>
  <c r="M2410"/>
  <c r="M2414"/>
  <c r="M2417"/>
  <c r="M2418"/>
  <c r="M2419"/>
  <c r="M2420"/>
  <c r="M2422"/>
  <c r="M2424"/>
  <c r="M2425"/>
  <c r="M2426"/>
  <c r="L51"/>
  <c r="K51"/>
  <c r="K50"/>
  <c r="N50" s="1"/>
  <c r="O50" s="1"/>
  <c r="K49"/>
  <c r="L52"/>
  <c r="N52" s="1"/>
  <c r="O52" s="1"/>
  <c r="K52"/>
  <c r="L53"/>
  <c r="K54"/>
  <c r="N54" s="1"/>
  <c r="O54" s="1"/>
  <c r="K53"/>
  <c r="K56"/>
  <c r="N56" s="1"/>
  <c r="O56" s="1"/>
  <c r="K55"/>
  <c r="N55" s="1"/>
  <c r="O55" s="1"/>
  <c r="K57"/>
  <c r="N57" s="1"/>
  <c r="O57" s="1"/>
  <c r="K58"/>
  <c r="N58" s="1"/>
  <c r="O58" s="1"/>
  <c r="L59"/>
  <c r="K60"/>
  <c r="N60" s="1"/>
  <c r="O60" s="1"/>
  <c r="L61"/>
  <c r="K59"/>
  <c r="K61"/>
  <c r="K63"/>
  <c r="N63" s="1"/>
  <c r="O63" s="1"/>
  <c r="K62"/>
  <c r="N62" s="1"/>
  <c r="O62" s="1"/>
  <c r="K64"/>
  <c r="N64" s="1"/>
  <c r="O64" s="1"/>
  <c r="L66"/>
  <c r="K66"/>
  <c r="K65"/>
  <c r="N65" s="1"/>
  <c r="O65" s="1"/>
  <c r="K67"/>
  <c r="N67" s="1"/>
  <c r="O67" s="1"/>
  <c r="K69"/>
  <c r="K70"/>
  <c r="K68"/>
  <c r="N68" s="1"/>
  <c r="O68" s="1"/>
  <c r="K72"/>
  <c r="N72" s="1"/>
  <c r="O72" s="1"/>
  <c r="K71"/>
  <c r="N71" s="1"/>
  <c r="O71" s="1"/>
  <c r="L73"/>
  <c r="K73"/>
  <c r="K74"/>
  <c r="N74" s="1"/>
  <c r="O74" s="1"/>
  <c r="K75"/>
  <c r="N75" s="1"/>
  <c r="O75" s="1"/>
  <c r="K77"/>
  <c r="N77" s="1"/>
  <c r="O77" s="1"/>
  <c r="K76"/>
  <c r="N76" s="1"/>
  <c r="O76" s="1"/>
  <c r="L78"/>
  <c r="K78"/>
  <c r="K79"/>
  <c r="N79" s="1"/>
  <c r="O79" s="1"/>
  <c r="L80"/>
  <c r="K80"/>
  <c r="K81"/>
  <c r="N81" s="1"/>
  <c r="O81" s="1"/>
  <c r="L82"/>
  <c r="K82"/>
  <c r="K83"/>
  <c r="N83" s="1"/>
  <c r="O83" s="1"/>
  <c r="K84"/>
  <c r="N84" s="1"/>
  <c r="O84" s="1"/>
  <c r="K85"/>
  <c r="N85" s="1"/>
  <c r="O85" s="1"/>
  <c r="K86"/>
  <c r="N86" s="1"/>
  <c r="O86" s="1"/>
  <c r="K87"/>
  <c r="N87" s="1"/>
  <c r="O87" s="1"/>
  <c r="K88"/>
  <c r="N88" s="1"/>
  <c r="O88" s="1"/>
  <c r="K89"/>
  <c r="N89" s="1"/>
  <c r="O89" s="1"/>
  <c r="K90"/>
  <c r="N90" s="1"/>
  <c r="O90" s="1"/>
  <c r="L92"/>
  <c r="K91"/>
  <c r="K92"/>
  <c r="K93"/>
  <c r="N93" s="1"/>
  <c r="O93" s="1"/>
  <c r="K94"/>
  <c r="N94" s="1"/>
  <c r="O94" s="1"/>
  <c r="K95"/>
  <c r="N95" s="1"/>
  <c r="O95" s="1"/>
  <c r="K96"/>
  <c r="N96" s="1"/>
  <c r="O96" s="1"/>
  <c r="K97"/>
  <c r="N97" s="1"/>
  <c r="O97" s="1"/>
  <c r="K98"/>
  <c r="N98" s="1"/>
  <c r="O98" s="1"/>
  <c r="K99"/>
  <c r="N99" s="1"/>
  <c r="O99" s="1"/>
  <c r="K100"/>
  <c r="N100" s="1"/>
  <c r="O100" s="1"/>
  <c r="K101"/>
  <c r="N101" s="1"/>
  <c r="O101" s="1"/>
  <c r="K102"/>
  <c r="N102" s="1"/>
  <c r="O102" s="1"/>
  <c r="K103"/>
  <c r="N103" s="1"/>
  <c r="O103" s="1"/>
  <c r="L106"/>
  <c r="K104"/>
  <c r="N104" s="1"/>
  <c r="O104" s="1"/>
  <c r="K105"/>
  <c r="N105" s="1"/>
  <c r="O105" s="1"/>
  <c r="K106"/>
  <c r="L109"/>
  <c r="K107"/>
  <c r="N107" s="1"/>
  <c r="O107" s="1"/>
  <c r="K108"/>
  <c r="N108" s="1"/>
  <c r="O108" s="1"/>
  <c r="K109"/>
  <c r="K110"/>
  <c r="N110" s="1"/>
  <c r="O110" s="1"/>
  <c r="K111"/>
  <c r="N111" s="1"/>
  <c r="O111" s="1"/>
  <c r="K112"/>
  <c r="N112" s="1"/>
  <c r="O112" s="1"/>
  <c r="K113"/>
  <c r="N113" s="1"/>
  <c r="O113" s="1"/>
  <c r="K114"/>
  <c r="N114" s="1"/>
  <c r="O114" s="1"/>
  <c r="K124"/>
  <c r="N124" s="1"/>
  <c r="O124" s="1"/>
  <c r="K115"/>
  <c r="N115" s="1"/>
  <c r="O115" s="1"/>
  <c r="K116"/>
  <c r="N116" s="1"/>
  <c r="O116" s="1"/>
  <c r="K117"/>
  <c r="N117" s="1"/>
  <c r="O117" s="1"/>
  <c r="L119"/>
  <c r="K118"/>
  <c r="N118" s="1"/>
  <c r="O118" s="1"/>
  <c r="K119"/>
  <c r="K120"/>
  <c r="K121"/>
  <c r="N121" s="1"/>
  <c r="O121" s="1"/>
  <c r="K122"/>
  <c r="L123"/>
  <c r="K123"/>
  <c r="K125"/>
  <c r="N125" s="1"/>
  <c r="O125" s="1"/>
  <c r="K126"/>
  <c r="L127"/>
  <c r="K128"/>
  <c r="N128" s="1"/>
  <c r="O128" s="1"/>
  <c r="K127"/>
  <c r="K129"/>
  <c r="N129" s="1"/>
  <c r="O129" s="1"/>
  <c r="K133"/>
  <c r="N133" s="1"/>
  <c r="O133" s="1"/>
  <c r="K130"/>
  <c r="N130" s="1"/>
  <c r="O130" s="1"/>
  <c r="K131"/>
  <c r="N131" s="1"/>
  <c r="O131" s="1"/>
  <c r="K132"/>
  <c r="N132" s="1"/>
  <c r="O132" s="1"/>
  <c r="L135"/>
  <c r="K134"/>
  <c r="K135"/>
  <c r="L136"/>
  <c r="K136"/>
  <c r="K137"/>
  <c r="N137" s="1"/>
  <c r="O137" s="1"/>
  <c r="K138"/>
  <c r="N138" s="1"/>
  <c r="O138" s="1"/>
  <c r="K139"/>
  <c r="N139" s="1"/>
  <c r="O139" s="1"/>
  <c r="K140"/>
  <c r="N140" s="1"/>
  <c r="O140" s="1"/>
  <c r="K141"/>
  <c r="N141" s="1"/>
  <c r="O141" s="1"/>
  <c r="K142"/>
  <c r="N142" s="1"/>
  <c r="O142" s="1"/>
  <c r="K143"/>
  <c r="N143" s="1"/>
  <c r="O143" s="1"/>
  <c r="K292"/>
  <c r="N292" s="1"/>
  <c r="O292" s="1"/>
  <c r="K144"/>
  <c r="N144" s="1"/>
  <c r="O144" s="1"/>
  <c r="K145"/>
  <c r="N145" s="1"/>
  <c r="O145" s="1"/>
  <c r="K146"/>
  <c r="N146" s="1"/>
  <c r="O146" s="1"/>
  <c r="K147"/>
  <c r="N147" s="1"/>
  <c r="O147" s="1"/>
  <c r="K148"/>
  <c r="N148" s="1"/>
  <c r="O148" s="1"/>
  <c r="K149"/>
  <c r="N149" s="1"/>
  <c r="O149" s="1"/>
  <c r="K150"/>
  <c r="N150" s="1"/>
  <c r="O150" s="1"/>
  <c r="K151"/>
  <c r="N151" s="1"/>
  <c r="O151" s="1"/>
  <c r="K152"/>
  <c r="N152" s="1"/>
  <c r="O152" s="1"/>
  <c r="L154"/>
  <c r="K153"/>
  <c r="N153" s="1"/>
  <c r="O153" s="1"/>
  <c r="K154"/>
  <c r="L157"/>
  <c r="K156"/>
  <c r="N156" s="1"/>
  <c r="O156" s="1"/>
  <c r="K155"/>
  <c r="N155" s="1"/>
  <c r="O155" s="1"/>
  <c r="K157"/>
  <c r="K158"/>
  <c r="N158" s="1"/>
  <c r="O158" s="1"/>
  <c r="K159"/>
  <c r="N159" s="1"/>
  <c r="O159" s="1"/>
  <c r="K160"/>
  <c r="N160" s="1"/>
  <c r="O160" s="1"/>
  <c r="K161"/>
  <c r="K162"/>
  <c r="K163"/>
  <c r="L164"/>
  <c r="K164"/>
  <c r="K165"/>
  <c r="L166"/>
  <c r="K166"/>
  <c r="K167"/>
  <c r="N167" s="1"/>
  <c r="O167" s="1"/>
  <c r="K168"/>
  <c r="L169"/>
  <c r="L171"/>
  <c r="K169"/>
  <c r="K170"/>
  <c r="N170" s="1"/>
  <c r="O170" s="1"/>
  <c r="K171"/>
  <c r="K172"/>
  <c r="N172" s="1"/>
  <c r="O172" s="1"/>
  <c r="K173"/>
  <c r="N173" s="1"/>
  <c r="O173" s="1"/>
  <c r="K174"/>
  <c r="N174" s="1"/>
  <c r="O174" s="1"/>
  <c r="K175"/>
  <c r="N175" s="1"/>
  <c r="O175" s="1"/>
  <c r="L180"/>
  <c r="K176"/>
  <c r="N176" s="1"/>
  <c r="O176" s="1"/>
  <c r="K177"/>
  <c r="N177" s="1"/>
  <c r="O177" s="1"/>
  <c r="K178"/>
  <c r="N178" s="1"/>
  <c r="O178" s="1"/>
  <c r="K179"/>
  <c r="N179" s="1"/>
  <c r="O179" s="1"/>
  <c r="K180"/>
  <c r="K181"/>
  <c r="N181" s="1"/>
  <c r="O181" s="1"/>
  <c r="K182"/>
  <c r="N182" s="1"/>
  <c r="O182" s="1"/>
  <c r="K183"/>
  <c r="N183" s="1"/>
  <c r="O183" s="1"/>
  <c r="K184"/>
  <c r="N184" s="1"/>
  <c r="O184" s="1"/>
  <c r="K185"/>
  <c r="N185" s="1"/>
  <c r="O185" s="1"/>
  <c r="K186"/>
  <c r="N186" s="1"/>
  <c r="O186" s="1"/>
  <c r="K187"/>
  <c r="N187" s="1"/>
  <c r="O187" s="1"/>
  <c r="K193"/>
  <c r="N193" s="1"/>
  <c r="O193" s="1"/>
  <c r="K194"/>
  <c r="N194" s="1"/>
  <c r="O194" s="1"/>
  <c r="L191"/>
  <c r="K190"/>
  <c r="N190" s="1"/>
  <c r="O190" s="1"/>
  <c r="K191"/>
  <c r="K192"/>
  <c r="N192" s="1"/>
  <c r="O192" s="1"/>
  <c r="K188"/>
  <c r="N188" s="1"/>
  <c r="O188" s="1"/>
  <c r="K189"/>
  <c r="N189" s="1"/>
  <c r="O189" s="1"/>
  <c r="K195"/>
  <c r="N195" s="1"/>
  <c r="O195" s="1"/>
  <c r="K196"/>
  <c r="N196" s="1"/>
  <c r="O196" s="1"/>
  <c r="K197"/>
  <c r="N197" s="1"/>
  <c r="O197" s="1"/>
  <c r="K198"/>
  <c r="N198" s="1"/>
  <c r="O198" s="1"/>
  <c r="K199"/>
  <c r="N199" s="1"/>
  <c r="O199" s="1"/>
  <c r="K200"/>
  <c r="N200" s="1"/>
  <c r="O200" s="1"/>
  <c r="K201"/>
  <c r="N201" s="1"/>
  <c r="O201" s="1"/>
  <c r="K202"/>
  <c r="K203"/>
  <c r="L204"/>
  <c r="K204"/>
  <c r="K205"/>
  <c r="L206"/>
  <c r="K206"/>
  <c r="K207"/>
  <c r="N207" s="1"/>
  <c r="O207" s="1"/>
  <c r="K208"/>
  <c r="N208" s="1"/>
  <c r="O208" s="1"/>
  <c r="K209"/>
  <c r="N209" s="1"/>
  <c r="O209" s="1"/>
  <c r="K210"/>
  <c r="N210" s="1"/>
  <c r="O210" s="1"/>
  <c r="K211"/>
  <c r="N211" s="1"/>
  <c r="O211" s="1"/>
  <c r="K212"/>
  <c r="N212" s="1"/>
  <c r="O212" s="1"/>
  <c r="K213"/>
  <c r="N213" s="1"/>
  <c r="O213" s="1"/>
  <c r="K214"/>
  <c r="N214" s="1"/>
  <c r="O214" s="1"/>
  <c r="K215"/>
  <c r="N215" s="1"/>
  <c r="O215" s="1"/>
  <c r="K216"/>
  <c r="N216" s="1"/>
  <c r="O216" s="1"/>
  <c r="K217"/>
  <c r="N217" s="1"/>
  <c r="O217" s="1"/>
  <c r="K218"/>
  <c r="N218" s="1"/>
  <c r="O218" s="1"/>
  <c r="K219"/>
  <c r="N219" s="1"/>
  <c r="O219" s="1"/>
  <c r="K220"/>
  <c r="N220" s="1"/>
  <c r="O220" s="1"/>
  <c r="K221"/>
  <c r="N221" s="1"/>
  <c r="O221" s="1"/>
  <c r="K222"/>
  <c r="N222" s="1"/>
  <c r="O222" s="1"/>
  <c r="K223"/>
  <c r="N223" s="1"/>
  <c r="O223" s="1"/>
  <c r="K224"/>
  <c r="N224" s="1"/>
  <c r="O224" s="1"/>
  <c r="K225"/>
  <c r="N225" s="1"/>
  <c r="O225" s="1"/>
  <c r="K226"/>
  <c r="N226" s="1"/>
  <c r="O226" s="1"/>
  <c r="K227"/>
  <c r="N227" s="1"/>
  <c r="O227" s="1"/>
  <c r="K229"/>
  <c r="N229" s="1"/>
  <c r="O229" s="1"/>
  <c r="K230"/>
  <c r="N230" s="1"/>
  <c r="O230" s="1"/>
  <c r="K228"/>
  <c r="N228" s="1"/>
  <c r="O228" s="1"/>
  <c r="K231"/>
  <c r="N231" s="1"/>
  <c r="O231" s="1"/>
  <c r="K232"/>
  <c r="N232" s="1"/>
  <c r="O232" s="1"/>
  <c r="K233"/>
  <c r="N233" s="1"/>
  <c r="O233" s="1"/>
  <c r="K234"/>
  <c r="N234" s="1"/>
  <c r="O234" s="1"/>
  <c r="K235"/>
  <c r="N235" s="1"/>
  <c r="O235" s="1"/>
  <c r="K236"/>
  <c r="N236" s="1"/>
  <c r="O236" s="1"/>
  <c r="K237"/>
  <c r="N237" s="1"/>
  <c r="O237" s="1"/>
  <c r="K238"/>
  <c r="N238" s="1"/>
  <c r="O238" s="1"/>
  <c r="K239"/>
  <c r="N239" s="1"/>
  <c r="O239" s="1"/>
  <c r="K240"/>
  <c r="N240" s="1"/>
  <c r="O240" s="1"/>
  <c r="K241"/>
  <c r="N241" s="1"/>
  <c r="O241" s="1"/>
  <c r="K242"/>
  <c r="N242" s="1"/>
  <c r="O242" s="1"/>
  <c r="K243"/>
  <c r="N243" s="1"/>
  <c r="O243" s="1"/>
  <c r="K244"/>
  <c r="N244" s="1"/>
  <c r="O244" s="1"/>
  <c r="K245"/>
  <c r="K246"/>
  <c r="N246" s="1"/>
  <c r="O246" s="1"/>
  <c r="K247"/>
  <c r="N247" s="1"/>
  <c r="O247" s="1"/>
  <c r="K248"/>
  <c r="N248" s="1"/>
  <c r="O248" s="1"/>
  <c r="K249"/>
  <c r="N249" s="1"/>
  <c r="O249" s="1"/>
  <c r="K250"/>
  <c r="K251"/>
  <c r="L252"/>
  <c r="L253"/>
  <c r="K252"/>
  <c r="K253"/>
  <c r="K254"/>
  <c r="N254" s="1"/>
  <c r="O254" s="1"/>
  <c r="K255"/>
  <c r="N255" s="1"/>
  <c r="O255" s="1"/>
  <c r="K256"/>
  <c r="N256" s="1"/>
  <c r="O256" s="1"/>
  <c r="K257"/>
  <c r="N257" s="1"/>
  <c r="O257" s="1"/>
  <c r="K258"/>
  <c r="N258" s="1"/>
  <c r="O258" s="1"/>
  <c r="K259"/>
  <c r="N259" s="1"/>
  <c r="O259" s="1"/>
  <c r="K260"/>
  <c r="N260" s="1"/>
  <c r="O260" s="1"/>
  <c r="K261"/>
  <c r="N261" s="1"/>
  <c r="O261" s="1"/>
  <c r="K262"/>
  <c r="N262" s="1"/>
  <c r="O262" s="1"/>
  <c r="K263"/>
  <c r="N263" s="1"/>
  <c r="O263" s="1"/>
  <c r="K264"/>
  <c r="N264" s="1"/>
  <c r="O264" s="1"/>
  <c r="K265"/>
  <c r="N265" s="1"/>
  <c r="O265" s="1"/>
  <c r="K266"/>
  <c r="N266" s="1"/>
  <c r="O266" s="1"/>
  <c r="L268"/>
  <c r="K267"/>
  <c r="N267" s="1"/>
  <c r="O267" s="1"/>
  <c r="K268"/>
  <c r="K269"/>
  <c r="N269" s="1"/>
  <c r="O269" s="1"/>
  <c r="K270"/>
  <c r="N270" s="1"/>
  <c r="O270" s="1"/>
  <c r="K271"/>
  <c r="N271" s="1"/>
  <c r="O271" s="1"/>
  <c r="K272"/>
  <c r="N272" s="1"/>
  <c r="O272" s="1"/>
  <c r="L274"/>
  <c r="K273"/>
  <c r="N273" s="1"/>
  <c r="O273" s="1"/>
  <c r="K274"/>
  <c r="K275"/>
  <c r="K276"/>
  <c r="K277"/>
  <c r="K278"/>
  <c r="L279"/>
  <c r="K279"/>
  <c r="K280"/>
  <c r="N280" s="1"/>
  <c r="O280" s="1"/>
  <c r="K281"/>
  <c r="N281" s="1"/>
  <c r="O281" s="1"/>
  <c r="K282"/>
  <c r="N282" s="1"/>
  <c r="O282" s="1"/>
  <c r="K283"/>
  <c r="N283" s="1"/>
  <c r="O283" s="1"/>
  <c r="K284"/>
  <c r="N284" s="1"/>
  <c r="O284" s="1"/>
  <c r="K285"/>
  <c r="N285" s="1"/>
  <c r="O285" s="1"/>
  <c r="K286"/>
  <c r="N286" s="1"/>
  <c r="O286" s="1"/>
  <c r="K287"/>
  <c r="N287" s="1"/>
  <c r="O287" s="1"/>
  <c r="K288"/>
  <c r="N288" s="1"/>
  <c r="O288" s="1"/>
  <c r="K289"/>
  <c r="N289" s="1"/>
  <c r="O289" s="1"/>
  <c r="K290"/>
  <c r="N290" s="1"/>
  <c r="O290" s="1"/>
  <c r="K291"/>
  <c r="N291" s="1"/>
  <c r="O291" s="1"/>
  <c r="K293"/>
  <c r="N293" s="1"/>
  <c r="O293" s="1"/>
  <c r="K294"/>
  <c r="N294" s="1"/>
  <c r="O294" s="1"/>
  <c r="K295"/>
  <c r="N295" s="1"/>
  <c r="O295" s="1"/>
  <c r="K296"/>
  <c r="N296" s="1"/>
  <c r="O296" s="1"/>
  <c r="K297"/>
  <c r="N297" s="1"/>
  <c r="O297" s="1"/>
  <c r="K298"/>
  <c r="N298" s="1"/>
  <c r="O298" s="1"/>
  <c r="K299"/>
  <c r="N299" s="1"/>
  <c r="O299" s="1"/>
  <c r="K300"/>
  <c r="N300" s="1"/>
  <c r="O300" s="1"/>
  <c r="K301"/>
  <c r="N301" s="1"/>
  <c r="O301" s="1"/>
  <c r="K302"/>
  <c r="N302" s="1"/>
  <c r="O302" s="1"/>
  <c r="K303"/>
  <c r="N303" s="1"/>
  <c r="O303" s="1"/>
  <c r="K304"/>
  <c r="N304" s="1"/>
  <c r="O304" s="1"/>
  <c r="K305"/>
  <c r="N305" s="1"/>
  <c r="O305" s="1"/>
  <c r="K306"/>
  <c r="N306" s="1"/>
  <c r="O306" s="1"/>
  <c r="K307"/>
  <c r="N307" s="1"/>
  <c r="O307" s="1"/>
  <c r="K308"/>
  <c r="N308" s="1"/>
  <c r="O308" s="1"/>
  <c r="K309"/>
  <c r="K310"/>
  <c r="N310" s="1"/>
  <c r="O310" s="1"/>
  <c r="K311"/>
  <c r="N311" s="1"/>
  <c r="O311" s="1"/>
  <c r="K312"/>
  <c r="N312" s="1"/>
  <c r="O312" s="1"/>
  <c r="K313"/>
  <c r="N313" s="1"/>
  <c r="O313" s="1"/>
  <c r="K314"/>
  <c r="N314" s="1"/>
  <c r="O314" s="1"/>
  <c r="K315"/>
  <c r="N315" s="1"/>
  <c r="O315" s="1"/>
  <c r="K316"/>
  <c r="K317"/>
  <c r="K318"/>
  <c r="L319"/>
  <c r="K319"/>
  <c r="K320"/>
  <c r="N320" s="1"/>
  <c r="O320" s="1"/>
  <c r="K321"/>
  <c r="N321" s="1"/>
  <c r="O321" s="1"/>
  <c r="K322"/>
  <c r="K323"/>
  <c r="L324"/>
  <c r="K324"/>
  <c r="K325"/>
  <c r="K329"/>
  <c r="N329" s="1"/>
  <c r="O329" s="1"/>
  <c r="L326"/>
  <c r="K326"/>
  <c r="K328"/>
  <c r="N328" s="1"/>
  <c r="O328" s="1"/>
  <c r="K327"/>
  <c r="N327" s="1"/>
  <c r="O327" s="1"/>
  <c r="K333"/>
  <c r="K330"/>
  <c r="N330" s="1"/>
  <c r="O330" s="1"/>
  <c r="K331"/>
  <c r="N331" s="1"/>
  <c r="O331" s="1"/>
  <c r="K332"/>
  <c r="N332" s="1"/>
  <c r="O332" s="1"/>
  <c r="K334"/>
  <c r="L335"/>
  <c r="K335"/>
  <c r="K336"/>
  <c r="N336" s="1"/>
  <c r="O336" s="1"/>
  <c r="K337"/>
  <c r="K338"/>
  <c r="K339"/>
  <c r="L340"/>
  <c r="K340"/>
  <c r="K341"/>
  <c r="N341" s="1"/>
  <c r="O341" s="1"/>
  <c r="K342"/>
  <c r="K343"/>
  <c r="K344"/>
  <c r="L345"/>
  <c r="L346"/>
  <c r="K345"/>
  <c r="K346"/>
  <c r="L347"/>
  <c r="K347"/>
  <c r="K348"/>
  <c r="L349"/>
  <c r="K349"/>
  <c r="K350"/>
  <c r="N350" s="1"/>
  <c r="O350" s="1"/>
  <c r="K353"/>
  <c r="K354"/>
  <c r="K351"/>
  <c r="K352"/>
  <c r="L355"/>
  <c r="K355"/>
  <c r="K356"/>
  <c r="K357"/>
  <c r="K360"/>
  <c r="K361"/>
  <c r="L358"/>
  <c r="L359"/>
  <c r="K358"/>
  <c r="K359"/>
  <c r="L362"/>
  <c r="L363"/>
  <c r="K362"/>
  <c r="K363"/>
  <c r="L364"/>
  <c r="L365"/>
  <c r="K364"/>
  <c r="K365"/>
  <c r="L366"/>
  <c r="L367"/>
  <c r="K366"/>
  <c r="K367"/>
  <c r="K368"/>
  <c r="N368" s="1"/>
  <c r="O368" s="1"/>
  <c r="K369"/>
  <c r="N369" s="1"/>
  <c r="O369" s="1"/>
  <c r="K370"/>
  <c r="N370" s="1"/>
  <c r="O370" s="1"/>
  <c r="K371"/>
  <c r="N371" s="1"/>
  <c r="O371" s="1"/>
  <c r="K372"/>
  <c r="N372" s="1"/>
  <c r="O372" s="1"/>
  <c r="K373"/>
  <c r="N373" s="1"/>
  <c r="O373" s="1"/>
  <c r="K374"/>
  <c r="N374" s="1"/>
  <c r="O374" s="1"/>
  <c r="K375"/>
  <c r="N375" s="1"/>
  <c r="O375" s="1"/>
  <c r="K376"/>
  <c r="N376" s="1"/>
  <c r="O376" s="1"/>
  <c r="L378"/>
  <c r="K377"/>
  <c r="N377" s="1"/>
  <c r="O377" s="1"/>
  <c r="K378"/>
  <c r="K379"/>
  <c r="N379" s="1"/>
  <c r="O379" s="1"/>
  <c r="K380"/>
  <c r="N380" s="1"/>
  <c r="O380" s="1"/>
  <c r="K381"/>
  <c r="N381" s="1"/>
  <c r="O381" s="1"/>
  <c r="K382"/>
  <c r="N382" s="1"/>
  <c r="O382" s="1"/>
  <c r="K383"/>
  <c r="N383" s="1"/>
  <c r="O383" s="1"/>
  <c r="K384"/>
  <c r="N384" s="1"/>
  <c r="O384" s="1"/>
  <c r="K385"/>
  <c r="K386"/>
  <c r="K387"/>
  <c r="N387" s="1"/>
  <c r="O387" s="1"/>
  <c r="K388"/>
  <c r="L389"/>
  <c r="K389"/>
  <c r="K390"/>
  <c r="N390" s="1"/>
  <c r="O390" s="1"/>
  <c r="K391"/>
  <c r="N391" s="1"/>
  <c r="O391" s="1"/>
  <c r="L393"/>
  <c r="K392"/>
  <c r="K393"/>
  <c r="L394"/>
  <c r="L395"/>
  <c r="K394"/>
  <c r="K395"/>
  <c r="K396"/>
  <c r="N396" s="1"/>
  <c r="O396" s="1"/>
  <c r="K397"/>
  <c r="L398"/>
  <c r="K398"/>
  <c r="K399"/>
  <c r="N399" s="1"/>
  <c r="O399" s="1"/>
  <c r="K400"/>
  <c r="N400" s="1"/>
  <c r="O400" s="1"/>
  <c r="K401"/>
  <c r="N401" s="1"/>
  <c r="O401" s="1"/>
  <c r="K402"/>
  <c r="N402" s="1"/>
  <c r="O402" s="1"/>
  <c r="K403"/>
  <c r="N403" s="1"/>
  <c r="O403" s="1"/>
  <c r="K404"/>
  <c r="N404" s="1"/>
  <c r="O404" s="1"/>
  <c r="K405"/>
  <c r="K406"/>
  <c r="L407"/>
  <c r="K407"/>
  <c r="K408"/>
  <c r="N408" s="1"/>
  <c r="O408" s="1"/>
  <c r="K409"/>
  <c r="N409" s="1"/>
  <c r="O409" s="1"/>
  <c r="K410"/>
  <c r="N410" s="1"/>
  <c r="O410" s="1"/>
  <c r="K411"/>
  <c r="N411" s="1"/>
  <c r="O411" s="1"/>
  <c r="K412"/>
  <c r="N412" s="1"/>
  <c r="O412" s="1"/>
  <c r="K413"/>
  <c r="N413" s="1"/>
  <c r="O413" s="1"/>
  <c r="K414"/>
  <c r="N414" s="1"/>
  <c r="O414" s="1"/>
  <c r="L416"/>
  <c r="K415"/>
  <c r="N415" s="1"/>
  <c r="O415" s="1"/>
  <c r="K416"/>
  <c r="K417"/>
  <c r="N417" s="1"/>
  <c r="O417" s="1"/>
  <c r="L418"/>
  <c r="K418"/>
  <c r="K419"/>
  <c r="N419" s="1"/>
  <c r="O419" s="1"/>
  <c r="K420"/>
  <c r="N420" s="1"/>
  <c r="O420" s="1"/>
  <c r="K421"/>
  <c r="N421" s="1"/>
  <c r="O421" s="1"/>
  <c r="K422"/>
  <c r="N422" s="1"/>
  <c r="O422" s="1"/>
  <c r="K423"/>
  <c r="N423" s="1"/>
  <c r="O423" s="1"/>
  <c r="K424"/>
  <c r="N424" s="1"/>
  <c r="O424" s="1"/>
  <c r="K425"/>
  <c r="N425" s="1"/>
  <c r="O425" s="1"/>
  <c r="K426"/>
  <c r="N426" s="1"/>
  <c r="O426" s="1"/>
  <c r="K427"/>
  <c r="N427" s="1"/>
  <c r="O427" s="1"/>
  <c r="K428"/>
  <c r="N428" s="1"/>
  <c r="O428" s="1"/>
  <c r="K429"/>
  <c r="N429" s="1"/>
  <c r="O429" s="1"/>
  <c r="K430"/>
  <c r="N430" s="1"/>
  <c r="O430" s="1"/>
  <c r="K431"/>
  <c r="N431" s="1"/>
  <c r="O431" s="1"/>
  <c r="K432"/>
  <c r="N432" s="1"/>
  <c r="O432" s="1"/>
  <c r="K433"/>
  <c r="N433" s="1"/>
  <c r="O433" s="1"/>
  <c r="K434"/>
  <c r="N434" s="1"/>
  <c r="O434" s="1"/>
  <c r="K435"/>
  <c r="N435" s="1"/>
  <c r="O435" s="1"/>
  <c r="K436"/>
  <c r="N436" s="1"/>
  <c r="O436" s="1"/>
  <c r="L437"/>
  <c r="K437"/>
  <c r="K438"/>
  <c r="N438" s="1"/>
  <c r="O438" s="1"/>
  <c r="K439"/>
  <c r="N439" s="1"/>
  <c r="O439" s="1"/>
  <c r="K440"/>
  <c r="N440" s="1"/>
  <c r="O440" s="1"/>
  <c r="K441"/>
  <c r="K442"/>
  <c r="N442" s="1"/>
  <c r="O442" s="1"/>
  <c r="K443"/>
  <c r="L444"/>
  <c r="K444"/>
  <c r="K445"/>
  <c r="N445" s="1"/>
  <c r="O445" s="1"/>
  <c r="K446"/>
  <c r="N446" s="1"/>
  <c r="O446" s="1"/>
  <c r="L449"/>
  <c r="K447"/>
  <c r="N447" s="1"/>
  <c r="O447" s="1"/>
  <c r="K448"/>
  <c r="N448" s="1"/>
  <c r="O448" s="1"/>
  <c r="K449"/>
  <c r="L451"/>
  <c r="K450"/>
  <c r="N450" s="1"/>
  <c r="O450" s="1"/>
  <c r="K451"/>
  <c r="K452"/>
  <c r="N452" s="1"/>
  <c r="O452" s="1"/>
  <c r="K456"/>
  <c r="N456" s="1"/>
  <c r="O456" s="1"/>
  <c r="L453"/>
  <c r="K453"/>
  <c r="K454"/>
  <c r="N454" s="1"/>
  <c r="O454" s="1"/>
  <c r="K455"/>
  <c r="N455" s="1"/>
  <c r="O455" s="1"/>
  <c r="L457"/>
  <c r="K457"/>
  <c r="L458"/>
  <c r="K458"/>
  <c r="L459"/>
  <c r="K459"/>
  <c r="K460"/>
  <c r="L461"/>
  <c r="K461"/>
  <c r="K462"/>
  <c r="N462" s="1"/>
  <c r="O462" s="1"/>
  <c r="K463"/>
  <c r="N463" s="1"/>
  <c r="O463" s="1"/>
  <c r="K464"/>
  <c r="N464" s="1"/>
  <c r="O464" s="1"/>
  <c r="K465"/>
  <c r="N465" s="1"/>
  <c r="O465" s="1"/>
  <c r="K466"/>
  <c r="N466" s="1"/>
  <c r="O466" s="1"/>
  <c r="K467"/>
  <c r="N467" s="1"/>
  <c r="O467" s="1"/>
  <c r="K468"/>
  <c r="N468" s="1"/>
  <c r="O468" s="1"/>
  <c r="K469"/>
  <c r="N469" s="1"/>
  <c r="O469" s="1"/>
  <c r="K470"/>
  <c r="N470" s="1"/>
  <c r="O470" s="1"/>
  <c r="K471"/>
  <c r="N471" s="1"/>
  <c r="O471" s="1"/>
  <c r="K472"/>
  <c r="K473"/>
  <c r="N473" s="1"/>
  <c r="O473" s="1"/>
  <c r="L474"/>
  <c r="K474"/>
  <c r="K475"/>
  <c r="N475" s="1"/>
  <c r="O475" s="1"/>
  <c r="K476"/>
  <c r="N476" s="1"/>
  <c r="O476" s="1"/>
  <c r="K477"/>
  <c r="N477" s="1"/>
  <c r="O477" s="1"/>
  <c r="K478"/>
  <c r="N478" s="1"/>
  <c r="O478" s="1"/>
  <c r="K479"/>
  <c r="L480"/>
  <c r="K480"/>
  <c r="K481"/>
  <c r="N481" s="1"/>
  <c r="O481" s="1"/>
  <c r="K482"/>
  <c r="N482" s="1"/>
  <c r="O482" s="1"/>
  <c r="K483"/>
  <c r="N483" s="1"/>
  <c r="O483" s="1"/>
  <c r="K484"/>
  <c r="N484" s="1"/>
  <c r="O484" s="1"/>
  <c r="K485"/>
  <c r="N485" s="1"/>
  <c r="O485" s="1"/>
  <c r="K486"/>
  <c r="K487"/>
  <c r="N487" s="1"/>
  <c r="O487" s="1"/>
  <c r="L489"/>
  <c r="K489"/>
  <c r="K490"/>
  <c r="L491"/>
  <c r="L492"/>
  <c r="K491"/>
  <c r="K492"/>
  <c r="K493"/>
  <c r="N493" s="1"/>
  <c r="O493" s="1"/>
  <c r="K494"/>
  <c r="N494" s="1"/>
  <c r="O494" s="1"/>
  <c r="K495"/>
  <c r="N495" s="1"/>
  <c r="O495" s="1"/>
  <c r="K496"/>
  <c r="N496" s="1"/>
  <c r="O496" s="1"/>
  <c r="K497"/>
  <c r="N497" s="1"/>
  <c r="O497" s="1"/>
  <c r="K498"/>
  <c r="N498" s="1"/>
  <c r="O498" s="1"/>
  <c r="K499"/>
  <c r="N499" s="1"/>
  <c r="O499" s="1"/>
  <c r="K500"/>
  <c r="N500" s="1"/>
  <c r="O500" s="1"/>
  <c r="K501"/>
  <c r="N501" s="1"/>
  <c r="O501" s="1"/>
  <c r="K502"/>
  <c r="N502" s="1"/>
  <c r="O502" s="1"/>
  <c r="K503"/>
  <c r="N503" s="1"/>
  <c r="O503" s="1"/>
  <c r="K504"/>
  <c r="N504" s="1"/>
  <c r="O504" s="1"/>
  <c r="K505"/>
  <c r="K506"/>
  <c r="K507"/>
  <c r="N507" s="1"/>
  <c r="O507" s="1"/>
  <c r="L508"/>
  <c r="K508"/>
  <c r="L509"/>
  <c r="L510"/>
  <c r="K509"/>
  <c r="K510"/>
  <c r="K511"/>
  <c r="N511" s="1"/>
  <c r="O511" s="1"/>
  <c r="K512"/>
  <c r="L513"/>
  <c r="K513"/>
  <c r="K514"/>
  <c r="N514" s="1"/>
  <c r="O514" s="1"/>
  <c r="K515"/>
  <c r="N515" s="1"/>
  <c r="O515" s="1"/>
  <c r="K516"/>
  <c r="N516" s="1"/>
  <c r="O516" s="1"/>
  <c r="L518"/>
  <c r="K517"/>
  <c r="N517" s="1"/>
  <c r="O517" s="1"/>
  <c r="K518"/>
  <c r="L520"/>
  <c r="K519"/>
  <c r="N519" s="1"/>
  <c r="O519" s="1"/>
  <c r="K520"/>
  <c r="K521"/>
  <c r="N521" s="1"/>
  <c r="O521" s="1"/>
  <c r="L523"/>
  <c r="L524"/>
  <c r="K522"/>
  <c r="N522" s="1"/>
  <c r="O522" s="1"/>
  <c r="K523"/>
  <c r="K524"/>
  <c r="L526"/>
  <c r="K525"/>
  <c r="N525" s="1"/>
  <c r="O525" s="1"/>
  <c r="K526"/>
  <c r="K527"/>
  <c r="N527" s="1"/>
  <c r="O527" s="1"/>
  <c r="K528"/>
  <c r="N528" s="1"/>
  <c r="O528" s="1"/>
  <c r="K529"/>
  <c r="N529" s="1"/>
  <c r="O529" s="1"/>
  <c r="K530"/>
  <c r="N530" s="1"/>
  <c r="O530" s="1"/>
  <c r="K531"/>
  <c r="N531" s="1"/>
  <c r="O531" s="1"/>
  <c r="K532"/>
  <c r="N532" s="1"/>
  <c r="O532" s="1"/>
  <c r="K533"/>
  <c r="N533" s="1"/>
  <c r="O533" s="1"/>
  <c r="K534"/>
  <c r="N534" s="1"/>
  <c r="O534" s="1"/>
  <c r="K535"/>
  <c r="N535" s="1"/>
  <c r="O535" s="1"/>
  <c r="K536"/>
  <c r="N536" s="1"/>
  <c r="O536" s="1"/>
  <c r="K537"/>
  <c r="K538"/>
  <c r="N538" s="1"/>
  <c r="O538" s="1"/>
  <c r="L539"/>
  <c r="L540"/>
  <c r="K539"/>
  <c r="K540"/>
  <c r="K541"/>
  <c r="N541" s="1"/>
  <c r="O541" s="1"/>
  <c r="K543"/>
  <c r="K542"/>
  <c r="K544"/>
  <c r="L545"/>
  <c r="L546"/>
  <c r="K545"/>
  <c r="K546"/>
  <c r="L548"/>
  <c r="L549"/>
  <c r="K547"/>
  <c r="N547" s="1"/>
  <c r="O547" s="1"/>
  <c r="K548"/>
  <c r="K550"/>
  <c r="K549"/>
  <c r="K551"/>
  <c r="L552"/>
  <c r="K552"/>
  <c r="K553"/>
  <c r="N553" s="1"/>
  <c r="O553" s="1"/>
  <c r="K554"/>
  <c r="K555"/>
  <c r="L556"/>
  <c r="K556"/>
  <c r="L557"/>
  <c r="K557"/>
  <c r="K558"/>
  <c r="N558" s="1"/>
  <c r="O558" s="1"/>
  <c r="L559"/>
  <c r="K559"/>
  <c r="K560"/>
  <c r="N560" s="1"/>
  <c r="O560" s="1"/>
  <c r="K561"/>
  <c r="N561" s="1"/>
  <c r="O561" s="1"/>
  <c r="K562"/>
  <c r="N562" s="1"/>
  <c r="O562" s="1"/>
  <c r="K563"/>
  <c r="N563" s="1"/>
  <c r="O563" s="1"/>
  <c r="K564"/>
  <c r="N564" s="1"/>
  <c r="O564" s="1"/>
  <c r="K565"/>
  <c r="N565" s="1"/>
  <c r="O565" s="1"/>
  <c r="K566"/>
  <c r="N566" s="1"/>
  <c r="O566" s="1"/>
  <c r="L568"/>
  <c r="L569"/>
  <c r="K567"/>
  <c r="N567" s="1"/>
  <c r="O567" s="1"/>
  <c r="K568"/>
  <c r="K569"/>
  <c r="K570"/>
  <c r="N570" s="1"/>
  <c r="O570" s="1"/>
  <c r="K571"/>
  <c r="N571" s="1"/>
  <c r="O571" s="1"/>
  <c r="K572"/>
  <c r="N572" s="1"/>
  <c r="O572" s="1"/>
  <c r="K573"/>
  <c r="K574"/>
  <c r="K575"/>
  <c r="L576"/>
  <c r="L577"/>
  <c r="K576"/>
  <c r="K577"/>
  <c r="L578"/>
  <c r="L579"/>
  <c r="K579"/>
  <c r="K580"/>
  <c r="N580" s="1"/>
  <c r="O580" s="1"/>
  <c r="K578"/>
  <c r="K581"/>
  <c r="N581" s="1"/>
  <c r="O581" s="1"/>
  <c r="K582"/>
  <c r="N582" s="1"/>
  <c r="O582" s="1"/>
  <c r="K583"/>
  <c r="N583" s="1"/>
  <c r="O583" s="1"/>
  <c r="K584"/>
  <c r="N584" s="1"/>
  <c r="O584" s="1"/>
  <c r="K585"/>
  <c r="N585" s="1"/>
  <c r="O585" s="1"/>
  <c r="K586"/>
  <c r="N586" s="1"/>
  <c r="O586" s="1"/>
  <c r="K587"/>
  <c r="N587" s="1"/>
  <c r="O587" s="1"/>
  <c r="K588"/>
  <c r="L589"/>
  <c r="K591"/>
  <c r="N591" s="1"/>
  <c r="O591" s="1"/>
  <c r="K589"/>
  <c r="K590"/>
  <c r="N590" s="1"/>
  <c r="O590" s="1"/>
  <c r="K592"/>
  <c r="N592" s="1"/>
  <c r="O592" s="1"/>
  <c r="K593"/>
  <c r="N593" s="1"/>
  <c r="O593" s="1"/>
  <c r="K594"/>
  <c r="N594" s="1"/>
  <c r="O594" s="1"/>
  <c r="K595"/>
  <c r="N595" s="1"/>
  <c r="O595" s="1"/>
  <c r="K596"/>
  <c r="N596" s="1"/>
  <c r="O596" s="1"/>
  <c r="K597"/>
  <c r="N597" s="1"/>
  <c r="O597" s="1"/>
  <c r="K604"/>
  <c r="K605"/>
  <c r="N605" s="1"/>
  <c r="O605" s="1"/>
  <c r="K606"/>
  <c r="K598"/>
  <c r="K599"/>
  <c r="N599" s="1"/>
  <c r="O599" s="1"/>
  <c r="K600"/>
  <c r="K601"/>
  <c r="L601"/>
  <c r="K602"/>
  <c r="N602" s="1"/>
  <c r="O602" s="1"/>
  <c r="K603"/>
  <c r="N603" s="1"/>
  <c r="O603" s="1"/>
  <c r="L607"/>
  <c r="K607"/>
  <c r="K608"/>
  <c r="N608" s="1"/>
  <c r="O608" s="1"/>
  <c r="K609"/>
  <c r="N609" s="1"/>
  <c r="O609" s="1"/>
  <c r="K610"/>
  <c r="L611"/>
  <c r="L613"/>
  <c r="K611"/>
  <c r="K612"/>
  <c r="N612" s="1"/>
  <c r="O612" s="1"/>
  <c r="K613"/>
  <c r="L618"/>
  <c r="K614"/>
  <c r="N614" s="1"/>
  <c r="O614" s="1"/>
  <c r="K615"/>
  <c r="N615" s="1"/>
  <c r="O615" s="1"/>
  <c r="K616"/>
  <c r="N616" s="1"/>
  <c r="O616" s="1"/>
  <c r="K617"/>
  <c r="N617" s="1"/>
  <c r="O617" s="1"/>
  <c r="K618"/>
  <c r="K619"/>
  <c r="N619" s="1"/>
  <c r="O619" s="1"/>
  <c r="K621"/>
  <c r="N621" s="1"/>
  <c r="O621" s="1"/>
  <c r="K620"/>
  <c r="N620" s="1"/>
  <c r="O620" s="1"/>
  <c r="K622"/>
  <c r="N622" s="1"/>
  <c r="O622" s="1"/>
  <c r="K623"/>
  <c r="K624"/>
  <c r="K625"/>
  <c r="N625" s="1"/>
  <c r="O625" s="1"/>
  <c r="L626"/>
  <c r="K626"/>
  <c r="K627"/>
  <c r="N627" s="1"/>
  <c r="O627" s="1"/>
  <c r="K628"/>
  <c r="N628" s="1"/>
  <c r="O628" s="1"/>
  <c r="K629"/>
  <c r="N629" s="1"/>
  <c r="O629" s="1"/>
  <c r="K630"/>
  <c r="K631"/>
  <c r="L632"/>
  <c r="K632"/>
  <c r="K633"/>
  <c r="N633" s="1"/>
  <c r="O633" s="1"/>
  <c r="K634"/>
  <c r="N634" s="1"/>
  <c r="O634" s="1"/>
  <c r="K635"/>
  <c r="N635" s="1"/>
  <c r="O635" s="1"/>
  <c r="K636"/>
  <c r="N636" s="1"/>
  <c r="O636" s="1"/>
  <c r="K637"/>
  <c r="N637" s="1"/>
  <c r="O637" s="1"/>
  <c r="K638"/>
  <c r="N638" s="1"/>
  <c r="O638" s="1"/>
  <c r="K639"/>
  <c r="N639" s="1"/>
  <c r="O639" s="1"/>
  <c r="K640"/>
  <c r="N640" s="1"/>
  <c r="O640" s="1"/>
  <c r="K641"/>
  <c r="N641" s="1"/>
  <c r="O641" s="1"/>
  <c r="K642"/>
  <c r="N642" s="1"/>
  <c r="O642" s="1"/>
  <c r="N643"/>
  <c r="O643" s="1"/>
  <c r="K647"/>
  <c r="N647" s="1"/>
  <c r="O647" s="1"/>
  <c r="K644"/>
  <c r="N644" s="1"/>
  <c r="O644" s="1"/>
  <c r="K645"/>
  <c r="N645" s="1"/>
  <c r="O645" s="1"/>
  <c r="K646"/>
  <c r="N646" s="1"/>
  <c r="O646" s="1"/>
  <c r="K649"/>
  <c r="K648"/>
  <c r="L650"/>
  <c r="L651"/>
  <c r="K650"/>
  <c r="K651"/>
  <c r="K652"/>
  <c r="N652" s="1"/>
  <c r="O652" s="1"/>
  <c r="K656"/>
  <c r="K655"/>
  <c r="K654"/>
  <c r="K653"/>
  <c r="L657"/>
  <c r="K660"/>
  <c r="N660" s="1"/>
  <c r="O660" s="1"/>
  <c r="K659"/>
  <c r="K658"/>
  <c r="K657"/>
  <c r="L662"/>
  <c r="L661"/>
  <c r="K661"/>
  <c r="K662"/>
  <c r="K663"/>
  <c r="N663" s="1"/>
  <c r="O663" s="1"/>
  <c r="K664"/>
  <c r="N664" s="1"/>
  <c r="O664" s="1"/>
  <c r="K666"/>
  <c r="N666" s="1"/>
  <c r="O666" s="1"/>
  <c r="K665"/>
  <c r="N665" s="1"/>
  <c r="O665" s="1"/>
  <c r="L668"/>
  <c r="L667"/>
  <c r="K667"/>
  <c r="K668"/>
  <c r="K669"/>
  <c r="N669" s="1"/>
  <c r="O669" s="1"/>
  <c r="K671"/>
  <c r="K670"/>
  <c r="L672"/>
  <c r="K672"/>
  <c r="K673"/>
  <c r="K674"/>
  <c r="K675"/>
  <c r="K676"/>
  <c r="N676" s="1"/>
  <c r="O676" s="1"/>
  <c r="K677"/>
  <c r="L678"/>
  <c r="K678"/>
  <c r="L679"/>
  <c r="K679"/>
  <c r="K680"/>
  <c r="N680" s="1"/>
  <c r="O680" s="1"/>
  <c r="K681"/>
  <c r="N681" s="1"/>
  <c r="O681" s="1"/>
  <c r="K682"/>
  <c r="N682" s="1"/>
  <c r="O682" s="1"/>
  <c r="K683"/>
  <c r="N683" s="1"/>
  <c r="K684"/>
  <c r="N684" s="1"/>
  <c r="O684" s="1"/>
  <c r="K685"/>
  <c r="N685" s="1"/>
  <c r="O685" s="1"/>
  <c r="K686"/>
  <c r="N686" s="1"/>
  <c r="O686" s="1"/>
  <c r="K687"/>
  <c r="L688"/>
  <c r="K688"/>
  <c r="K689"/>
  <c r="N689" s="1"/>
  <c r="O689" s="1"/>
  <c r="K690"/>
  <c r="N690" s="1"/>
  <c r="O690" s="1"/>
  <c r="K691"/>
  <c r="N691" s="1"/>
  <c r="O691" s="1"/>
  <c r="K692"/>
  <c r="N692" s="1"/>
  <c r="O692" s="1"/>
  <c r="K693"/>
  <c r="N693" s="1"/>
  <c r="O693" s="1"/>
  <c r="K695"/>
  <c r="K694"/>
  <c r="N694" s="1"/>
  <c r="O694" s="1"/>
  <c r="L695"/>
  <c r="L696"/>
  <c r="K696"/>
  <c r="K697"/>
  <c r="N697" s="1"/>
  <c r="O697" s="1"/>
  <c r="K698"/>
  <c r="N698" s="1"/>
  <c r="O698" s="1"/>
  <c r="K699"/>
  <c r="N699" s="1"/>
  <c r="O699" s="1"/>
  <c r="K700"/>
  <c r="L701"/>
  <c r="L702"/>
  <c r="K701"/>
  <c r="K702"/>
  <c r="L703"/>
  <c r="K703"/>
  <c r="L704"/>
  <c r="K705"/>
  <c r="N705" s="1"/>
  <c r="O705" s="1"/>
  <c r="K704"/>
  <c r="L706"/>
  <c r="K707"/>
  <c r="N707" s="1"/>
  <c r="O707" s="1"/>
  <c r="K706"/>
  <c r="K708"/>
  <c r="N708" s="1"/>
  <c r="O708" s="1"/>
  <c r="K709"/>
  <c r="N709" s="1"/>
  <c r="O709" s="1"/>
  <c r="K710"/>
  <c r="K712"/>
  <c r="N712" s="1"/>
  <c r="O712" s="1"/>
  <c r="L711"/>
  <c r="K711"/>
  <c r="L713"/>
  <c r="L714"/>
  <c r="K713"/>
  <c r="K714"/>
  <c r="L716"/>
  <c r="K719"/>
  <c r="N719" s="1"/>
  <c r="O719" s="1"/>
  <c r="K718"/>
  <c r="N718" s="1"/>
  <c r="O718" s="1"/>
  <c r="K717"/>
  <c r="N717" s="1"/>
  <c r="O717" s="1"/>
  <c r="K716"/>
  <c r="N716" s="1"/>
  <c r="O716" s="1"/>
  <c r="K715"/>
  <c r="N715" s="1"/>
  <c r="O715" s="1"/>
  <c r="K721"/>
  <c r="N721" s="1"/>
  <c r="O721" s="1"/>
  <c r="K720"/>
  <c r="N720" s="1"/>
  <c r="O720" s="1"/>
  <c r="L724"/>
  <c r="K724"/>
  <c r="L725"/>
  <c r="L732"/>
  <c r="L733"/>
  <c r="K741"/>
  <c r="L746"/>
  <c r="K722"/>
  <c r="N722" s="1"/>
  <c r="O722" s="1"/>
  <c r="K723"/>
  <c r="N723" s="1"/>
  <c r="O723" s="1"/>
  <c r="K725"/>
  <c r="N728"/>
  <c r="O728" s="1"/>
  <c r="K727"/>
  <c r="N727" s="1"/>
  <c r="O727" s="1"/>
  <c r="K726"/>
  <c r="N726" s="1"/>
  <c r="O726" s="1"/>
  <c r="K731"/>
  <c r="N731" s="1"/>
  <c r="O731" s="1"/>
  <c r="K730"/>
  <c r="N730" s="1"/>
  <c r="O730" s="1"/>
  <c r="K729"/>
  <c r="N729" s="1"/>
  <c r="O729" s="1"/>
  <c r="K733"/>
  <c r="K732"/>
  <c r="K734"/>
  <c r="N734" s="1"/>
  <c r="O734" s="1"/>
  <c r="K736"/>
  <c r="N736" s="1"/>
  <c r="O736" s="1"/>
  <c r="K735"/>
  <c r="N735" s="1"/>
  <c r="O735" s="1"/>
  <c r="K738"/>
  <c r="N738" s="1"/>
  <c r="O738" s="1"/>
  <c r="K737"/>
  <c r="N737" s="1"/>
  <c r="O737" s="1"/>
  <c r="K739"/>
  <c r="O739"/>
  <c r="K740"/>
  <c r="N740" s="1"/>
  <c r="O740" s="1"/>
  <c r="O741"/>
  <c r="K742"/>
  <c r="N742" s="1"/>
  <c r="O742" s="1"/>
  <c r="K744"/>
  <c r="N744" s="1"/>
  <c r="O744" s="1"/>
  <c r="K745"/>
  <c r="K743"/>
  <c r="N743" s="1"/>
  <c r="O743" s="1"/>
  <c r="K748"/>
  <c r="N748" s="1"/>
  <c r="O748" s="1"/>
  <c r="K747"/>
  <c r="N747" s="1"/>
  <c r="O747" s="1"/>
  <c r="K746"/>
  <c r="K750"/>
  <c r="K751"/>
  <c r="N751" s="1"/>
  <c r="O751" s="1"/>
  <c r="K749"/>
  <c r="N749" s="1"/>
  <c r="O749" s="1"/>
  <c r="L752"/>
  <c r="K752"/>
  <c r="K754"/>
  <c r="N754" s="1"/>
  <c r="O754" s="1"/>
  <c r="K753"/>
  <c r="N753" s="1"/>
  <c r="O753" s="1"/>
  <c r="K757"/>
  <c r="N757" s="1"/>
  <c r="O757" s="1"/>
  <c r="K756"/>
  <c r="N756" s="1"/>
  <c r="O756" s="1"/>
  <c r="K755"/>
  <c r="N755" s="1"/>
  <c r="O755" s="1"/>
  <c r="L758"/>
  <c r="L759"/>
  <c r="K758"/>
  <c r="K760"/>
  <c r="N760" s="1"/>
  <c r="O760" s="1"/>
  <c r="K759"/>
  <c r="K764"/>
  <c r="N764" s="1"/>
  <c r="O764" s="1"/>
  <c r="K763"/>
  <c r="N763" s="1"/>
  <c r="O763" s="1"/>
  <c r="K762"/>
  <c r="N762" s="1"/>
  <c r="O762" s="1"/>
  <c r="K761"/>
  <c r="N761" s="1"/>
  <c r="O761" s="1"/>
  <c r="L765"/>
  <c r="K767"/>
  <c r="N767" s="1"/>
  <c r="O767" s="1"/>
  <c r="K766"/>
  <c r="N766" s="1"/>
  <c r="O766" s="1"/>
  <c r="K765"/>
  <c r="L768"/>
  <c r="K770"/>
  <c r="N770" s="1"/>
  <c r="O770" s="1"/>
  <c r="K769"/>
  <c r="N769" s="1"/>
  <c r="O769" s="1"/>
  <c r="K768"/>
  <c r="L772"/>
  <c r="L771"/>
  <c r="K774"/>
  <c r="N774" s="1"/>
  <c r="O774" s="1"/>
  <c r="K773"/>
  <c r="N773" s="1"/>
  <c r="O773" s="1"/>
  <c r="K772"/>
  <c r="K771"/>
  <c r="L776"/>
  <c r="L775"/>
  <c r="K778"/>
  <c r="N778" s="1"/>
  <c r="O778" s="1"/>
  <c r="K777"/>
  <c r="N777" s="1"/>
  <c r="O777" s="1"/>
  <c r="K776"/>
  <c r="K775"/>
  <c r="K782"/>
  <c r="N782" s="1"/>
  <c r="O782" s="1"/>
  <c r="K781"/>
  <c r="N781" s="1"/>
  <c r="O781" s="1"/>
  <c r="K780"/>
  <c r="N780" s="1"/>
  <c r="O780" s="1"/>
  <c r="K779"/>
  <c r="N779" s="1"/>
  <c r="O779" s="1"/>
  <c r="L784"/>
  <c r="L783"/>
  <c r="K786"/>
  <c r="N786" s="1"/>
  <c r="O786" s="1"/>
  <c r="K785"/>
  <c r="N785" s="1"/>
  <c r="O785" s="1"/>
  <c r="K784"/>
  <c r="K783"/>
  <c r="L787"/>
  <c r="L789"/>
  <c r="K787"/>
  <c r="K788"/>
  <c r="N788" s="1"/>
  <c r="O788" s="1"/>
  <c r="K789"/>
  <c r="K790"/>
  <c r="N790" s="1"/>
  <c r="O790" s="1"/>
  <c r="K791"/>
  <c r="L792"/>
  <c r="K792"/>
  <c r="K793"/>
  <c r="N793" s="1"/>
  <c r="O793" s="1"/>
  <c r="K795"/>
  <c r="N795" s="1"/>
  <c r="O795" s="1"/>
  <c r="K794"/>
  <c r="N794" s="1"/>
  <c r="O794" s="1"/>
  <c r="L796"/>
  <c r="L798"/>
  <c r="K800"/>
  <c r="N800" s="1"/>
  <c r="O800" s="1"/>
  <c r="K799"/>
  <c r="N799" s="1"/>
  <c r="O799" s="1"/>
  <c r="K798"/>
  <c r="K797"/>
  <c r="N797" s="1"/>
  <c r="O797" s="1"/>
  <c r="K796"/>
  <c r="L802"/>
  <c r="L801"/>
  <c r="K804"/>
  <c r="N804" s="1"/>
  <c r="O804" s="1"/>
  <c r="K803"/>
  <c r="N803" s="1"/>
  <c r="O803" s="1"/>
  <c r="K802"/>
  <c r="K801"/>
  <c r="L806"/>
  <c r="L805"/>
  <c r="K809"/>
  <c r="N809" s="1"/>
  <c r="O809" s="1"/>
  <c r="K808"/>
  <c r="N808" s="1"/>
  <c r="O808" s="1"/>
  <c r="K807"/>
  <c r="N807" s="1"/>
  <c r="O807" s="1"/>
  <c r="K806"/>
  <c r="K805"/>
  <c r="K812"/>
  <c r="N812" s="1"/>
  <c r="O812" s="1"/>
  <c r="K811"/>
  <c r="N811" s="1"/>
  <c r="O811" s="1"/>
  <c r="K810"/>
  <c r="N810" s="1"/>
  <c r="O810" s="1"/>
  <c r="L813"/>
  <c r="K816"/>
  <c r="N816" s="1"/>
  <c r="O816" s="1"/>
  <c r="K815"/>
  <c r="N815" s="1"/>
  <c r="O815" s="1"/>
  <c r="K814"/>
  <c r="N814" s="1"/>
  <c r="O814" s="1"/>
  <c r="K813"/>
  <c r="L817"/>
  <c r="K820"/>
  <c r="N820" s="1"/>
  <c r="O820" s="1"/>
  <c r="K819"/>
  <c r="N819" s="1"/>
  <c r="O819" s="1"/>
  <c r="K818"/>
  <c r="N818" s="1"/>
  <c r="O818" s="1"/>
  <c r="K817"/>
  <c r="K823"/>
  <c r="N823" s="1"/>
  <c r="O823" s="1"/>
  <c r="K822"/>
  <c r="N822" s="1"/>
  <c r="O822" s="1"/>
  <c r="K821"/>
  <c r="N821" s="1"/>
  <c r="O821" s="1"/>
  <c r="K827"/>
  <c r="N827" s="1"/>
  <c r="O827" s="1"/>
  <c r="K826"/>
  <c r="N826" s="1"/>
  <c r="O826" s="1"/>
  <c r="K825"/>
  <c r="N825" s="1"/>
  <c r="O825" s="1"/>
  <c r="K824"/>
  <c r="N824" s="1"/>
  <c r="O824" s="1"/>
  <c r="K830"/>
  <c r="N830" s="1"/>
  <c r="O830" s="1"/>
  <c r="K829"/>
  <c r="N829" s="1"/>
  <c r="O829" s="1"/>
  <c r="K828"/>
  <c r="N828" s="1"/>
  <c r="O828" s="1"/>
  <c r="L832"/>
  <c r="L831"/>
  <c r="K834"/>
  <c r="N834" s="1"/>
  <c r="O834" s="1"/>
  <c r="K833"/>
  <c r="N833" s="1"/>
  <c r="O833" s="1"/>
  <c r="K832"/>
  <c r="K831"/>
  <c r="L835"/>
  <c r="K837"/>
  <c r="N837" s="1"/>
  <c r="O837" s="1"/>
  <c r="K836"/>
  <c r="N836" s="1"/>
  <c r="O836" s="1"/>
  <c r="K835"/>
  <c r="L838"/>
  <c r="K842"/>
  <c r="N842" s="1"/>
  <c r="O842" s="1"/>
  <c r="K841"/>
  <c r="N841" s="1"/>
  <c r="O841" s="1"/>
  <c r="K840"/>
  <c r="N840" s="1"/>
  <c r="O840" s="1"/>
  <c r="K839"/>
  <c r="N839" s="1"/>
  <c r="O839" s="1"/>
  <c r="K838"/>
  <c r="L843"/>
  <c r="K846"/>
  <c r="N846" s="1"/>
  <c r="O846" s="1"/>
  <c r="K845"/>
  <c r="N845" s="1"/>
  <c r="O845" s="1"/>
  <c r="K844"/>
  <c r="N844" s="1"/>
  <c r="O844" s="1"/>
  <c r="K843"/>
  <c r="L849"/>
  <c r="L847"/>
  <c r="L848"/>
  <c r="K850"/>
  <c r="N850" s="1"/>
  <c r="O850" s="1"/>
  <c r="K849"/>
  <c r="N849" s="1"/>
  <c r="O849" s="1"/>
  <c r="K847"/>
  <c r="K848"/>
  <c r="L852"/>
  <c r="L851"/>
  <c r="K853"/>
  <c r="N853" s="1"/>
  <c r="O853" s="1"/>
  <c r="K852"/>
  <c r="K851"/>
  <c r="L855"/>
  <c r="L854"/>
  <c r="K857"/>
  <c r="N857" s="1"/>
  <c r="O857" s="1"/>
  <c r="K856"/>
  <c r="N856" s="1"/>
  <c r="O856" s="1"/>
  <c r="K855"/>
  <c r="K854"/>
  <c r="L858"/>
  <c r="K860"/>
  <c r="N860" s="1"/>
  <c r="O860" s="1"/>
  <c r="K859"/>
  <c r="N859" s="1"/>
  <c r="O859" s="1"/>
  <c r="K858"/>
  <c r="L861"/>
  <c r="K861"/>
  <c r="K864"/>
  <c r="N864" s="1"/>
  <c r="O864" s="1"/>
  <c r="K863"/>
  <c r="N863" s="1"/>
  <c r="O863" s="1"/>
  <c r="K862"/>
  <c r="N862" s="1"/>
  <c r="O862" s="1"/>
  <c r="L865"/>
  <c r="K866"/>
  <c r="N866" s="1"/>
  <c r="O866" s="1"/>
  <c r="K865"/>
  <c r="L868"/>
  <c r="K871"/>
  <c r="N871" s="1"/>
  <c r="O871" s="1"/>
  <c r="K870"/>
  <c r="N870" s="1"/>
  <c r="O870" s="1"/>
  <c r="K869"/>
  <c r="N869" s="1"/>
  <c r="O869" s="1"/>
  <c r="K868"/>
  <c r="K867"/>
  <c r="N867" s="1"/>
  <c r="O867" s="1"/>
  <c r="L872"/>
  <c r="K876"/>
  <c r="N876" s="1"/>
  <c r="O876" s="1"/>
  <c r="K875"/>
  <c r="N875" s="1"/>
  <c r="O875" s="1"/>
  <c r="K874"/>
  <c r="N874" s="1"/>
  <c r="O874" s="1"/>
  <c r="K873"/>
  <c r="N873" s="1"/>
  <c r="O873" s="1"/>
  <c r="K872"/>
  <c r="K878"/>
  <c r="N878" s="1"/>
  <c r="O878" s="1"/>
  <c r="K877"/>
  <c r="N877" s="1"/>
  <c r="O877" s="1"/>
  <c r="K883"/>
  <c r="N883" s="1"/>
  <c r="O883" s="1"/>
  <c r="L879"/>
  <c r="K882"/>
  <c r="N882" s="1"/>
  <c r="O882" s="1"/>
  <c r="K881"/>
  <c r="N881" s="1"/>
  <c r="O881" s="1"/>
  <c r="K880"/>
  <c r="N880" s="1"/>
  <c r="O880" s="1"/>
  <c r="K879"/>
  <c r="L884"/>
  <c r="K886"/>
  <c r="N886" s="1"/>
  <c r="O886" s="1"/>
  <c r="K885"/>
  <c r="N885" s="1"/>
  <c r="O885" s="1"/>
  <c r="K884"/>
  <c r="K892"/>
  <c r="N892" s="1"/>
  <c r="O892" s="1"/>
  <c r="K891"/>
  <c r="N891" s="1"/>
  <c r="O891" s="1"/>
  <c r="K890"/>
  <c r="N890" s="1"/>
  <c r="O890" s="1"/>
  <c r="K889"/>
  <c r="N889" s="1"/>
  <c r="O889" s="1"/>
  <c r="K888"/>
  <c r="N888" s="1"/>
  <c r="O888" s="1"/>
  <c r="K887"/>
  <c r="N887" s="1"/>
  <c r="O887" s="1"/>
  <c r="L894"/>
  <c r="L893"/>
  <c r="K896"/>
  <c r="N896" s="1"/>
  <c r="O896" s="1"/>
  <c r="K895"/>
  <c r="N895" s="1"/>
  <c r="O895" s="1"/>
  <c r="K894"/>
  <c r="K893"/>
  <c r="N893" s="1"/>
  <c r="O893" s="1"/>
  <c r="L897"/>
  <c r="K899"/>
  <c r="N899" s="1"/>
  <c r="O899" s="1"/>
  <c r="K898"/>
  <c r="N898" s="1"/>
  <c r="O898" s="1"/>
  <c r="K897"/>
  <c r="L900"/>
  <c r="K900"/>
  <c r="K902"/>
  <c r="N902" s="1"/>
  <c r="O902" s="1"/>
  <c r="K901"/>
  <c r="N901" s="1"/>
  <c r="O901" s="1"/>
  <c r="L903"/>
  <c r="K906"/>
  <c r="N906" s="1"/>
  <c r="O906" s="1"/>
  <c r="K905"/>
  <c r="N905" s="1"/>
  <c r="O905" s="1"/>
  <c r="K904"/>
  <c r="N904" s="1"/>
  <c r="O904" s="1"/>
  <c r="K903"/>
  <c r="L907"/>
  <c r="K907"/>
  <c r="K910"/>
  <c r="N910" s="1"/>
  <c r="O910" s="1"/>
  <c r="K909"/>
  <c r="N909" s="1"/>
  <c r="O909" s="1"/>
  <c r="K908"/>
  <c r="N908" s="1"/>
  <c r="O908" s="1"/>
  <c r="L912"/>
  <c r="L911"/>
  <c r="K914"/>
  <c r="K913"/>
  <c r="K912"/>
  <c r="K911"/>
  <c r="L918"/>
  <c r="L917"/>
  <c r="L915"/>
  <c r="L916"/>
  <c r="K919"/>
  <c r="N919" s="1"/>
  <c r="O919" s="1"/>
  <c r="K918"/>
  <c r="K917"/>
  <c r="K915"/>
  <c r="K916"/>
  <c r="L920"/>
  <c r="K923"/>
  <c r="N923" s="1"/>
  <c r="O923" s="1"/>
  <c r="K922"/>
  <c r="N922" s="1"/>
  <c r="O922" s="1"/>
  <c r="K921"/>
  <c r="N921" s="1"/>
  <c r="O921" s="1"/>
  <c r="K920"/>
  <c r="L926"/>
  <c r="L924"/>
  <c r="K926"/>
  <c r="K925"/>
  <c r="N925" s="1"/>
  <c r="O925" s="1"/>
  <c r="K924"/>
  <c r="L927"/>
  <c r="K931"/>
  <c r="N931" s="1"/>
  <c r="O931" s="1"/>
  <c r="K930"/>
  <c r="N930" s="1"/>
  <c r="O930" s="1"/>
  <c r="K929"/>
  <c r="N929" s="1"/>
  <c r="O929" s="1"/>
  <c r="K928"/>
  <c r="N928" s="1"/>
  <c r="O928" s="1"/>
  <c r="K927"/>
  <c r="L933"/>
  <c r="L932"/>
  <c r="K934"/>
  <c r="N934" s="1"/>
  <c r="O934" s="1"/>
  <c r="K933"/>
  <c r="K932"/>
  <c r="L935"/>
  <c r="K938"/>
  <c r="N938" s="1"/>
  <c r="O938" s="1"/>
  <c r="K937"/>
  <c r="N937" s="1"/>
  <c r="O937" s="1"/>
  <c r="K936"/>
  <c r="N936" s="1"/>
  <c r="O936" s="1"/>
  <c r="K935"/>
  <c r="L939"/>
  <c r="L940"/>
  <c r="K941"/>
  <c r="N941" s="1"/>
  <c r="O941" s="1"/>
  <c r="K939"/>
  <c r="K940"/>
  <c r="L944"/>
  <c r="L943"/>
  <c r="K945"/>
  <c r="N945" s="1"/>
  <c r="O945" s="1"/>
  <c r="K944"/>
  <c r="K943"/>
  <c r="K942"/>
  <c r="N942" s="1"/>
  <c r="O942" s="1"/>
  <c r="K949"/>
  <c r="N949" s="1"/>
  <c r="O949" s="1"/>
  <c r="K948"/>
  <c r="N948" s="1"/>
  <c r="O948" s="1"/>
  <c r="K947"/>
  <c r="N947" s="1"/>
  <c r="O947" s="1"/>
  <c r="K946"/>
  <c r="N946" s="1"/>
  <c r="O946" s="1"/>
  <c r="L952"/>
  <c r="L950"/>
  <c r="K952"/>
  <c r="K951"/>
  <c r="N951" s="1"/>
  <c r="O951" s="1"/>
  <c r="K950"/>
  <c r="L955"/>
  <c r="K956"/>
  <c r="N956" s="1"/>
  <c r="O956" s="1"/>
  <c r="K955"/>
  <c r="K954"/>
  <c r="N954" s="1"/>
  <c r="O954" s="1"/>
  <c r="K953"/>
  <c r="N953" s="1"/>
  <c r="O953" s="1"/>
  <c r="L957"/>
  <c r="K957"/>
  <c r="K960"/>
  <c r="N960" s="1"/>
  <c r="O960" s="1"/>
  <c r="K959"/>
  <c r="N959" s="1"/>
  <c r="O959" s="1"/>
  <c r="K958"/>
  <c r="N958" s="1"/>
  <c r="O958" s="1"/>
  <c r="L962"/>
  <c r="L961"/>
  <c r="K964"/>
  <c r="N964" s="1"/>
  <c r="O964" s="1"/>
  <c r="K963"/>
  <c r="K962"/>
  <c r="N962" s="1"/>
  <c r="O962" s="1"/>
  <c r="K961"/>
  <c r="L965"/>
  <c r="K967"/>
  <c r="N967" s="1"/>
  <c r="O967" s="1"/>
  <c r="K966"/>
  <c r="N966" s="1"/>
  <c r="O966" s="1"/>
  <c r="L971"/>
  <c r="L968"/>
  <c r="K971"/>
  <c r="K970"/>
  <c r="N970" s="1"/>
  <c r="O970" s="1"/>
  <c r="K968"/>
  <c r="K969"/>
  <c r="N969" s="1"/>
  <c r="O969" s="1"/>
  <c r="K965"/>
  <c r="K975"/>
  <c r="N975" s="1"/>
  <c r="O975" s="1"/>
  <c r="K974"/>
  <c r="N974" s="1"/>
  <c r="O974" s="1"/>
  <c r="K973"/>
  <c r="N973" s="1"/>
  <c r="O973" s="1"/>
  <c r="K972"/>
  <c r="N972" s="1"/>
  <c r="O972" s="1"/>
  <c r="K977"/>
  <c r="N977" s="1"/>
  <c r="O977" s="1"/>
  <c r="K976"/>
  <c r="N976" s="1"/>
  <c r="O976" s="1"/>
  <c r="L978"/>
  <c r="K981"/>
  <c r="N981" s="1"/>
  <c r="O981" s="1"/>
  <c r="K980"/>
  <c r="N980" s="1"/>
  <c r="O980" s="1"/>
  <c r="K979"/>
  <c r="N979" s="1"/>
  <c r="O979" s="1"/>
  <c r="K978"/>
  <c r="N978" s="1"/>
  <c r="O978" s="1"/>
  <c r="K983"/>
  <c r="N983" s="1"/>
  <c r="O983" s="1"/>
  <c r="K982"/>
  <c r="N982" s="1"/>
  <c r="O982" s="1"/>
  <c r="L984"/>
  <c r="K985"/>
  <c r="N985" s="1"/>
  <c r="O985" s="1"/>
  <c r="K984"/>
  <c r="K989"/>
  <c r="N989" s="1"/>
  <c r="O989" s="1"/>
  <c r="L986"/>
  <c r="K988"/>
  <c r="N988" s="1"/>
  <c r="O988" s="1"/>
  <c r="K987"/>
  <c r="N987" s="1"/>
  <c r="O987" s="1"/>
  <c r="K986"/>
  <c r="K990"/>
  <c r="N990" s="1"/>
  <c r="O990" s="1"/>
  <c r="K992"/>
  <c r="N992" s="1"/>
  <c r="O992" s="1"/>
  <c r="K991"/>
  <c r="N991" s="1"/>
  <c r="O991" s="1"/>
  <c r="K994"/>
  <c r="N994" s="1"/>
  <c r="O994" s="1"/>
  <c r="K993"/>
  <c r="N993" s="1"/>
  <c r="O993" s="1"/>
  <c r="L995"/>
  <c r="K996"/>
  <c r="N996" s="1"/>
  <c r="O996" s="1"/>
  <c r="K995"/>
  <c r="K997"/>
  <c r="N997" s="1"/>
  <c r="O997" s="1"/>
  <c r="N1000"/>
  <c r="O1000" s="1"/>
  <c r="K999"/>
  <c r="N999" s="1"/>
  <c r="O999" s="1"/>
  <c r="N998"/>
  <c r="O998" s="1"/>
  <c r="K1001"/>
  <c r="L1002"/>
  <c r="K1002"/>
  <c r="N1003"/>
  <c r="O1003" s="1"/>
  <c r="N1004"/>
  <c r="O1004" s="1"/>
  <c r="K1006"/>
  <c r="N1006" s="1"/>
  <c r="O1006" s="1"/>
  <c r="K1005"/>
  <c r="N1005" s="1"/>
  <c r="O1005" s="1"/>
  <c r="K1007"/>
  <c r="K1008"/>
  <c r="L1009"/>
  <c r="K1010"/>
  <c r="K1009"/>
  <c r="L1011"/>
  <c r="K1011"/>
  <c r="L1014"/>
  <c r="K1014"/>
  <c r="K1015"/>
  <c r="N1015" s="1"/>
  <c r="O1015" s="1"/>
  <c r="L1016"/>
  <c r="K1017"/>
  <c r="N1017" s="1"/>
  <c r="O1017" s="1"/>
  <c r="K1016"/>
  <c r="K1018"/>
  <c r="N1018" s="1"/>
  <c r="O1018" s="1"/>
  <c r="K1020"/>
  <c r="L1019"/>
  <c r="K1019"/>
  <c r="L1021"/>
  <c r="K1021"/>
  <c r="L1022"/>
  <c r="K1023"/>
  <c r="K1022"/>
  <c r="K1025"/>
  <c r="N1025" s="1"/>
  <c r="O1025" s="1"/>
  <c r="L1024"/>
  <c r="K1024"/>
  <c r="K1028"/>
  <c r="N1028" s="1"/>
  <c r="O1028" s="1"/>
  <c r="L1026"/>
  <c r="K1027"/>
  <c r="N1027" s="1"/>
  <c r="O1027" s="1"/>
  <c r="K1026"/>
  <c r="K1029"/>
  <c r="L1030"/>
  <c r="K1032"/>
  <c r="N1032" s="1"/>
  <c r="O1032" s="1"/>
  <c r="K1031"/>
  <c r="N1031" s="1"/>
  <c r="O1031" s="1"/>
  <c r="K1030"/>
  <c r="K1034"/>
  <c r="N1034" s="1"/>
  <c r="O1034" s="1"/>
  <c r="K1033"/>
  <c r="N1033" s="1"/>
  <c r="O1033" s="1"/>
  <c r="N1036"/>
  <c r="O1036" s="1"/>
  <c r="K1035"/>
  <c r="N1035" s="1"/>
  <c r="O1035" s="1"/>
  <c r="L1037"/>
  <c r="K1038"/>
  <c r="N1038" s="1"/>
  <c r="O1038" s="1"/>
  <c r="K1037"/>
  <c r="K1041"/>
  <c r="N1041" s="1"/>
  <c r="O1041" s="1"/>
  <c r="K1040"/>
  <c r="N1040" s="1"/>
  <c r="O1040" s="1"/>
  <c r="K1039"/>
  <c r="L1042"/>
  <c r="K1046"/>
  <c r="K1045"/>
  <c r="K1044"/>
  <c r="N1044" s="1"/>
  <c r="O1044" s="1"/>
  <c r="K1043"/>
  <c r="N1043" s="1"/>
  <c r="O1043" s="1"/>
  <c r="K1042"/>
  <c r="L1047"/>
  <c r="K1048"/>
  <c r="N1048" s="1"/>
  <c r="O1048" s="1"/>
  <c r="K1047"/>
  <c r="K1049"/>
  <c r="N1049" s="1"/>
  <c r="O1049" s="1"/>
  <c r="L1051"/>
  <c r="K1053"/>
  <c r="N1053" s="1"/>
  <c r="O1053" s="1"/>
  <c r="K1051"/>
  <c r="K1052"/>
  <c r="N1052" s="1"/>
  <c r="O1052" s="1"/>
  <c r="K1056"/>
  <c r="N1056" s="1"/>
  <c r="O1056" s="1"/>
  <c r="N1055"/>
  <c r="O1055" s="1"/>
  <c r="K1054"/>
  <c r="N1054" s="1"/>
  <c r="O1054" s="1"/>
  <c r="K1057"/>
  <c r="N1057" s="1"/>
  <c r="O1057" s="1"/>
  <c r="K1059"/>
  <c r="N1059" s="1"/>
  <c r="O1059" s="1"/>
  <c r="K1058"/>
  <c r="N1058" s="1"/>
  <c r="O1058" s="1"/>
  <c r="N1063"/>
  <c r="O1063" s="1"/>
  <c r="K1062"/>
  <c r="N1062" s="1"/>
  <c r="O1062" s="1"/>
  <c r="K1061"/>
  <c r="K1060"/>
  <c r="L1064"/>
  <c r="K1065"/>
  <c r="N1065" s="1"/>
  <c r="O1065" s="1"/>
  <c r="K1064"/>
  <c r="K1067"/>
  <c r="N1067" s="1"/>
  <c r="O1067" s="1"/>
  <c r="K1066"/>
  <c r="N1066" s="1"/>
  <c r="O1066" s="1"/>
  <c r="K1069"/>
  <c r="N1069" s="1"/>
  <c r="O1069" s="1"/>
  <c r="K1068"/>
  <c r="N1068" s="1"/>
  <c r="O1068" s="1"/>
  <c r="K1072"/>
  <c r="N1072" s="1"/>
  <c r="O1072" s="1"/>
  <c r="K1071"/>
  <c r="N1071" s="1"/>
  <c r="O1071" s="1"/>
  <c r="K1070"/>
  <c r="N1070" s="1"/>
  <c r="O1070" s="1"/>
  <c r="K1074"/>
  <c r="N1074" s="1"/>
  <c r="O1074" s="1"/>
  <c r="K1073"/>
  <c r="N1073" s="1"/>
  <c r="O1073" s="1"/>
  <c r="K1076"/>
  <c r="N1076" s="1"/>
  <c r="O1076" s="1"/>
  <c r="K1075"/>
  <c r="N1075" s="1"/>
  <c r="O1075" s="1"/>
  <c r="K1078"/>
  <c r="N1078" s="1"/>
  <c r="O1078" s="1"/>
  <c r="K1077"/>
  <c r="N1077" s="1"/>
  <c r="O1077" s="1"/>
  <c r="L1079"/>
  <c r="K1081"/>
  <c r="N1081" s="1"/>
  <c r="O1081" s="1"/>
  <c r="K1080"/>
  <c r="N1080" s="1"/>
  <c r="O1080" s="1"/>
  <c r="K1079"/>
  <c r="N1082"/>
  <c r="O1082" s="1"/>
  <c r="K1083"/>
  <c r="L1084"/>
  <c r="K1084"/>
  <c r="L1085"/>
  <c r="K1087"/>
  <c r="K1086"/>
  <c r="K1085"/>
  <c r="N24" l="1"/>
  <c r="O24" s="1"/>
  <c r="N25"/>
  <c r="O25" s="1"/>
  <c r="N28"/>
  <c r="O28" s="1"/>
  <c r="N44"/>
  <c r="O44" s="1"/>
  <c r="N46"/>
  <c r="O46" s="1"/>
  <c r="N49"/>
  <c r="O49" s="1"/>
  <c r="N66"/>
  <c r="O66" s="1"/>
  <c r="N51"/>
  <c r="O51" s="1"/>
  <c r="N53"/>
  <c r="O53" s="1"/>
  <c r="N61"/>
  <c r="O61" s="1"/>
  <c r="N91"/>
  <c r="O91" s="1"/>
  <c r="N59"/>
  <c r="O59" s="1"/>
  <c r="N78"/>
  <c r="O78" s="1"/>
  <c r="N367"/>
  <c r="O367" s="1"/>
  <c r="N191"/>
  <c r="O191" s="1"/>
  <c r="N523"/>
  <c r="O523" s="1"/>
  <c r="N253"/>
  <c r="O253" s="1"/>
  <c r="N127"/>
  <c r="O127" s="1"/>
  <c r="N82"/>
  <c r="O82" s="1"/>
  <c r="N545"/>
  <c r="O545" s="1"/>
  <c r="N92"/>
  <c r="O92" s="1"/>
  <c r="N136"/>
  <c r="O136" s="1"/>
  <c r="N589"/>
  <c r="O589" s="1"/>
  <c r="N546"/>
  <c r="O546" s="1"/>
  <c r="N309"/>
  <c r="O309" s="1"/>
  <c r="N80"/>
  <c r="O80" s="1"/>
  <c r="N611"/>
  <c r="O611" s="1"/>
  <c r="N510"/>
  <c r="O510" s="1"/>
  <c r="N451"/>
  <c r="O451" s="1"/>
  <c r="N252"/>
  <c r="O252" s="1"/>
  <c r="N69"/>
  <c r="O69" s="1"/>
  <c r="N70"/>
  <c r="O70" s="1"/>
  <c r="N73"/>
  <c r="O73" s="1"/>
  <c r="N106"/>
  <c r="O106" s="1"/>
  <c r="N109"/>
  <c r="O109" s="1"/>
  <c r="N119"/>
  <c r="O119" s="1"/>
  <c r="N120"/>
  <c r="O120" s="1"/>
  <c r="N122"/>
  <c r="O122" s="1"/>
  <c r="N123"/>
  <c r="O123" s="1"/>
  <c r="N126"/>
  <c r="O126" s="1"/>
  <c r="N134"/>
  <c r="O134" s="1"/>
  <c r="N135"/>
  <c r="O135" s="1"/>
  <c r="N166"/>
  <c r="O166" s="1"/>
  <c r="N157"/>
  <c r="O157" s="1"/>
  <c r="N395"/>
  <c r="O395" s="1"/>
  <c r="N274"/>
  <c r="O274" s="1"/>
  <c r="N268"/>
  <c r="O268" s="1"/>
  <c r="N279"/>
  <c r="O279" s="1"/>
  <c r="N245"/>
  <c r="O245" s="1"/>
  <c r="N180"/>
  <c r="O180" s="1"/>
  <c r="N154"/>
  <c r="O154" s="1"/>
  <c r="N161"/>
  <c r="O161" s="1"/>
  <c r="N162"/>
  <c r="O162" s="1"/>
  <c r="N163"/>
  <c r="O163" s="1"/>
  <c r="N164"/>
  <c r="O164" s="1"/>
  <c r="N165"/>
  <c r="O165" s="1"/>
  <c r="N168"/>
  <c r="O168" s="1"/>
  <c r="N169"/>
  <c r="O169" s="1"/>
  <c r="N171"/>
  <c r="O171" s="1"/>
  <c r="N202"/>
  <c r="O202" s="1"/>
  <c r="N203"/>
  <c r="O203" s="1"/>
  <c r="N204"/>
  <c r="O204" s="1"/>
  <c r="N205"/>
  <c r="O205" s="1"/>
  <c r="N206"/>
  <c r="O206" s="1"/>
  <c r="N250"/>
  <c r="O250" s="1"/>
  <c r="N251"/>
  <c r="O251" s="1"/>
  <c r="N275"/>
  <c r="O275" s="1"/>
  <c r="N276"/>
  <c r="O276" s="1"/>
  <c r="N277"/>
  <c r="O277" s="1"/>
  <c r="N278"/>
  <c r="O278" s="1"/>
  <c r="N319"/>
  <c r="O319" s="1"/>
  <c r="N316"/>
  <c r="O316" s="1"/>
  <c r="N317"/>
  <c r="O317" s="1"/>
  <c r="N318"/>
  <c r="O318" s="1"/>
  <c r="N322"/>
  <c r="O322" s="1"/>
  <c r="N323"/>
  <c r="O323" s="1"/>
  <c r="N324"/>
  <c r="O324" s="1"/>
  <c r="N325"/>
  <c r="O325" s="1"/>
  <c r="N378"/>
  <c r="O378" s="1"/>
  <c r="N366"/>
  <c r="O366" s="1"/>
  <c r="N340"/>
  <c r="O340" s="1"/>
  <c r="N335"/>
  <c r="O335" s="1"/>
  <c r="N326"/>
  <c r="O326" s="1"/>
  <c r="N398"/>
  <c r="O398" s="1"/>
  <c r="N389"/>
  <c r="O389" s="1"/>
  <c r="N349"/>
  <c r="O349" s="1"/>
  <c r="N333"/>
  <c r="O333" s="1"/>
  <c r="N334"/>
  <c r="O334" s="1"/>
  <c r="N337"/>
  <c r="O337" s="1"/>
  <c r="N338"/>
  <c r="O338" s="1"/>
  <c r="N339"/>
  <c r="O339" s="1"/>
  <c r="N342"/>
  <c r="O342" s="1"/>
  <c r="N343"/>
  <c r="O343" s="1"/>
  <c r="N344"/>
  <c r="O344" s="1"/>
  <c r="N345"/>
  <c r="O345" s="1"/>
  <c r="N346"/>
  <c r="O346" s="1"/>
  <c r="N347"/>
  <c r="O347" s="1"/>
  <c r="N348"/>
  <c r="O348" s="1"/>
  <c r="N353"/>
  <c r="O353" s="1"/>
  <c r="N354"/>
  <c r="O354" s="1"/>
  <c r="N351"/>
  <c r="O351" s="1"/>
  <c r="N352"/>
  <c r="O352" s="1"/>
  <c r="N355"/>
  <c r="O355" s="1"/>
  <c r="N356"/>
  <c r="O356" s="1"/>
  <c r="N357"/>
  <c r="O357" s="1"/>
  <c r="N360"/>
  <c r="O360" s="1"/>
  <c r="N361"/>
  <c r="O361" s="1"/>
  <c r="N358"/>
  <c r="O358" s="1"/>
  <c r="N359"/>
  <c r="O359" s="1"/>
  <c r="N362"/>
  <c r="O362" s="1"/>
  <c r="N363"/>
  <c r="O363" s="1"/>
  <c r="N364"/>
  <c r="O364" s="1"/>
  <c r="N365"/>
  <c r="O365" s="1"/>
  <c r="N491"/>
  <c r="O491" s="1"/>
  <c r="N474"/>
  <c r="O474" s="1"/>
  <c r="N461"/>
  <c r="O461" s="1"/>
  <c r="N458"/>
  <c r="O458" s="1"/>
  <c r="N394"/>
  <c r="O394" s="1"/>
  <c r="N385"/>
  <c r="O385" s="1"/>
  <c r="N386"/>
  <c r="O386" s="1"/>
  <c r="N388"/>
  <c r="O388" s="1"/>
  <c r="N392"/>
  <c r="O392" s="1"/>
  <c r="N393"/>
  <c r="O393" s="1"/>
  <c r="N397"/>
  <c r="O397" s="1"/>
  <c r="N437"/>
  <c r="O437" s="1"/>
  <c r="N405"/>
  <c r="O405" s="1"/>
  <c r="N407"/>
  <c r="O407" s="1"/>
  <c r="N406"/>
  <c r="O406" s="1"/>
  <c r="N418"/>
  <c r="O418" s="1"/>
  <c r="N416"/>
  <c r="O416" s="1"/>
  <c r="N449"/>
  <c r="O449" s="1"/>
  <c r="N444"/>
  <c r="O444" s="1"/>
  <c r="N441"/>
  <c r="O441" s="1"/>
  <c r="N443"/>
  <c r="O443" s="1"/>
  <c r="N453"/>
  <c r="O453" s="1"/>
  <c r="N457"/>
  <c r="O457" s="1"/>
  <c r="N459"/>
  <c r="O459" s="1"/>
  <c r="N460"/>
  <c r="O460" s="1"/>
  <c r="N472"/>
  <c r="O472" s="1"/>
  <c r="N479"/>
  <c r="O479" s="1"/>
  <c r="N480"/>
  <c r="O480" s="1"/>
  <c r="N518"/>
  <c r="O518" s="1"/>
  <c r="N486"/>
  <c r="O486" s="1"/>
  <c r="N488"/>
  <c r="O488" s="1"/>
  <c r="N489"/>
  <c r="O489" s="1"/>
  <c r="N490"/>
  <c r="O490" s="1"/>
  <c r="N508"/>
  <c r="O508" s="1"/>
  <c r="N492"/>
  <c r="O492" s="1"/>
  <c r="N524"/>
  <c r="O524" s="1"/>
  <c r="N513"/>
  <c r="O513" s="1"/>
  <c r="N509"/>
  <c r="O509" s="1"/>
  <c r="N505"/>
  <c r="O505" s="1"/>
  <c r="N506"/>
  <c r="O506" s="1"/>
  <c r="N512"/>
  <c r="O512" s="1"/>
  <c r="N520"/>
  <c r="O520" s="1"/>
  <c r="N526"/>
  <c r="O526" s="1"/>
  <c r="N540"/>
  <c r="O540" s="1"/>
  <c r="N537"/>
  <c r="O537" s="1"/>
  <c r="N539"/>
  <c r="O539" s="1"/>
  <c r="N542"/>
  <c r="O542" s="1"/>
  <c r="N543"/>
  <c r="O543" s="1"/>
  <c r="N544"/>
  <c r="O544" s="1"/>
  <c r="N579"/>
  <c r="O579" s="1"/>
  <c r="N568"/>
  <c r="O568" s="1"/>
  <c r="N552"/>
  <c r="O552" s="1"/>
  <c r="N548"/>
  <c r="O548" s="1"/>
  <c r="N549"/>
  <c r="O549" s="1"/>
  <c r="N550"/>
  <c r="O550" s="1"/>
  <c r="N551"/>
  <c r="O551" s="1"/>
  <c r="N554"/>
  <c r="O554" s="1"/>
  <c r="N555"/>
  <c r="O555" s="1"/>
  <c r="N569"/>
  <c r="O569" s="1"/>
  <c r="N556"/>
  <c r="O556" s="1"/>
  <c r="N557"/>
  <c r="O557" s="1"/>
  <c r="N559"/>
  <c r="O559" s="1"/>
  <c r="N573"/>
  <c r="O573" s="1"/>
  <c r="N574"/>
  <c r="O574" s="1"/>
  <c r="N575"/>
  <c r="O575" s="1"/>
  <c r="N576"/>
  <c r="O576" s="1"/>
  <c r="N577"/>
  <c r="O577" s="1"/>
  <c r="N601"/>
  <c r="O601" s="1"/>
  <c r="N578"/>
  <c r="O578" s="1"/>
  <c r="N588"/>
  <c r="O588" s="1"/>
  <c r="N604"/>
  <c r="O604" s="1"/>
  <c r="N606"/>
  <c r="O606" s="1"/>
  <c r="N598"/>
  <c r="O598" s="1"/>
  <c r="N600"/>
  <c r="O600" s="1"/>
  <c r="N613"/>
  <c r="O613" s="1"/>
  <c r="N651"/>
  <c r="O651" s="1"/>
  <c r="N607"/>
  <c r="O607" s="1"/>
  <c r="N610"/>
  <c r="O610" s="1"/>
  <c r="N618"/>
  <c r="O618" s="1"/>
  <c r="N626"/>
  <c r="O626" s="1"/>
  <c r="N623"/>
  <c r="O623" s="1"/>
  <c r="N624"/>
  <c r="O624" s="1"/>
  <c r="N662"/>
  <c r="O662" s="1"/>
  <c r="N650"/>
  <c r="O650" s="1"/>
  <c r="N632"/>
  <c r="O632" s="1"/>
  <c r="N630"/>
  <c r="O630" s="1"/>
  <c r="N631"/>
  <c r="O631" s="1"/>
  <c r="N648"/>
  <c r="O648" s="1"/>
  <c r="N649"/>
  <c r="O649" s="1"/>
  <c r="N653"/>
  <c r="O653" s="1"/>
  <c r="N654"/>
  <c r="O654" s="1"/>
  <c r="N655"/>
  <c r="O655" s="1"/>
  <c r="N656"/>
  <c r="O656" s="1"/>
  <c r="N659"/>
  <c r="O659" s="1"/>
  <c r="N658"/>
  <c r="O658" s="1"/>
  <c r="N657"/>
  <c r="O657" s="1"/>
  <c r="N661"/>
  <c r="O661" s="1"/>
  <c r="N678"/>
  <c r="O678" s="1"/>
  <c r="N668"/>
  <c r="O668" s="1"/>
  <c r="N667"/>
  <c r="O667" s="1"/>
  <c r="N688"/>
  <c r="O688" s="1"/>
  <c r="N695"/>
  <c r="O695" s="1"/>
  <c r="N696"/>
  <c r="O696" s="1"/>
  <c r="N671"/>
  <c r="O671" s="1"/>
  <c r="N670"/>
  <c r="O670" s="1"/>
  <c r="N672"/>
  <c r="O672" s="1"/>
  <c r="N673"/>
  <c r="O673" s="1"/>
  <c r="N674"/>
  <c r="O674" s="1"/>
  <c r="N675"/>
  <c r="O675" s="1"/>
  <c r="N677"/>
  <c r="O677" s="1"/>
  <c r="N679"/>
  <c r="O679" s="1"/>
  <c r="O683"/>
  <c r="N687"/>
  <c r="O687" s="1"/>
  <c r="N700"/>
  <c r="O700" s="1"/>
  <c r="N701"/>
  <c r="O701" s="1"/>
  <c r="N702"/>
  <c r="O702" s="1"/>
  <c r="N703"/>
  <c r="O703" s="1"/>
  <c r="N706"/>
  <c r="O706" s="1"/>
  <c r="N746"/>
  <c r="O746" s="1"/>
  <c r="N732"/>
  <c r="O732" s="1"/>
  <c r="N714"/>
  <c r="O714" s="1"/>
  <c r="N704"/>
  <c r="O704" s="1"/>
  <c r="N711"/>
  <c r="O711" s="1"/>
  <c r="N710"/>
  <c r="O710" s="1"/>
  <c r="N713"/>
  <c r="O713" s="1"/>
  <c r="N724"/>
  <c r="O724" s="1"/>
  <c r="N725"/>
  <c r="O725" s="1"/>
  <c r="N733"/>
  <c r="O733" s="1"/>
  <c r="N745"/>
  <c r="O745" s="1"/>
  <c r="N750"/>
  <c r="O750" s="1"/>
  <c r="N752"/>
  <c r="O752" s="1"/>
  <c r="N758"/>
  <c r="O758" s="1"/>
  <c r="N759"/>
  <c r="O759" s="1"/>
  <c r="N768"/>
  <c r="O768" s="1"/>
  <c r="N765"/>
  <c r="O765" s="1"/>
  <c r="N772"/>
  <c r="O772" s="1"/>
  <c r="N771"/>
  <c r="O771" s="1"/>
  <c r="N775"/>
  <c r="O775" s="1"/>
  <c r="N776"/>
  <c r="O776" s="1"/>
  <c r="N784"/>
  <c r="O784" s="1"/>
  <c r="N783"/>
  <c r="O783" s="1"/>
  <c r="N787"/>
  <c r="O787" s="1"/>
  <c r="N789"/>
  <c r="O789" s="1"/>
  <c r="N791"/>
  <c r="O791" s="1"/>
  <c r="N792"/>
  <c r="O792" s="1"/>
  <c r="N798"/>
  <c r="O798" s="1"/>
  <c r="N796"/>
  <c r="O796" s="1"/>
  <c r="N802"/>
  <c r="O802" s="1"/>
  <c r="N801"/>
  <c r="O801" s="1"/>
  <c r="N806"/>
  <c r="O806" s="1"/>
  <c r="N805"/>
  <c r="O805" s="1"/>
  <c r="N813"/>
  <c r="O813" s="1"/>
  <c r="N817"/>
  <c r="O817" s="1"/>
  <c r="N832"/>
  <c r="O832" s="1"/>
  <c r="N831"/>
  <c r="O831" s="1"/>
  <c r="N835"/>
  <c r="O835" s="1"/>
  <c r="N838"/>
  <c r="O838" s="1"/>
  <c r="N843"/>
  <c r="O843" s="1"/>
  <c r="N851"/>
  <c r="O851" s="1"/>
  <c r="N847"/>
  <c r="O847" s="1"/>
  <c r="N848"/>
  <c r="O848" s="1"/>
  <c r="N852"/>
  <c r="O852" s="1"/>
  <c r="N855"/>
  <c r="O855" s="1"/>
  <c r="N854"/>
  <c r="O854" s="1"/>
  <c r="N858"/>
  <c r="O858" s="1"/>
  <c r="N861"/>
  <c r="O861" s="1"/>
  <c r="N865"/>
  <c r="O865" s="1"/>
  <c r="N868"/>
  <c r="O868" s="1"/>
  <c r="N872"/>
  <c r="O872" s="1"/>
  <c r="N879"/>
  <c r="O879" s="1"/>
  <c r="N884"/>
  <c r="O884" s="1"/>
  <c r="N894"/>
  <c r="O894" s="1"/>
  <c r="N903"/>
  <c r="O903" s="1"/>
  <c r="N900"/>
  <c r="O900" s="1"/>
  <c r="N897"/>
  <c r="O897" s="1"/>
  <c r="N907"/>
  <c r="O907" s="1"/>
  <c r="N926"/>
  <c r="O926" s="1"/>
  <c r="N913"/>
  <c r="O913" s="1"/>
  <c r="N912"/>
  <c r="O912" s="1"/>
  <c r="N914"/>
  <c r="O914" s="1"/>
  <c r="N911"/>
  <c r="O911" s="1"/>
  <c r="N918"/>
  <c r="O918" s="1"/>
  <c r="N917"/>
  <c r="O917" s="1"/>
  <c r="N915"/>
  <c r="O915" s="1"/>
  <c r="N927"/>
  <c r="O927" s="1"/>
  <c r="N920"/>
  <c r="O920" s="1"/>
  <c r="N916"/>
  <c r="O916" s="1"/>
  <c r="N924"/>
  <c r="O924" s="1"/>
  <c r="N933"/>
  <c r="O933" s="1"/>
  <c r="N932"/>
  <c r="O932" s="1"/>
  <c r="N935"/>
  <c r="O935" s="1"/>
  <c r="N943"/>
  <c r="O943" s="1"/>
  <c r="N940"/>
  <c r="O940" s="1"/>
  <c r="N939"/>
  <c r="O939" s="1"/>
  <c r="N944"/>
  <c r="O944" s="1"/>
  <c r="N952"/>
  <c r="O952" s="1"/>
  <c r="N950"/>
  <c r="O950" s="1"/>
  <c r="N955"/>
  <c r="O955" s="1"/>
  <c r="N957"/>
  <c r="O957" s="1"/>
  <c r="N963"/>
  <c r="O963" s="1"/>
  <c r="N961"/>
  <c r="O961" s="1"/>
  <c r="N965"/>
  <c r="O965" s="1"/>
  <c r="N971"/>
  <c r="O971" s="1"/>
  <c r="N968"/>
  <c r="O968" s="1"/>
  <c r="N986"/>
  <c r="O986" s="1"/>
  <c r="N984"/>
  <c r="O984" s="1"/>
  <c r="N995"/>
  <c r="O995" s="1"/>
  <c r="N1001"/>
  <c r="O1001" s="1"/>
  <c r="N1002"/>
  <c r="O1002" s="1"/>
  <c r="N1008"/>
  <c r="O1008" s="1"/>
  <c r="N1007"/>
  <c r="O1007" s="1"/>
  <c r="N1010"/>
  <c r="O1010" s="1"/>
  <c r="N1009"/>
  <c r="O1009" s="1"/>
  <c r="N1011"/>
  <c r="O1011" s="1"/>
  <c r="N1013"/>
  <c r="O1013" s="1"/>
  <c r="N1012"/>
  <c r="O1012" s="1"/>
  <c r="N1014"/>
  <c r="O1014" s="1"/>
  <c r="N1016"/>
  <c r="O1016" s="1"/>
  <c r="N1019"/>
  <c r="O1019" s="1"/>
  <c r="N1020"/>
  <c r="O1020" s="1"/>
  <c r="N1021"/>
  <c r="O1021" s="1"/>
  <c r="N1023"/>
  <c r="O1023" s="1"/>
  <c r="N1022"/>
  <c r="O1022" s="1"/>
  <c r="N1024"/>
  <c r="O1024" s="1"/>
  <c r="N1026"/>
  <c r="O1026" s="1"/>
  <c r="N1029"/>
  <c r="O1029" s="1"/>
  <c r="N1030"/>
  <c r="O1030" s="1"/>
  <c r="N1037"/>
  <c r="O1037" s="1"/>
  <c r="N1039"/>
  <c r="O1039" s="1"/>
  <c r="N1045"/>
  <c r="O1045" s="1"/>
  <c r="N1042"/>
  <c r="O1042" s="1"/>
  <c r="N1046"/>
  <c r="O1046" s="1"/>
  <c r="N1047"/>
  <c r="O1047" s="1"/>
  <c r="N1050"/>
  <c r="O1050" s="1"/>
  <c r="N1051"/>
  <c r="O1051" s="1"/>
  <c r="N1061"/>
  <c r="O1061" s="1"/>
  <c r="N1060"/>
  <c r="O1060" s="1"/>
  <c r="N1064"/>
  <c r="O1064" s="1"/>
  <c r="N1079"/>
  <c r="O1079" s="1"/>
  <c r="N1084"/>
  <c r="O1084" s="1"/>
  <c r="N1083"/>
  <c r="O1083" s="1"/>
  <c r="N1087"/>
  <c r="O1087" s="1"/>
  <c r="N1086"/>
  <c r="O1086" s="1"/>
  <c r="N1085"/>
  <c r="O1085" s="1"/>
  <c r="L1088" l="1"/>
  <c r="K1088"/>
  <c r="N1089"/>
  <c r="O1089" s="1"/>
  <c r="N1090"/>
  <c r="O1090" s="1"/>
  <c r="L1091"/>
  <c r="K1091"/>
  <c r="K1092"/>
  <c r="N1092" s="1"/>
  <c r="O1092" s="1"/>
  <c r="K1093"/>
  <c r="N1093" s="1"/>
  <c r="O1093" s="1"/>
  <c r="N1094"/>
  <c r="O1094" s="1"/>
  <c r="L1095"/>
  <c r="K1095"/>
  <c r="N1096"/>
  <c r="O1096" s="1"/>
  <c r="N1097"/>
  <c r="O1097" s="1"/>
  <c r="L1098"/>
  <c r="K1099"/>
  <c r="N1099" s="1"/>
  <c r="O1099" s="1"/>
  <c r="K1098"/>
  <c r="K1100"/>
  <c r="N1100" s="1"/>
  <c r="O1100" s="1"/>
  <c r="K1101"/>
  <c r="N1101" s="1"/>
  <c r="O1101" s="1"/>
  <c r="K1102"/>
  <c r="N1102" s="1"/>
  <c r="O1102" s="1"/>
  <c r="K1103"/>
  <c r="N1103" s="1"/>
  <c r="O1103" s="1"/>
  <c r="K1104"/>
  <c r="N1104" s="1"/>
  <c r="O1104" s="1"/>
  <c r="K1105"/>
  <c r="N1105" s="1"/>
  <c r="O1105" s="1"/>
  <c r="K1106"/>
  <c r="N1106" s="1"/>
  <c r="O1106" s="1"/>
  <c r="K1107"/>
  <c r="N1107" s="1"/>
  <c r="O1107" s="1"/>
  <c r="K1108"/>
  <c r="N1108" s="1"/>
  <c r="O1108" s="1"/>
  <c r="K1152"/>
  <c r="N1152" s="1"/>
  <c r="O1152" s="1"/>
  <c r="K1153"/>
  <c r="K1109"/>
  <c r="N1109" s="1"/>
  <c r="O1109" s="1"/>
  <c r="K1110"/>
  <c r="N1110" s="1"/>
  <c r="O1110" s="1"/>
  <c r="K1112"/>
  <c r="N1112" s="1"/>
  <c r="O1112" s="1"/>
  <c r="N1111"/>
  <c r="O1111" s="1"/>
  <c r="K1113"/>
  <c r="N1113" s="1"/>
  <c r="O1113" s="1"/>
  <c r="K1114"/>
  <c r="N1114" s="1"/>
  <c r="O1114" s="1"/>
  <c r="K1115"/>
  <c r="N1115" s="1"/>
  <c r="O1115" s="1"/>
  <c r="K1116"/>
  <c r="N1116" s="1"/>
  <c r="O1116" s="1"/>
  <c r="K1117"/>
  <c r="N1117" s="1"/>
  <c r="O1117" s="1"/>
  <c r="K1118"/>
  <c r="N1118" s="1"/>
  <c r="O1118" s="1"/>
  <c r="L1121"/>
  <c r="K1121"/>
  <c r="K1122"/>
  <c r="N1122" s="1"/>
  <c r="O1122" s="1"/>
  <c r="K1119"/>
  <c r="K1120"/>
  <c r="K1123"/>
  <c r="K1124"/>
  <c r="L1125"/>
  <c r="K1125"/>
  <c r="L1126"/>
  <c r="K1126"/>
  <c r="K1128"/>
  <c r="N1128" s="1"/>
  <c r="O1128" s="1"/>
  <c r="K1127"/>
  <c r="N1127" s="1"/>
  <c r="O1127" s="1"/>
  <c r="K1129"/>
  <c r="N1129" s="1"/>
  <c r="O1129" s="1"/>
  <c r="K1130"/>
  <c r="N1130" s="1"/>
  <c r="O1130" s="1"/>
  <c r="K1131"/>
  <c r="N1131" s="1"/>
  <c r="O1131" s="1"/>
  <c r="K1132"/>
  <c r="N1132" s="1"/>
  <c r="O1132" s="1"/>
  <c r="K1133"/>
  <c r="N1133" s="1"/>
  <c r="O1133" s="1"/>
  <c r="K1134"/>
  <c r="N1134" s="1"/>
  <c r="O1134" s="1"/>
  <c r="K1135"/>
  <c r="N1135" s="1"/>
  <c r="O1135" s="1"/>
  <c r="K1136"/>
  <c r="N1136" s="1"/>
  <c r="O1136" s="1"/>
  <c r="K1137"/>
  <c r="N1137" s="1"/>
  <c r="O1137" s="1"/>
  <c r="L1138"/>
  <c r="K1138"/>
  <c r="L1139"/>
  <c r="K1139"/>
  <c r="L1140"/>
  <c r="K1140"/>
  <c r="K1141"/>
  <c r="K1142"/>
  <c r="N1142" s="1"/>
  <c r="O1142" s="1"/>
  <c r="K1143"/>
  <c r="K1144"/>
  <c r="L1145"/>
  <c r="K1145"/>
  <c r="K1146"/>
  <c r="N1146" s="1"/>
  <c r="O1146" s="1"/>
  <c r="L1149"/>
  <c r="K1147"/>
  <c r="K1148"/>
  <c r="L1150"/>
  <c r="K1150"/>
  <c r="K1149"/>
  <c r="L1151"/>
  <c r="K1151"/>
  <c r="L1154"/>
  <c r="K1154"/>
  <c r="K1155"/>
  <c r="N1155" s="1"/>
  <c r="O1155" s="1"/>
  <c r="K1156"/>
  <c r="N1156" s="1"/>
  <c r="O1156" s="1"/>
  <c r="K1157"/>
  <c r="N1157" s="1"/>
  <c r="O1157" s="1"/>
  <c r="K1158"/>
  <c r="N1158" s="1"/>
  <c r="O1158" s="1"/>
  <c r="K1159"/>
  <c r="N1159" s="1"/>
  <c r="O1159" s="1"/>
  <c r="K1160"/>
  <c r="N1160" s="1"/>
  <c r="O1160" s="1"/>
  <c r="L1161"/>
  <c r="K1161"/>
  <c r="L1163"/>
  <c r="L1162"/>
  <c r="K1162"/>
  <c r="K1163"/>
  <c r="K1164"/>
  <c r="N1164" s="1"/>
  <c r="O1164" s="1"/>
  <c r="N1165"/>
  <c r="O1165" s="1"/>
  <c r="K1166"/>
  <c r="K1167"/>
  <c r="K1168"/>
  <c r="L1169"/>
  <c r="K1169"/>
  <c r="L1235"/>
  <c r="L1227"/>
  <c r="L1230"/>
  <c r="L1217"/>
  <c r="L1218"/>
  <c r="L1219"/>
  <c r="L1213"/>
  <c r="L1214"/>
  <c r="L1215"/>
  <c r="L1209"/>
  <c r="L1208"/>
  <c r="L1207"/>
  <c r="L1206"/>
  <c r="L1200"/>
  <c r="L1203"/>
  <c r="L1198"/>
  <c r="L1197"/>
  <c r="L1187"/>
  <c r="L1189"/>
  <c r="L1192"/>
  <c r="L1183"/>
  <c r="L1170"/>
  <c r="L1384"/>
  <c r="K1170"/>
  <c r="K1171"/>
  <c r="N1171" s="1"/>
  <c r="O1171" s="1"/>
  <c r="K1172"/>
  <c r="N1172" s="1"/>
  <c r="O1172" s="1"/>
  <c r="K1173"/>
  <c r="N1173" s="1"/>
  <c r="O1173" s="1"/>
  <c r="K1174"/>
  <c r="N1174" s="1"/>
  <c r="O1174" s="1"/>
  <c r="K1175"/>
  <c r="N1175" s="1"/>
  <c r="O1175" s="1"/>
  <c r="K1176"/>
  <c r="N1176" s="1"/>
  <c r="O1176" s="1"/>
  <c r="K1177"/>
  <c r="N1177" s="1"/>
  <c r="O1177" s="1"/>
  <c r="K1178"/>
  <c r="N1178" s="1"/>
  <c r="O1178" s="1"/>
  <c r="K1179"/>
  <c r="N1179" s="1"/>
  <c r="O1179" s="1"/>
  <c r="K1180"/>
  <c r="N1180" s="1"/>
  <c r="O1180" s="1"/>
  <c r="K1181"/>
  <c r="N1181" s="1"/>
  <c r="O1181" s="1"/>
  <c r="K1182"/>
  <c r="N1182" s="1"/>
  <c r="O1182" s="1"/>
  <c r="K1183"/>
  <c r="N1183" s="1"/>
  <c r="O1183" s="1"/>
  <c r="K1184"/>
  <c r="N1184" s="1"/>
  <c r="O1184" s="1"/>
  <c r="K1185"/>
  <c r="N1185" s="1"/>
  <c r="O1185" s="1"/>
  <c r="K1186"/>
  <c r="N1186" s="1"/>
  <c r="O1186" s="1"/>
  <c r="K1187"/>
  <c r="K1188"/>
  <c r="N1188" s="1"/>
  <c r="O1188" s="1"/>
  <c r="K1189"/>
  <c r="N1189" s="1"/>
  <c r="O1189" s="1"/>
  <c r="K1190"/>
  <c r="N1190" s="1"/>
  <c r="O1190" s="1"/>
  <c r="K1191"/>
  <c r="N1191" s="1"/>
  <c r="O1191" s="1"/>
  <c r="K1192"/>
  <c r="K1193"/>
  <c r="N1193" s="1"/>
  <c r="O1193" s="1"/>
  <c r="K1194"/>
  <c r="N1194" s="1"/>
  <c r="O1194" s="1"/>
  <c r="K1195"/>
  <c r="N1195" s="1"/>
  <c r="O1195" s="1"/>
  <c r="K1197"/>
  <c r="K1196"/>
  <c r="N1196" s="1"/>
  <c r="O1196" s="1"/>
  <c r="K1198"/>
  <c r="N1198" s="1"/>
  <c r="O1198" s="1"/>
  <c r="K1199"/>
  <c r="K1200"/>
  <c r="N1200" s="1"/>
  <c r="O1200" s="1"/>
  <c r="K1201"/>
  <c r="N1201" s="1"/>
  <c r="O1201" s="1"/>
  <c r="K1202"/>
  <c r="K1203"/>
  <c r="L1204"/>
  <c r="K1204"/>
  <c r="K1205"/>
  <c r="K1206"/>
  <c r="K1207"/>
  <c r="K1208"/>
  <c r="L1210"/>
  <c r="K1211"/>
  <c r="K1209"/>
  <c r="K1210"/>
  <c r="K1212"/>
  <c r="K1213"/>
  <c r="K1214"/>
  <c r="K1218"/>
  <c r="K1219"/>
  <c r="K1220"/>
  <c r="N1220" s="1"/>
  <c r="O1220" s="1"/>
  <c r="K1221"/>
  <c r="N1221" s="1"/>
  <c r="O1221" s="1"/>
  <c r="K1217"/>
  <c r="K1215"/>
  <c r="K1216"/>
  <c r="N1216" s="1"/>
  <c r="O1216" s="1"/>
  <c r="K1222"/>
  <c r="N1222" s="1"/>
  <c r="O1222" s="1"/>
  <c r="K1223"/>
  <c r="N1223" s="1"/>
  <c r="O1223" s="1"/>
  <c r="K1224"/>
  <c r="N1224" s="1"/>
  <c r="O1224" s="1"/>
  <c r="K1225"/>
  <c r="N1225" s="1"/>
  <c r="O1225" s="1"/>
  <c r="K1226"/>
  <c r="N1226" s="1"/>
  <c r="O1226" s="1"/>
  <c r="K1227"/>
  <c r="K1228"/>
  <c r="K1229"/>
  <c r="N1229" s="1"/>
  <c r="O1229" s="1"/>
  <c r="K1230"/>
  <c r="K1231"/>
  <c r="K1232"/>
  <c r="N1232" s="1"/>
  <c r="O1232" s="1"/>
  <c r="K1233"/>
  <c r="K1234"/>
  <c r="N1098" l="1"/>
  <c r="O1098" s="1"/>
  <c r="N1091"/>
  <c r="O1091" s="1"/>
  <c r="N1088"/>
  <c r="O1088" s="1"/>
  <c r="N1095"/>
  <c r="O1095" s="1"/>
  <c r="N1121"/>
  <c r="O1121" s="1"/>
  <c r="N1163"/>
  <c r="O1163" s="1"/>
  <c r="N1119"/>
  <c r="O1119" s="1"/>
  <c r="N1120"/>
  <c r="O1120" s="1"/>
  <c r="N1123"/>
  <c r="O1123" s="1"/>
  <c r="N1124"/>
  <c r="O1124" s="1"/>
  <c r="N1125"/>
  <c r="O1125" s="1"/>
  <c r="N1170"/>
  <c r="O1170" s="1"/>
  <c r="N1192"/>
  <c r="O1192" s="1"/>
  <c r="N1126"/>
  <c r="O1126" s="1"/>
  <c r="N1161"/>
  <c r="O1161" s="1"/>
  <c r="N1145"/>
  <c r="O1145" s="1"/>
  <c r="N1138"/>
  <c r="O1138" s="1"/>
  <c r="N1140"/>
  <c r="O1140" s="1"/>
  <c r="N1141"/>
  <c r="O1141" s="1"/>
  <c r="N1139"/>
  <c r="O1139" s="1"/>
  <c r="N1143"/>
  <c r="O1143" s="1"/>
  <c r="N1144"/>
  <c r="O1144" s="1"/>
  <c r="N1154"/>
  <c r="O1154" s="1"/>
  <c r="N1148"/>
  <c r="O1148" s="1"/>
  <c r="N1147"/>
  <c r="O1147" s="1"/>
  <c r="N1149"/>
  <c r="O1149" s="1"/>
  <c r="N1150"/>
  <c r="O1150" s="1"/>
  <c r="N1151"/>
  <c r="O1151" s="1"/>
  <c r="N1153"/>
  <c r="O1153" s="1"/>
  <c r="N1162"/>
  <c r="O1162" s="1"/>
  <c r="N1210"/>
  <c r="O1210" s="1"/>
  <c r="N1169"/>
  <c r="O1169" s="1"/>
  <c r="N1166"/>
  <c r="O1166" s="1"/>
  <c r="N1167"/>
  <c r="O1167" s="1"/>
  <c r="N1168"/>
  <c r="O1168" s="1"/>
  <c r="N1197"/>
  <c r="O1197" s="1"/>
  <c r="N1187"/>
  <c r="O1187" s="1"/>
  <c r="N1208"/>
  <c r="O1208" s="1"/>
  <c r="N1206"/>
  <c r="O1206" s="1"/>
  <c r="N1199"/>
  <c r="O1199" s="1"/>
  <c r="N1202"/>
  <c r="O1202" s="1"/>
  <c r="N1203"/>
  <c r="O1203" s="1"/>
  <c r="N1204"/>
  <c r="O1204" s="1"/>
  <c r="N1205"/>
  <c r="O1205" s="1"/>
  <c r="N1207"/>
  <c r="O1207" s="1"/>
  <c r="N1219"/>
  <c r="O1219" s="1"/>
  <c r="N1227"/>
  <c r="O1227" s="1"/>
  <c r="N1218"/>
  <c r="O1218" s="1"/>
  <c r="N1215"/>
  <c r="O1215" s="1"/>
  <c r="N1209"/>
  <c r="O1209" s="1"/>
  <c r="N1211"/>
  <c r="O1211" s="1"/>
  <c r="N1212"/>
  <c r="O1212" s="1"/>
  <c r="N1213"/>
  <c r="O1213" s="1"/>
  <c r="N1214"/>
  <c r="O1214" s="1"/>
  <c r="N1217"/>
  <c r="O1217" s="1"/>
  <c r="N1228"/>
  <c r="O1228" s="1"/>
  <c r="N1230"/>
  <c r="O1230" s="1"/>
  <c r="N1231"/>
  <c r="O1231" s="1"/>
  <c r="N1233"/>
  <c r="O1233" s="1"/>
  <c r="N1234"/>
  <c r="O1234" s="1"/>
  <c r="L1241"/>
  <c r="K1235"/>
  <c r="K1236"/>
  <c r="K1238"/>
  <c r="K1237"/>
  <c r="K1239"/>
  <c r="L1240"/>
  <c r="K1240"/>
  <c r="K1241"/>
  <c r="K1243"/>
  <c r="N1243" s="1"/>
  <c r="O1243" s="1"/>
  <c r="K1242"/>
  <c r="K1244"/>
  <c r="N1244" s="1"/>
  <c r="O1244" s="1"/>
  <c r="K1248"/>
  <c r="N1248" s="1"/>
  <c r="O1248" s="1"/>
  <c r="L1245"/>
  <c r="K1245"/>
  <c r="K1246"/>
  <c r="K1247"/>
  <c r="N1247" s="1"/>
  <c r="O1247" s="1"/>
  <c r="L1249"/>
  <c r="K1249"/>
  <c r="L1250"/>
  <c r="K1250"/>
  <c r="K1251"/>
  <c r="L1252"/>
  <c r="K1252"/>
  <c r="L1253"/>
  <c r="K1253"/>
  <c r="K1254"/>
  <c r="L1255"/>
  <c r="K1255"/>
  <c r="L1256"/>
  <c r="K1256"/>
  <c r="L1257"/>
  <c r="K1257"/>
  <c r="L1258"/>
  <c r="K1258"/>
  <c r="K1259"/>
  <c r="N1259" s="1"/>
  <c r="O1259" s="1"/>
  <c r="L1260"/>
  <c r="K1260"/>
  <c r="K1261"/>
  <c r="K1262"/>
  <c r="L1263"/>
  <c r="K1265"/>
  <c r="N1265" s="1"/>
  <c r="O1265" s="1"/>
  <c r="L1264"/>
  <c r="K1264"/>
  <c r="L1266"/>
  <c r="K1266"/>
  <c r="L1270"/>
  <c r="K1267"/>
  <c r="N1267" s="1"/>
  <c r="O1267" s="1"/>
  <c r="K1268"/>
  <c r="N1268" s="1"/>
  <c r="O1268" s="1"/>
  <c r="N1269"/>
  <c r="O1269" s="1"/>
  <c r="K1270"/>
  <c r="N1270" s="1"/>
  <c r="O1270" s="1"/>
  <c r="K1271"/>
  <c r="N1271" s="1"/>
  <c r="O1271" s="1"/>
  <c r="K1272"/>
  <c r="N1272" s="1"/>
  <c r="O1272" s="1"/>
  <c r="K1273"/>
  <c r="N1273" s="1"/>
  <c r="O1273" s="1"/>
  <c r="K1275"/>
  <c r="N1275" s="1"/>
  <c r="O1275" s="1"/>
  <c r="K1274"/>
  <c r="N1274" s="1"/>
  <c r="O1274" s="1"/>
  <c r="N1276"/>
  <c r="O1276" s="1"/>
  <c r="L1277"/>
  <c r="K1277"/>
  <c r="K1278"/>
  <c r="N1278" s="1"/>
  <c r="O1278" s="1"/>
  <c r="L1279"/>
  <c r="L1280"/>
  <c r="K1279"/>
  <c r="K1280"/>
  <c r="L1282"/>
  <c r="K1281"/>
  <c r="K1282"/>
  <c r="K1283"/>
  <c r="N1283" s="1"/>
  <c r="O1283" s="1"/>
  <c r="L1284"/>
  <c r="K1284"/>
  <c r="K1285"/>
  <c r="N1285" s="1"/>
  <c r="O1285" s="1"/>
  <c r="K1286"/>
  <c r="L1287"/>
  <c r="K1287"/>
  <c r="L1288"/>
  <c r="K1288"/>
  <c r="K1289"/>
  <c r="K1290"/>
  <c r="L1291"/>
  <c r="K1291"/>
  <c r="K1295"/>
  <c r="L1292"/>
  <c r="K1292"/>
  <c r="K1293"/>
  <c r="L1294"/>
  <c r="K1294"/>
  <c r="K1296"/>
  <c r="K1297"/>
  <c r="N1297" s="1"/>
  <c r="O1297" s="1"/>
  <c r="L1298"/>
  <c r="K1298"/>
  <c r="K1299"/>
  <c r="N1299" s="1"/>
  <c r="O1299" s="1"/>
  <c r="K1300"/>
  <c r="N1300" s="1"/>
  <c r="O1300" s="1"/>
  <c r="K1301"/>
  <c r="L1302"/>
  <c r="L1303"/>
  <c r="K1302"/>
  <c r="K1303"/>
  <c r="K1304"/>
  <c r="N1304" s="1"/>
  <c r="O1304" s="1"/>
  <c r="K1305"/>
  <c r="N1305" s="1"/>
  <c r="O1305" s="1"/>
  <c r="K1306"/>
  <c r="K1307"/>
  <c r="N1307" s="1"/>
  <c r="O1307" s="1"/>
  <c r="K1308"/>
  <c r="N1308" s="1"/>
  <c r="O1308" s="1"/>
  <c r="L1309"/>
  <c r="K1309"/>
  <c r="L1310"/>
  <c r="K1310"/>
  <c r="L1311"/>
  <c r="K1311"/>
  <c r="L1312"/>
  <c r="K1312"/>
  <c r="K1313"/>
  <c r="K1314"/>
  <c r="K1315"/>
  <c r="L1316"/>
  <c r="K1316"/>
  <c r="K1317"/>
  <c r="K1318"/>
  <c r="K1319"/>
  <c r="L1320"/>
  <c r="K1320"/>
  <c r="L1321"/>
  <c r="K1321"/>
  <c r="L1322"/>
  <c r="K1322"/>
  <c r="K1323"/>
  <c r="N1323" s="1"/>
  <c r="O1323" s="1"/>
  <c r="K1324"/>
  <c r="L1325"/>
  <c r="K1325"/>
  <c r="L1326"/>
  <c r="K1326"/>
  <c r="L1327"/>
  <c r="L1328"/>
  <c r="L1330"/>
  <c r="K1327"/>
  <c r="K1328"/>
  <c r="K1329"/>
  <c r="K1330"/>
  <c r="K1331"/>
  <c r="N1331" s="1"/>
  <c r="O1331" s="1"/>
  <c r="K1333"/>
  <c r="N1333" s="1"/>
  <c r="O1333" s="1"/>
  <c r="K1332"/>
  <c r="N1332" s="1"/>
  <c r="O1332" s="1"/>
  <c r="K1334"/>
  <c r="L1337"/>
  <c r="L1341"/>
  <c r="L1343"/>
  <c r="K1338"/>
  <c r="N1338" s="1"/>
  <c r="O1338" s="1"/>
  <c r="K1340"/>
  <c r="N1340" s="1"/>
  <c r="O1340" s="1"/>
  <c r="K1339"/>
  <c r="N1339" s="1"/>
  <c r="O1339" s="1"/>
  <c r="K1335"/>
  <c r="K1336"/>
  <c r="N1336" s="1"/>
  <c r="O1336" s="1"/>
  <c r="K1337"/>
  <c r="N1337" s="1"/>
  <c r="O1337" s="1"/>
  <c r="K1342"/>
  <c r="N1342" s="1"/>
  <c r="O1342" s="1"/>
  <c r="K1343"/>
  <c r="K1341"/>
  <c r="K1344"/>
  <c r="N1344" s="1"/>
  <c r="O1344" s="1"/>
  <c r="N1303" l="1"/>
  <c r="O1303" s="1"/>
  <c r="N1341"/>
  <c r="O1341" s="1"/>
  <c r="N1279"/>
  <c r="O1279" s="1"/>
  <c r="N1280"/>
  <c r="O1280" s="1"/>
  <c r="N1330"/>
  <c r="O1330" s="1"/>
  <c r="N1264"/>
  <c r="O1264" s="1"/>
  <c r="N1250"/>
  <c r="O1250" s="1"/>
  <c r="N1249"/>
  <c r="O1249" s="1"/>
  <c r="N1241"/>
  <c r="O1241" s="1"/>
  <c r="N1237"/>
  <c r="O1237" s="1"/>
  <c r="N1260"/>
  <c r="O1260" s="1"/>
  <c r="N1253"/>
  <c r="O1253" s="1"/>
  <c r="N1240"/>
  <c r="O1240" s="1"/>
  <c r="N1235"/>
  <c r="O1235" s="1"/>
  <c r="N1236"/>
  <c r="O1236" s="1"/>
  <c r="N1238"/>
  <c r="O1238" s="1"/>
  <c r="N1239"/>
  <c r="O1239" s="1"/>
  <c r="N1242"/>
  <c r="O1242" s="1"/>
  <c r="N1257"/>
  <c r="O1257" s="1"/>
  <c r="N1252"/>
  <c r="O1252" s="1"/>
  <c r="N1245"/>
  <c r="O1245" s="1"/>
  <c r="N1246"/>
  <c r="O1246" s="1"/>
  <c r="N1251"/>
  <c r="O1251" s="1"/>
  <c r="N1254"/>
  <c r="O1254" s="1"/>
  <c r="N1255"/>
  <c r="O1255" s="1"/>
  <c r="N1256"/>
  <c r="O1256" s="1"/>
  <c r="N1258"/>
  <c r="O1258" s="1"/>
  <c r="N1261"/>
  <c r="O1261" s="1"/>
  <c r="N1262"/>
  <c r="O1262" s="1"/>
  <c r="N1263"/>
  <c r="O1263" s="1"/>
  <c r="N1287"/>
  <c r="O1287" s="1"/>
  <c r="N1284"/>
  <c r="O1284" s="1"/>
  <c r="N1266"/>
  <c r="O1266" s="1"/>
  <c r="N1277"/>
  <c r="O1277" s="1"/>
  <c r="N1282"/>
  <c r="O1282" s="1"/>
  <c r="N1281"/>
  <c r="O1281" s="1"/>
  <c r="N1286"/>
  <c r="O1286" s="1"/>
  <c r="N1289"/>
  <c r="O1289" s="1"/>
  <c r="N1327"/>
  <c r="O1327" s="1"/>
  <c r="N1326"/>
  <c r="O1326" s="1"/>
  <c r="N1325"/>
  <c r="O1325" s="1"/>
  <c r="N1322"/>
  <c r="O1322" s="1"/>
  <c r="N1321"/>
  <c r="O1321" s="1"/>
  <c r="N1320"/>
  <c r="O1320" s="1"/>
  <c r="N1312"/>
  <c r="O1312" s="1"/>
  <c r="N1311"/>
  <c r="O1311" s="1"/>
  <c r="N1310"/>
  <c r="O1310" s="1"/>
  <c r="N1298"/>
  <c r="O1298" s="1"/>
  <c r="N1288"/>
  <c r="O1288" s="1"/>
  <c r="N1290"/>
  <c r="O1290" s="1"/>
  <c r="N1291"/>
  <c r="O1291" s="1"/>
  <c r="N1293"/>
  <c r="O1293" s="1"/>
  <c r="N1292"/>
  <c r="O1292" s="1"/>
  <c r="N1294"/>
  <c r="O1294" s="1"/>
  <c r="N1295"/>
  <c r="O1295" s="1"/>
  <c r="N1296"/>
  <c r="O1296" s="1"/>
  <c r="N1301"/>
  <c r="O1301" s="1"/>
  <c r="N1302"/>
  <c r="O1302" s="1"/>
  <c r="N1306"/>
  <c r="O1306" s="1"/>
  <c r="N1309"/>
  <c r="O1309" s="1"/>
  <c r="N1313"/>
  <c r="O1313" s="1"/>
  <c r="N1315"/>
  <c r="O1315" s="1"/>
  <c r="N1314"/>
  <c r="O1314" s="1"/>
  <c r="N1316"/>
  <c r="O1316" s="1"/>
  <c r="N1317"/>
  <c r="O1317" s="1"/>
  <c r="N1318"/>
  <c r="O1318" s="1"/>
  <c r="N1319"/>
  <c r="O1319" s="1"/>
  <c r="N1324"/>
  <c r="O1324" s="1"/>
  <c r="N1328"/>
  <c r="O1328" s="1"/>
  <c r="N1329"/>
  <c r="O1329" s="1"/>
  <c r="N1334"/>
  <c r="O1334" s="1"/>
  <c r="N1335"/>
  <c r="O1335" s="1"/>
  <c r="N1343"/>
  <c r="O1343" s="1"/>
  <c r="K1345"/>
  <c r="N1345" s="1"/>
  <c r="O1345" s="1"/>
  <c r="K1346"/>
  <c r="N1346" s="1"/>
  <c r="O1346" s="1"/>
  <c r="L1347"/>
  <c r="N1347" s="1"/>
  <c r="O1347" s="1"/>
  <c r="K1348"/>
  <c r="N1348" s="1"/>
  <c r="O1348" s="1"/>
  <c r="K1349"/>
  <c r="N1349" s="1"/>
  <c r="O1349" s="1"/>
  <c r="L1353"/>
  <c r="L1350"/>
  <c r="K1350"/>
  <c r="L1351"/>
  <c r="K1351"/>
  <c r="K1352"/>
  <c r="N1352" s="1"/>
  <c r="O1352" s="1"/>
  <c r="K1353"/>
  <c r="L1354"/>
  <c r="K1354"/>
  <c r="K1355"/>
  <c r="N1355" s="1"/>
  <c r="O1355" s="1"/>
  <c r="K1356"/>
  <c r="N1356" s="1"/>
  <c r="O1356" s="1"/>
  <c r="N1358"/>
  <c r="O1358" s="1"/>
  <c r="N1357"/>
  <c r="O1357" s="1"/>
  <c r="K1359"/>
  <c r="N1359" s="1"/>
  <c r="O1359" s="1"/>
  <c r="K1360"/>
  <c r="N1360" s="1"/>
  <c r="O1360" s="1"/>
  <c r="K1361"/>
  <c r="N1361" s="1"/>
  <c r="O1361" s="1"/>
  <c r="K1364"/>
  <c r="N1364" s="1"/>
  <c r="O1364" s="1"/>
  <c r="L1362"/>
  <c r="K1362"/>
  <c r="L1363"/>
  <c r="K1363"/>
  <c r="K1365"/>
  <c r="K1367"/>
  <c r="L1368"/>
  <c r="K1368"/>
  <c r="K1369"/>
  <c r="K1370"/>
  <c r="K1371"/>
  <c r="K1372"/>
  <c r="L1373"/>
  <c r="K1373"/>
  <c r="K1374"/>
  <c r="N1374" s="1"/>
  <c r="O1374" s="1"/>
  <c r="K1375"/>
  <c r="L1376"/>
  <c r="K1376"/>
  <c r="K1377"/>
  <c r="N1377" s="1"/>
  <c r="O1377" s="1"/>
  <c r="L1378"/>
  <c r="K1378"/>
  <c r="K1379"/>
  <c r="N1379" s="1"/>
  <c r="O1379" s="1"/>
  <c r="L1380"/>
  <c r="K1380"/>
  <c r="K1381"/>
  <c r="K1382"/>
  <c r="L1383"/>
  <c r="K1383"/>
  <c r="K1384"/>
  <c r="K1385"/>
  <c r="N1385" s="1"/>
  <c r="O1385" s="1"/>
  <c r="K1386"/>
  <c r="N1386" s="1"/>
  <c r="O1386" s="1"/>
  <c r="K1387"/>
  <c r="N1387" s="1"/>
  <c r="O1387" s="1"/>
  <c r="K1388"/>
  <c r="N1388" s="1"/>
  <c r="O1388" s="1"/>
  <c r="L1389"/>
  <c r="K1389"/>
  <c r="K1390"/>
  <c r="K1391"/>
  <c r="L1392"/>
  <c r="K1392"/>
  <c r="L1394"/>
  <c r="N1394" s="1"/>
  <c r="O1394" s="1"/>
  <c r="K1393"/>
  <c r="N1393" s="1"/>
  <c r="O1393" s="1"/>
  <c r="L1395"/>
  <c r="K1395"/>
  <c r="K1396"/>
  <c r="K1397"/>
  <c r="N1397" s="1"/>
  <c r="O1397" s="1"/>
  <c r="K1398"/>
  <c r="K1399"/>
  <c r="L1400"/>
  <c r="K1400"/>
  <c r="L1401"/>
  <c r="K1401"/>
  <c r="K1402"/>
  <c r="N1402" s="1"/>
  <c r="O1402" s="1"/>
  <c r="K1403"/>
  <c r="N1403" s="1"/>
  <c r="O1403" s="1"/>
  <c r="K1404"/>
  <c r="N1404" s="1"/>
  <c r="O1404" s="1"/>
  <c r="K1405"/>
  <c r="N1405" s="1"/>
  <c r="O1405" s="1"/>
  <c r="K1406"/>
  <c r="N1406" s="1"/>
  <c r="O1406" s="1"/>
  <c r="L1407"/>
  <c r="L1409"/>
  <c r="K1407"/>
  <c r="K1408"/>
  <c r="N1408" s="1"/>
  <c r="O1408" s="1"/>
  <c r="K1409"/>
  <c r="K1410"/>
  <c r="N1410" s="1"/>
  <c r="O1410" s="1"/>
  <c r="K1411"/>
  <c r="N1411" s="1"/>
  <c r="O1411" s="1"/>
  <c r="K1412"/>
  <c r="N1412" s="1"/>
  <c r="O1412" s="1"/>
  <c r="K1413"/>
  <c r="N1413" s="1"/>
  <c r="O1413" s="1"/>
  <c r="K1414"/>
  <c r="N1414" s="1"/>
  <c r="O1414" s="1"/>
  <c r="K1415"/>
  <c r="K1416"/>
  <c r="K1417"/>
  <c r="L1418"/>
  <c r="K1418"/>
  <c r="K1419"/>
  <c r="N1419" s="1"/>
  <c r="O1419" s="1"/>
  <c r="L1420"/>
  <c r="K1420"/>
  <c r="K1421"/>
  <c r="N1421" s="1"/>
  <c r="O1421" s="1"/>
  <c r="L1422"/>
  <c r="K1422"/>
  <c r="K1423"/>
  <c r="L1424"/>
  <c r="K1424"/>
  <c r="L1425"/>
  <c r="K1425"/>
  <c r="K1426"/>
  <c r="L1427"/>
  <c r="K1427"/>
  <c r="K1428"/>
  <c r="N1428" s="1"/>
  <c r="O1428" s="1"/>
  <c r="K1429"/>
  <c r="N1429" s="1"/>
  <c r="O1429" s="1"/>
  <c r="K1430"/>
  <c r="N1430" s="1"/>
  <c r="O1430" s="1"/>
  <c r="L1431"/>
  <c r="N1431" s="1"/>
  <c r="O1431" s="1"/>
  <c r="L1432"/>
  <c r="N1432" s="1"/>
  <c r="O1432" s="1"/>
  <c r="K1433"/>
  <c r="N1433" s="1"/>
  <c r="O1433" s="1"/>
  <c r="L1434"/>
  <c r="K1434"/>
  <c r="K1435"/>
  <c r="N1435" s="1"/>
  <c r="O1435" s="1"/>
  <c r="L1436"/>
  <c r="K1436"/>
  <c r="L1437"/>
  <c r="K1437"/>
  <c r="L1438"/>
  <c r="K1438"/>
  <c r="K1439"/>
  <c r="L1440"/>
  <c r="K1440"/>
  <c r="L1441"/>
  <c r="K1441"/>
  <c r="L1442"/>
  <c r="K1442"/>
  <c r="L1443"/>
  <c r="K1443"/>
  <c r="L1444"/>
  <c r="K1444"/>
  <c r="K1445"/>
  <c r="N1445" s="1"/>
  <c r="O1445" s="1"/>
  <c r="K1446"/>
  <c r="N1446" s="1"/>
  <c r="O1446" s="1"/>
  <c r="K1447"/>
  <c r="N1447" s="1"/>
  <c r="O1447" s="1"/>
  <c r="L1448"/>
  <c r="K1448"/>
  <c r="L1449"/>
  <c r="K1449"/>
  <c r="L1450"/>
  <c r="K1450"/>
  <c r="K1451"/>
  <c r="N1451" s="1"/>
  <c r="O1451" s="1"/>
  <c r="L1452"/>
  <c r="K1452"/>
  <c r="K1453"/>
  <c r="K1454"/>
  <c r="N1454" s="1"/>
  <c r="O1454" s="1"/>
  <c r="L1455"/>
  <c r="K1455"/>
  <c r="K1456"/>
  <c r="N1456" s="1"/>
  <c r="O1456" s="1"/>
  <c r="K1457"/>
  <c r="K1458"/>
  <c r="N1458" s="1"/>
  <c r="O1458" s="1"/>
  <c r="L1459"/>
  <c r="L1460"/>
  <c r="K1460"/>
  <c r="K1461"/>
  <c r="K1462"/>
  <c r="K1463"/>
  <c r="K1464"/>
  <c r="L1465"/>
  <c r="K1466"/>
  <c r="K1468"/>
  <c r="K1467"/>
  <c r="L1469"/>
  <c r="K1470"/>
  <c r="L1471"/>
  <c r="K1471"/>
  <c r="K1472"/>
  <c r="K1473"/>
  <c r="K1474"/>
  <c r="K1475"/>
  <c r="K1476"/>
  <c r="L1477"/>
  <c r="K1477"/>
  <c r="L1478"/>
  <c r="K1478"/>
  <c r="K1479"/>
  <c r="N1479" s="1"/>
  <c r="O1479" s="1"/>
  <c r="L1480"/>
  <c r="K1480"/>
  <c r="K1481"/>
  <c r="K1482"/>
  <c r="L1483"/>
  <c r="K1483"/>
  <c r="K1484"/>
  <c r="K1485"/>
  <c r="L1486"/>
  <c r="K1486"/>
  <c r="L1487"/>
  <c r="K1487"/>
  <c r="K1488"/>
  <c r="L1489"/>
  <c r="K1489"/>
  <c r="L1490"/>
  <c r="L1491"/>
  <c r="L1494"/>
  <c r="K1491"/>
  <c r="K1490"/>
  <c r="K1492"/>
  <c r="K1493"/>
  <c r="K1494"/>
  <c r="K1495"/>
  <c r="K1496"/>
  <c r="L1497"/>
  <c r="K1497"/>
  <c r="L1498"/>
  <c r="K1498"/>
  <c r="L1499"/>
  <c r="K1499"/>
  <c r="L1500"/>
  <c r="K1500"/>
  <c r="L1501"/>
  <c r="K1501"/>
  <c r="L1502"/>
  <c r="K1502"/>
  <c r="L1503"/>
  <c r="K1503"/>
  <c r="L1504"/>
  <c r="K1504"/>
  <c r="K1505"/>
  <c r="K1506"/>
  <c r="K1508"/>
  <c r="N1508" s="1"/>
  <c r="O1508" s="1"/>
  <c r="L1507"/>
  <c r="K1507"/>
  <c r="L1509"/>
  <c r="K1509"/>
  <c r="K1510"/>
  <c r="N1510" s="1"/>
  <c r="O1510" s="1"/>
  <c r="L1512"/>
  <c r="K1512"/>
  <c r="K1513"/>
  <c r="K1514"/>
  <c r="K1515"/>
  <c r="L1516"/>
  <c r="K1517"/>
  <c r="K1516"/>
  <c r="K1518"/>
  <c r="N1383" l="1"/>
  <c r="O1383" s="1"/>
  <c r="N1384"/>
  <c r="O1384" s="1"/>
  <c r="N1407"/>
  <c r="O1407" s="1"/>
  <c r="N1354"/>
  <c r="O1354" s="1"/>
  <c r="N1351"/>
  <c r="O1351" s="1"/>
  <c r="N1363"/>
  <c r="O1363" s="1"/>
  <c r="N1362"/>
  <c r="O1362" s="1"/>
  <c r="N1350"/>
  <c r="O1350" s="1"/>
  <c r="N1376"/>
  <c r="O1376" s="1"/>
  <c r="N1373"/>
  <c r="O1373" s="1"/>
  <c r="N1353"/>
  <c r="O1353" s="1"/>
  <c r="N1365"/>
  <c r="O1365" s="1"/>
  <c r="N1366"/>
  <c r="O1366" s="1"/>
  <c r="N1367"/>
  <c r="O1367" s="1"/>
  <c r="N1378"/>
  <c r="O1378" s="1"/>
  <c r="N1368"/>
  <c r="O1368" s="1"/>
  <c r="N1369"/>
  <c r="O1369" s="1"/>
  <c r="N1370"/>
  <c r="O1370" s="1"/>
  <c r="N1371"/>
  <c r="O1371" s="1"/>
  <c r="N1372"/>
  <c r="O1372" s="1"/>
  <c r="N1375"/>
  <c r="O1375" s="1"/>
  <c r="N1409"/>
  <c r="O1409" s="1"/>
  <c r="N1381"/>
  <c r="O1381" s="1"/>
  <c r="N1380"/>
  <c r="O1380" s="1"/>
  <c r="N1382"/>
  <c r="O1382" s="1"/>
  <c r="N1392"/>
  <c r="O1392" s="1"/>
  <c r="N1389"/>
  <c r="O1389" s="1"/>
  <c r="N1488"/>
  <c r="O1488" s="1"/>
  <c r="N1395"/>
  <c r="O1395" s="1"/>
  <c r="N1390"/>
  <c r="O1390" s="1"/>
  <c r="N1391"/>
  <c r="O1391" s="1"/>
  <c r="N1396"/>
  <c r="O1396" s="1"/>
  <c r="N1398"/>
  <c r="O1398" s="1"/>
  <c r="N1399"/>
  <c r="O1399" s="1"/>
  <c r="N1424"/>
  <c r="O1424" s="1"/>
  <c r="N1420"/>
  <c r="O1420" s="1"/>
  <c r="N1401"/>
  <c r="O1401" s="1"/>
  <c r="N1400"/>
  <c r="O1400" s="1"/>
  <c r="N1449"/>
  <c r="O1449" s="1"/>
  <c r="N1448"/>
  <c r="O1448" s="1"/>
  <c r="N1427"/>
  <c r="O1427" s="1"/>
  <c r="N1422"/>
  <c r="O1422" s="1"/>
  <c r="N1418"/>
  <c r="O1418" s="1"/>
  <c r="N1415"/>
  <c r="O1415" s="1"/>
  <c r="N1416"/>
  <c r="O1416" s="1"/>
  <c r="N1417"/>
  <c r="O1417" s="1"/>
  <c r="N1423"/>
  <c r="O1423" s="1"/>
  <c r="N1425"/>
  <c r="O1425" s="1"/>
  <c r="N1426"/>
  <c r="O1426" s="1"/>
  <c r="N1434"/>
  <c r="O1434" s="1"/>
  <c r="N1436"/>
  <c r="O1436" s="1"/>
  <c r="N1518"/>
  <c r="O1518" s="1"/>
  <c r="N1505"/>
  <c r="O1505" s="1"/>
  <c r="N1485"/>
  <c r="O1485" s="1"/>
  <c r="N1480"/>
  <c r="O1480" s="1"/>
  <c r="N1478"/>
  <c r="O1478" s="1"/>
  <c r="N1469"/>
  <c r="O1469" s="1"/>
  <c r="N1467"/>
  <c r="O1467" s="1"/>
  <c r="N1462"/>
  <c r="O1462" s="1"/>
  <c r="N1455"/>
  <c r="O1455" s="1"/>
  <c r="N1452"/>
  <c r="O1452" s="1"/>
  <c r="N1443"/>
  <c r="O1443" s="1"/>
  <c r="N1442"/>
  <c r="O1442" s="1"/>
  <c r="N1437"/>
  <c r="O1437" s="1"/>
  <c r="N1438"/>
  <c r="O1438" s="1"/>
  <c r="N1439"/>
  <c r="O1439" s="1"/>
  <c r="N1440"/>
  <c r="O1440" s="1"/>
  <c r="N1441"/>
  <c r="O1441" s="1"/>
  <c r="N1444"/>
  <c r="O1444" s="1"/>
  <c r="N1450"/>
  <c r="O1450" s="1"/>
  <c r="N1453"/>
  <c r="O1453" s="1"/>
  <c r="N1503"/>
  <c r="O1503" s="1"/>
  <c r="N1496"/>
  <c r="O1496" s="1"/>
  <c r="N1483"/>
  <c r="O1483" s="1"/>
  <c r="N1471"/>
  <c r="O1471" s="1"/>
  <c r="N1461"/>
  <c r="O1461" s="1"/>
  <c r="N1457"/>
  <c r="O1457" s="1"/>
  <c r="N1459"/>
  <c r="O1459" s="1"/>
  <c r="N1460"/>
  <c r="O1460" s="1"/>
  <c r="N1463"/>
  <c r="O1463" s="1"/>
  <c r="N1464"/>
  <c r="O1464" s="1"/>
  <c r="N1465"/>
  <c r="O1465" s="1"/>
  <c r="N1466"/>
  <c r="O1466" s="1"/>
  <c r="N1468"/>
  <c r="O1468" s="1"/>
  <c r="N1470"/>
  <c r="O1470" s="1"/>
  <c r="N1472"/>
  <c r="O1472" s="1"/>
  <c r="N1473"/>
  <c r="O1473" s="1"/>
  <c r="N1475"/>
  <c r="O1475" s="1"/>
  <c r="N1474"/>
  <c r="O1474" s="1"/>
  <c r="N1476"/>
  <c r="O1476" s="1"/>
  <c r="N1477"/>
  <c r="O1477" s="1"/>
  <c r="N1481"/>
  <c r="O1481" s="1"/>
  <c r="N1482"/>
  <c r="O1482" s="1"/>
  <c r="N1484"/>
  <c r="O1484" s="1"/>
  <c r="N1486"/>
  <c r="O1486" s="1"/>
  <c r="N1487"/>
  <c r="O1487" s="1"/>
  <c r="N1489"/>
  <c r="O1489" s="1"/>
  <c r="N1501"/>
  <c r="O1501" s="1"/>
  <c r="N1498"/>
  <c r="O1498" s="1"/>
  <c r="N1495"/>
  <c r="O1495" s="1"/>
  <c r="N1494"/>
  <c r="O1494" s="1"/>
  <c r="N1491"/>
  <c r="O1491" s="1"/>
  <c r="N1490"/>
  <c r="O1490" s="1"/>
  <c r="N1493"/>
  <c r="O1493" s="1"/>
  <c r="N1492"/>
  <c r="O1492" s="1"/>
  <c r="N1497"/>
  <c r="O1497" s="1"/>
  <c r="N1499"/>
  <c r="O1499" s="1"/>
  <c r="N1500"/>
  <c r="O1500" s="1"/>
  <c r="N1502"/>
  <c r="O1502" s="1"/>
  <c r="N1504"/>
  <c r="O1504" s="1"/>
  <c r="N1506"/>
  <c r="O1506" s="1"/>
  <c r="N1507"/>
  <c r="O1507" s="1"/>
  <c r="N1517"/>
  <c r="O1517" s="1"/>
  <c r="N1509"/>
  <c r="O1509" s="1"/>
  <c r="N1511"/>
  <c r="O1511" s="1"/>
  <c r="N1512"/>
  <c r="O1512" s="1"/>
  <c r="N1513"/>
  <c r="O1513" s="1"/>
  <c r="N1514"/>
  <c r="O1514" s="1"/>
  <c r="N1515"/>
  <c r="O1515" s="1"/>
  <c r="N1516"/>
  <c r="O1516" s="1"/>
  <c r="K1519"/>
  <c r="K1520"/>
  <c r="L1521"/>
  <c r="K1521"/>
  <c r="K1522"/>
  <c r="N1522" s="1"/>
  <c r="O1522" s="1"/>
  <c r="K1523"/>
  <c r="N1523" s="1"/>
  <c r="O1523" s="1"/>
  <c r="K1524"/>
  <c r="N1524" s="1"/>
  <c r="O1524" s="1"/>
  <c r="L1525"/>
  <c r="N1525" s="1"/>
  <c r="O1525" s="1"/>
  <c r="L1526"/>
  <c r="L1527"/>
  <c r="K1526"/>
  <c r="K1527"/>
  <c r="K1528"/>
  <c r="N1528" s="1"/>
  <c r="O1528" s="1"/>
  <c r="N1526" l="1"/>
  <c r="O1526" s="1"/>
  <c r="N1519"/>
  <c r="O1519" s="1"/>
  <c r="N1527"/>
  <c r="O1527" s="1"/>
  <c r="N1521"/>
  <c r="O1521" s="1"/>
  <c r="N1520"/>
  <c r="O1520" s="1"/>
  <c r="K1529"/>
  <c r="N1529" s="1"/>
  <c r="O1529" s="1"/>
  <c r="L1530"/>
  <c r="K1530"/>
  <c r="L1531"/>
  <c r="K1531"/>
  <c r="L1532"/>
  <c r="K1532"/>
  <c r="L1534"/>
  <c r="K1534"/>
  <c r="L1533"/>
  <c r="K1533"/>
  <c r="K1535"/>
  <c r="L1536"/>
  <c r="L1537"/>
  <c r="K1536"/>
  <c r="K1537"/>
  <c r="K1538"/>
  <c r="N1538" s="1"/>
  <c r="O1538" s="1"/>
  <c r="K1539"/>
  <c r="N1539" s="1"/>
  <c r="O1539" s="1"/>
  <c r="K1540"/>
  <c r="L1541"/>
  <c r="K1541"/>
  <c r="K1542"/>
  <c r="L1543"/>
  <c r="K1543"/>
  <c r="K1545"/>
  <c r="N1545" s="1"/>
  <c r="O1545" s="1"/>
  <c r="K1544"/>
  <c r="K1548"/>
  <c r="N1548" s="1"/>
  <c r="O1548" s="1"/>
  <c r="L1546"/>
  <c r="K1546"/>
  <c r="L1547"/>
  <c r="K1547"/>
  <c r="K1549"/>
  <c r="K1550"/>
  <c r="L1551"/>
  <c r="K1551"/>
  <c r="K1552"/>
  <c r="K1553"/>
  <c r="L1554"/>
  <c r="K1554"/>
  <c r="K1555"/>
  <c r="N1555" s="1"/>
  <c r="O1555" s="1"/>
  <c r="L1556"/>
  <c r="L1558"/>
  <c r="K1556"/>
  <c r="K1557"/>
  <c r="N1557" s="1"/>
  <c r="O1557" s="1"/>
  <c r="K1558"/>
  <c r="N1559"/>
  <c r="O1559" s="1"/>
  <c r="K1560"/>
  <c r="N1560" s="1"/>
  <c r="O1560" s="1"/>
  <c r="K1561"/>
  <c r="N1561" s="1"/>
  <c r="O1561" s="1"/>
  <c r="K1562"/>
  <c r="K1563"/>
  <c r="N1563" s="1"/>
  <c r="O1563" s="1"/>
  <c r="L1564"/>
  <c r="N1564" s="1"/>
  <c r="O1564" s="1"/>
  <c r="L1565"/>
  <c r="L1566"/>
  <c r="K1565"/>
  <c r="K1566"/>
  <c r="K1567"/>
  <c r="N1567" s="1"/>
  <c r="O1567" s="1"/>
  <c r="K1568"/>
  <c r="N1568" s="1"/>
  <c r="O1568" s="1"/>
  <c r="K1569"/>
  <c r="N1569" s="1"/>
  <c r="O1569" s="1"/>
  <c r="K1570"/>
  <c r="K1575"/>
  <c r="N1575" s="1"/>
  <c r="O1575" s="1"/>
  <c r="K1576"/>
  <c r="L1571"/>
  <c r="K1571"/>
  <c r="K1572"/>
  <c r="N1572" s="1"/>
  <c r="O1572" s="1"/>
  <c r="K1573"/>
  <c r="N1573" s="1"/>
  <c r="O1573" s="1"/>
  <c r="L1574"/>
  <c r="K1574"/>
  <c r="K1577"/>
  <c r="N1577" s="1"/>
  <c r="O1577" s="1"/>
  <c r="K1578"/>
  <c r="K1579"/>
  <c r="N1579" s="1"/>
  <c r="O1579" s="1"/>
  <c r="K1580"/>
  <c r="N1580" s="1"/>
  <c r="O1580" s="1"/>
  <c r="K1581"/>
  <c r="N1581" s="1"/>
  <c r="O1581" s="1"/>
  <c r="K1582"/>
  <c r="N1582" s="1"/>
  <c r="O1582" s="1"/>
  <c r="L1583"/>
  <c r="N1583" s="1"/>
  <c r="O1583" s="1"/>
  <c r="L1584"/>
  <c r="K1584"/>
  <c r="K1585"/>
  <c r="N1585" s="1"/>
  <c r="O1585" s="1"/>
  <c r="K1586"/>
  <c r="N1586" s="1"/>
  <c r="O1586" s="1"/>
  <c r="L1587"/>
  <c r="K1587"/>
  <c r="L1588"/>
  <c r="K1588"/>
  <c r="K1589"/>
  <c r="N1589" s="1"/>
  <c r="O1589" s="1"/>
  <c r="K1590"/>
  <c r="N1590" s="1"/>
  <c r="O1590" s="1"/>
  <c r="K1591"/>
  <c r="N1591" s="1"/>
  <c r="O1591" s="1"/>
  <c r="K1593"/>
  <c r="N1593" s="1"/>
  <c r="O1593" s="1"/>
  <c r="N1592"/>
  <c r="O1592" s="1"/>
  <c r="K1594"/>
  <c r="N1594" s="1"/>
  <c r="O1594" s="1"/>
  <c r="L1595"/>
  <c r="N1595" s="1"/>
  <c r="O1595" s="1"/>
  <c r="L1596"/>
  <c r="K1596"/>
  <c r="K1597"/>
  <c r="N1597" s="1"/>
  <c r="O1597" s="1"/>
  <c r="K1598"/>
  <c r="N1598" s="1"/>
  <c r="O1598" s="1"/>
  <c r="L1599"/>
  <c r="K1599"/>
  <c r="L1600"/>
  <c r="K1600"/>
  <c r="L1601"/>
  <c r="K1601"/>
  <c r="L1602"/>
  <c r="K1602"/>
  <c r="K1603"/>
  <c r="L1604"/>
  <c r="K1604"/>
  <c r="L1605"/>
  <c r="L1606"/>
  <c r="K1605"/>
  <c r="K1606"/>
  <c r="K1607"/>
  <c r="N1607" s="1"/>
  <c r="O1607" s="1"/>
  <c r="N1608"/>
  <c r="O1608" s="1"/>
  <c r="K1609"/>
  <c r="L1610"/>
  <c r="K1610"/>
  <c r="K1611"/>
  <c r="N1611" s="1"/>
  <c r="O1611" s="1"/>
  <c r="K1612"/>
  <c r="N1612" s="1"/>
  <c r="O1612" s="1"/>
  <c r="L1613"/>
  <c r="K1614"/>
  <c r="K1615"/>
  <c r="N1615" s="1"/>
  <c r="O1615" s="1"/>
  <c r="L1616"/>
  <c r="K1616"/>
  <c r="K1617"/>
  <c r="N1617" s="1"/>
  <c r="O1617" s="1"/>
  <c r="K1618"/>
  <c r="N1618" s="1"/>
  <c r="O1618" s="1"/>
  <c r="L1619"/>
  <c r="K1619"/>
  <c r="L1620"/>
  <c r="K1620"/>
  <c r="L1621"/>
  <c r="K1621"/>
  <c r="L1622"/>
  <c r="K1622"/>
  <c r="L1623"/>
  <c r="K1623"/>
  <c r="L1624"/>
  <c r="K1624"/>
  <c r="K1625"/>
  <c r="L1626"/>
  <c r="K1626"/>
  <c r="L1627"/>
  <c r="K1627"/>
  <c r="L1628"/>
  <c r="K1628"/>
  <c r="K1629"/>
  <c r="N1629" s="1"/>
  <c r="O1629" s="1"/>
  <c r="K1630"/>
  <c r="N1630" s="1"/>
  <c r="O1630" s="1"/>
  <c r="L1631"/>
  <c r="K1631"/>
  <c r="L1632"/>
  <c r="K1632"/>
  <c r="K1633"/>
  <c r="L1634"/>
  <c r="K1634"/>
  <c r="K1635"/>
  <c r="N1635" s="1"/>
  <c r="O1635" s="1"/>
  <c r="K1636"/>
  <c r="N1636" s="1"/>
  <c r="O1636" s="1"/>
  <c r="K1637"/>
  <c r="N1637" s="1"/>
  <c r="O1637" s="1"/>
  <c r="K1638"/>
  <c r="N1638" s="1"/>
  <c r="O1638" s="1"/>
  <c r="K1639"/>
  <c r="N1639" s="1"/>
  <c r="O1639" s="1"/>
  <c r="K1640"/>
  <c r="N1640" s="1"/>
  <c r="O1640" s="1"/>
  <c r="L1641"/>
  <c r="K1641"/>
  <c r="K1642"/>
  <c r="N1642" s="1"/>
  <c r="O1642" s="1"/>
  <c r="L1644"/>
  <c r="K1643"/>
  <c r="N1643" s="1"/>
  <c r="O1643" s="1"/>
  <c r="K1644"/>
  <c r="K1645"/>
  <c r="N1645" s="1"/>
  <c r="O1645" s="1"/>
  <c r="L1646"/>
  <c r="K1646"/>
  <c r="K1647"/>
  <c r="N1647" s="1"/>
  <c r="O1647" s="1"/>
  <c r="L1648"/>
  <c r="K1648"/>
  <c r="K1649"/>
  <c r="L1649"/>
  <c r="K1650"/>
  <c r="N1650" s="1"/>
  <c r="O1650" s="1"/>
  <c r="K1651"/>
  <c r="N1651" s="1"/>
  <c r="O1651" s="1"/>
  <c r="K1652"/>
  <c r="N1652" s="1"/>
  <c r="O1652" s="1"/>
  <c r="K1653"/>
  <c r="N1653" s="1"/>
  <c r="O1653" s="1"/>
  <c r="K1654"/>
  <c r="N1654" s="1"/>
  <c r="O1654" s="1"/>
  <c r="N1565" l="1"/>
  <c r="O1565" s="1"/>
  <c r="N1556"/>
  <c r="O1556" s="1"/>
  <c r="N1605"/>
  <c r="O1605" s="1"/>
  <c r="N1606"/>
  <c r="O1606" s="1"/>
  <c r="N1644"/>
  <c r="O1644" s="1"/>
  <c r="N1547"/>
  <c r="O1547" s="1"/>
  <c r="N1546"/>
  <c r="O1546" s="1"/>
  <c r="N1541"/>
  <c r="O1541" s="1"/>
  <c r="N1536"/>
  <c r="O1536" s="1"/>
  <c r="N1534"/>
  <c r="O1534" s="1"/>
  <c r="N1530"/>
  <c r="O1530" s="1"/>
  <c r="N1625"/>
  <c r="O1625" s="1"/>
  <c r="N1543"/>
  <c r="O1543" s="1"/>
  <c r="N1537"/>
  <c r="O1537" s="1"/>
  <c r="N1533"/>
  <c r="O1533" s="1"/>
  <c r="N1532"/>
  <c r="O1532" s="1"/>
  <c r="N1531"/>
  <c r="O1531" s="1"/>
  <c r="N1535"/>
  <c r="O1535" s="1"/>
  <c r="N1540"/>
  <c r="O1540" s="1"/>
  <c r="N1542"/>
  <c r="O1542" s="1"/>
  <c r="N1544"/>
  <c r="O1544" s="1"/>
  <c r="N1588"/>
  <c r="O1588" s="1"/>
  <c r="N1587"/>
  <c r="O1587" s="1"/>
  <c r="N1574"/>
  <c r="O1574" s="1"/>
  <c r="N1558"/>
  <c r="O1558" s="1"/>
  <c r="N1554"/>
  <c r="O1554" s="1"/>
  <c r="N1551"/>
  <c r="O1551" s="1"/>
  <c r="N1549"/>
  <c r="O1549" s="1"/>
  <c r="N1550"/>
  <c r="O1550" s="1"/>
  <c r="N1552"/>
  <c r="O1552" s="1"/>
  <c r="N1553"/>
  <c r="O1553" s="1"/>
  <c r="N1646"/>
  <c r="O1646" s="1"/>
  <c r="N1631"/>
  <c r="O1631" s="1"/>
  <c r="N1628"/>
  <c r="O1628" s="1"/>
  <c r="N1623"/>
  <c r="O1623" s="1"/>
  <c r="N1620"/>
  <c r="O1620" s="1"/>
  <c r="N1619"/>
  <c r="O1619" s="1"/>
  <c r="N1616"/>
  <c r="O1616" s="1"/>
  <c r="N1601"/>
  <c r="O1601" s="1"/>
  <c r="N1600"/>
  <c r="O1600" s="1"/>
  <c r="N1566"/>
  <c r="O1566" s="1"/>
  <c r="N1562"/>
  <c r="O1562" s="1"/>
  <c r="N1570"/>
  <c r="O1570" s="1"/>
  <c r="N1604"/>
  <c r="O1604" s="1"/>
  <c r="N1571"/>
  <c r="O1571" s="1"/>
  <c r="N1576"/>
  <c r="O1576" s="1"/>
  <c r="N1578"/>
  <c r="O1578" s="1"/>
  <c r="N1584"/>
  <c r="O1584" s="1"/>
  <c r="N1596"/>
  <c r="O1596" s="1"/>
  <c r="N1599"/>
  <c r="O1599" s="1"/>
  <c r="N1602"/>
  <c r="O1602" s="1"/>
  <c r="N1603"/>
  <c r="O1603" s="1"/>
  <c r="N1641"/>
  <c r="O1641" s="1"/>
  <c r="N1634"/>
  <c r="O1634" s="1"/>
  <c r="N1632"/>
  <c r="O1632" s="1"/>
  <c r="N1621"/>
  <c r="O1621" s="1"/>
  <c r="N1610"/>
  <c r="O1610" s="1"/>
  <c r="N1609"/>
  <c r="O1609" s="1"/>
  <c r="N1613"/>
  <c r="O1613" s="1"/>
  <c r="N1614"/>
  <c r="O1614" s="1"/>
  <c r="N1622"/>
  <c r="O1622" s="1"/>
  <c r="N1624"/>
  <c r="O1624" s="1"/>
  <c r="N1626"/>
  <c r="O1626" s="1"/>
  <c r="N1627"/>
  <c r="O1627" s="1"/>
  <c r="N1648"/>
  <c r="O1648" s="1"/>
  <c r="N1633"/>
  <c r="O1633" s="1"/>
  <c r="N1649"/>
  <c r="O1649" s="1"/>
  <c r="K1655"/>
  <c r="N1655" s="1"/>
  <c r="O1655" s="1"/>
  <c r="L1656"/>
  <c r="K1656"/>
  <c r="K1657"/>
  <c r="N1657" s="1"/>
  <c r="O1657" s="1"/>
  <c r="L1658"/>
  <c r="K1658"/>
  <c r="K1659"/>
  <c r="K1660"/>
  <c r="K1661"/>
  <c r="K1662"/>
  <c r="K1663"/>
  <c r="L1664"/>
  <c r="K1664"/>
  <c r="K1665"/>
  <c r="N1665" s="1"/>
  <c r="O1665" s="1"/>
  <c r="K1666"/>
  <c r="N1666" s="1"/>
  <c r="O1666" s="1"/>
  <c r="K1667"/>
  <c r="N1667" s="1"/>
  <c r="O1667" s="1"/>
  <c r="L1668"/>
  <c r="K1668"/>
  <c r="K1669"/>
  <c r="N1669" s="1"/>
  <c r="O1669" s="1"/>
  <c r="L1670"/>
  <c r="K1670"/>
  <c r="L1671"/>
  <c r="K1671"/>
  <c r="L1672"/>
  <c r="N1672" s="1"/>
  <c r="O1672" s="1"/>
  <c r="K1673"/>
  <c r="N1673" s="1"/>
  <c r="O1673" s="1"/>
  <c r="K1676"/>
  <c r="K1674"/>
  <c r="N1674" s="1"/>
  <c r="O1674" s="1"/>
  <c r="K1675"/>
  <c r="N1675" s="1"/>
  <c r="O1675" s="1"/>
  <c r="L1677"/>
  <c r="L1678"/>
  <c r="K1678"/>
  <c r="K1679"/>
  <c r="N1679" s="1"/>
  <c r="O1679" s="1"/>
  <c r="K1680"/>
  <c r="N1680" s="1"/>
  <c r="O1680" s="1"/>
  <c r="K1681"/>
  <c r="N1681" s="1"/>
  <c r="O1681" s="1"/>
  <c r="L1682"/>
  <c r="K1682"/>
  <c r="K1683"/>
  <c r="L1685"/>
  <c r="L1684"/>
  <c r="K1684"/>
  <c r="K1685"/>
  <c r="K1686"/>
  <c r="K1687"/>
  <c r="L1688"/>
  <c r="K1688"/>
  <c r="K1689"/>
  <c r="L1690"/>
  <c r="K1690"/>
  <c r="L1691"/>
  <c r="K1691"/>
  <c r="L1692"/>
  <c r="K1692"/>
  <c r="K1693"/>
  <c r="N1693" s="1"/>
  <c r="O1693" s="1"/>
  <c r="K1694"/>
  <c r="N1694" s="1"/>
  <c r="O1694" s="1"/>
  <c r="K1695"/>
  <c r="N1695" s="1"/>
  <c r="O1695" s="1"/>
  <c r="K1696"/>
  <c r="N1696" s="1"/>
  <c r="O1696" s="1"/>
  <c r="L1698"/>
  <c r="L1699"/>
  <c r="N1697"/>
  <c r="O1697" s="1"/>
  <c r="K1698"/>
  <c r="K1699"/>
  <c r="K1700"/>
  <c r="N1700" s="1"/>
  <c r="O1700" s="1"/>
  <c r="K1701"/>
  <c r="N1701" s="1"/>
  <c r="O1701" s="1"/>
  <c r="K1702"/>
  <c r="N1702" s="1"/>
  <c r="O1702" s="1"/>
  <c r="K1703"/>
  <c r="N1703" s="1"/>
  <c r="O1703" s="1"/>
  <c r="K1704"/>
  <c r="N1704" s="1"/>
  <c r="O1704" s="1"/>
  <c r="L1705"/>
  <c r="K1705"/>
  <c r="K1706"/>
  <c r="N1706" s="1"/>
  <c r="O1706" s="1"/>
  <c r="L1707"/>
  <c r="K1707"/>
  <c r="K1708"/>
  <c r="K1709"/>
  <c r="L1710"/>
  <c r="K1710"/>
  <c r="L1711"/>
  <c r="K1711"/>
  <c r="K1712"/>
  <c r="L1713"/>
  <c r="K1713"/>
  <c r="L1714"/>
  <c r="K1714"/>
  <c r="K1715"/>
  <c r="N1715" s="1"/>
  <c r="O1715" s="1"/>
  <c r="L1716"/>
  <c r="K1716"/>
  <c r="L1717"/>
  <c r="K1717"/>
  <c r="L1718"/>
  <c r="K1718"/>
  <c r="K1722"/>
  <c r="N1722" s="1"/>
  <c r="O1722" s="1"/>
  <c r="K1721"/>
  <c r="N1721" s="1"/>
  <c r="O1721" s="1"/>
  <c r="L1719"/>
  <c r="K1719"/>
  <c r="L1720"/>
  <c r="K1720"/>
  <c r="K1723"/>
  <c r="L1725"/>
  <c r="K1725"/>
  <c r="K1724"/>
  <c r="N1724" s="1"/>
  <c r="O1724" s="1"/>
  <c r="L1726"/>
  <c r="K1726"/>
  <c r="L1727"/>
  <c r="L1728"/>
  <c r="K1727"/>
  <c r="K1728"/>
  <c r="K1729"/>
  <c r="N1729" s="1"/>
  <c r="O1729" s="1"/>
  <c r="K1730"/>
  <c r="N1730" s="1"/>
  <c r="O1730" s="1"/>
  <c r="K1731"/>
  <c r="N1731" s="1"/>
  <c r="O1731" s="1"/>
  <c r="L1734"/>
  <c r="N1732"/>
  <c r="O1732" s="1"/>
  <c r="K1733"/>
  <c r="N1733" s="1"/>
  <c r="O1733" s="1"/>
  <c r="K1734"/>
  <c r="K1735"/>
  <c r="N1735" s="1"/>
  <c r="O1735" s="1"/>
  <c r="K1736"/>
  <c r="K1737"/>
  <c r="N1737" s="1"/>
  <c r="O1737" s="1"/>
  <c r="L1738"/>
  <c r="K1738"/>
  <c r="K1739"/>
  <c r="K1740"/>
  <c r="N1740" s="1"/>
  <c r="O1740" s="1"/>
  <c r="K1741"/>
  <c r="N1741" s="1"/>
  <c r="O1741" s="1"/>
  <c r="L1742"/>
  <c r="L1743"/>
  <c r="K1742"/>
  <c r="K1743"/>
  <c r="K1744"/>
  <c r="N1744" s="1"/>
  <c r="O1744" s="1"/>
  <c r="K1745"/>
  <c r="N1745" s="1"/>
  <c r="O1745" s="1"/>
  <c r="K1746"/>
  <c r="K1747"/>
  <c r="N1747" s="1"/>
  <c r="O1747" s="1"/>
  <c r="K1748"/>
  <c r="N1749"/>
  <c r="O1749" s="1"/>
  <c r="N1750"/>
  <c r="O1750" s="1"/>
  <c r="K1752"/>
  <c r="K1753"/>
  <c r="K1754"/>
  <c r="K1755"/>
  <c r="L1756"/>
  <c r="K1757"/>
  <c r="K1758"/>
  <c r="L1759"/>
  <c r="K1759"/>
  <c r="L1760"/>
  <c r="K1760"/>
  <c r="L1761"/>
  <c r="K1761"/>
  <c r="K1762"/>
  <c r="L1766"/>
  <c r="L1763"/>
  <c r="K1763"/>
  <c r="L1768"/>
  <c r="K1768"/>
  <c r="K1767"/>
  <c r="N1662" l="1"/>
  <c r="O1662" s="1"/>
  <c r="N1661"/>
  <c r="O1661" s="1"/>
  <c r="N1660"/>
  <c r="O1660" s="1"/>
  <c r="N1659"/>
  <c r="O1659" s="1"/>
  <c r="N1668"/>
  <c r="O1668" s="1"/>
  <c r="N1664"/>
  <c r="O1664" s="1"/>
  <c r="N1656"/>
  <c r="O1656" s="1"/>
  <c r="N1658"/>
  <c r="O1658" s="1"/>
  <c r="N1663"/>
  <c r="O1663" s="1"/>
  <c r="N1719"/>
  <c r="O1719" s="1"/>
  <c r="N1717"/>
  <c r="O1717" s="1"/>
  <c r="N1714"/>
  <c r="O1714" s="1"/>
  <c r="N1713"/>
  <c r="O1713" s="1"/>
  <c r="N1678"/>
  <c r="O1678" s="1"/>
  <c r="N1671"/>
  <c r="O1671" s="1"/>
  <c r="N1670"/>
  <c r="O1670" s="1"/>
  <c r="N1705"/>
  <c r="O1705" s="1"/>
  <c r="N1676"/>
  <c r="O1676" s="1"/>
  <c r="N1677"/>
  <c r="O1677" s="1"/>
  <c r="N1683"/>
  <c r="O1683" s="1"/>
  <c r="N1682"/>
  <c r="O1682" s="1"/>
  <c r="N1685"/>
  <c r="O1685" s="1"/>
  <c r="N1684"/>
  <c r="O1684" s="1"/>
  <c r="N1686"/>
  <c r="O1686" s="1"/>
  <c r="N1687"/>
  <c r="O1687" s="1"/>
  <c r="N1688"/>
  <c r="O1688" s="1"/>
  <c r="N1689"/>
  <c r="O1689" s="1"/>
  <c r="N1690"/>
  <c r="O1690" s="1"/>
  <c r="N1691"/>
  <c r="O1691" s="1"/>
  <c r="N1692"/>
  <c r="O1692" s="1"/>
  <c r="N1698"/>
  <c r="O1698" s="1"/>
  <c r="N1699"/>
  <c r="O1699" s="1"/>
  <c r="N1707"/>
  <c r="O1707" s="1"/>
  <c r="N1708"/>
  <c r="O1708" s="1"/>
  <c r="N1709"/>
  <c r="O1709" s="1"/>
  <c r="N1710"/>
  <c r="O1710" s="1"/>
  <c r="N1711"/>
  <c r="O1711" s="1"/>
  <c r="N1712"/>
  <c r="O1712" s="1"/>
  <c r="N1716"/>
  <c r="O1716" s="1"/>
  <c r="N1718"/>
  <c r="O1718" s="1"/>
  <c r="N1720"/>
  <c r="O1720" s="1"/>
  <c r="N1754"/>
  <c r="O1754" s="1"/>
  <c r="N1726"/>
  <c r="O1726" s="1"/>
  <c r="N1723"/>
  <c r="O1723" s="1"/>
  <c r="N1725"/>
  <c r="O1725" s="1"/>
  <c r="N1727"/>
  <c r="O1727" s="1"/>
  <c r="N1752"/>
  <c r="O1752" s="1"/>
  <c r="N1742"/>
  <c r="O1742" s="1"/>
  <c r="N1728"/>
  <c r="O1728" s="1"/>
  <c r="N1734"/>
  <c r="O1734" s="1"/>
  <c r="N1736"/>
  <c r="O1736" s="1"/>
  <c r="N1738"/>
  <c r="O1738" s="1"/>
  <c r="N1739"/>
  <c r="O1739" s="1"/>
  <c r="N1743"/>
  <c r="O1743" s="1"/>
  <c r="N1746"/>
  <c r="O1746" s="1"/>
  <c r="N1748"/>
  <c r="O1748" s="1"/>
  <c r="N1751"/>
  <c r="O1751" s="1"/>
  <c r="N1753"/>
  <c r="O1753" s="1"/>
  <c r="N1768"/>
  <c r="O1768" s="1"/>
  <c r="N1767"/>
  <c r="O1767" s="1"/>
  <c r="N1758"/>
  <c r="O1758" s="1"/>
  <c r="N1755"/>
  <c r="O1755" s="1"/>
  <c r="N1757"/>
  <c r="O1757" s="1"/>
  <c r="N1761"/>
  <c r="O1761" s="1"/>
  <c r="O1756"/>
  <c r="N1759"/>
  <c r="O1759" s="1"/>
  <c r="N1760"/>
  <c r="O1760" s="1"/>
  <c r="N1762"/>
  <c r="O1762" s="1"/>
  <c r="N1763"/>
  <c r="O1763" s="1"/>
  <c r="L1764"/>
  <c r="K1764"/>
  <c r="K1765"/>
  <c r="K1766"/>
  <c r="K1769"/>
  <c r="N1769" s="1"/>
  <c r="O1769" s="1"/>
  <c r="K1770"/>
  <c r="L1771"/>
  <c r="K1771"/>
  <c r="K1775"/>
  <c r="L1772"/>
  <c r="K1772"/>
  <c r="K1773"/>
  <c r="L1774"/>
  <c r="K1774"/>
  <c r="L1777"/>
  <c r="K1777"/>
  <c r="L1778"/>
  <c r="K1778"/>
  <c r="L1779"/>
  <c r="K1779"/>
  <c r="L1780"/>
  <c r="K1780"/>
  <c r="K1781"/>
  <c r="L1782"/>
  <c r="L1783"/>
  <c r="K1783"/>
  <c r="L1784"/>
  <c r="K1784"/>
  <c r="K1785"/>
  <c r="N1785" s="1"/>
  <c r="O1785" s="1"/>
  <c r="L1786"/>
  <c r="K1787"/>
  <c r="K1786"/>
  <c r="L1789"/>
  <c r="K1788"/>
  <c r="K1789"/>
  <c r="K1790"/>
  <c r="K1791"/>
  <c r="L1792"/>
  <c r="K1792"/>
  <c r="K1793"/>
  <c r="L1794"/>
  <c r="K1794"/>
  <c r="L1795"/>
  <c r="K1795"/>
  <c r="L1796"/>
  <c r="K1796"/>
  <c r="K1797"/>
  <c r="K1799"/>
  <c r="L1798"/>
  <c r="K1798"/>
  <c r="L1800"/>
  <c r="K1800"/>
  <c r="K1801"/>
  <c r="L1803"/>
  <c r="L1802"/>
  <c r="K1802"/>
  <c r="K1803"/>
  <c r="K1804"/>
  <c r="L1805"/>
  <c r="K1805"/>
  <c r="L1806"/>
  <c r="K1806"/>
  <c r="L1807"/>
  <c r="K1807"/>
  <c r="L1808"/>
  <c r="K1808"/>
  <c r="L1809"/>
  <c r="K1809"/>
  <c r="L1811"/>
  <c r="L1810"/>
  <c r="K1810"/>
  <c r="K1811"/>
  <c r="K1812"/>
  <c r="L1815"/>
  <c r="L1814"/>
  <c r="K1813"/>
  <c r="K1814"/>
  <c r="K1815"/>
  <c r="K1816"/>
  <c r="K1817"/>
  <c r="L1818"/>
  <c r="K1818"/>
  <c r="L1819"/>
  <c r="K1819"/>
  <c r="L1820"/>
  <c r="K1820"/>
  <c r="L1821"/>
  <c r="K1821"/>
  <c r="L1822"/>
  <c r="K1822"/>
  <c r="K1823"/>
  <c r="L1824"/>
  <c r="K1824"/>
  <c r="K1825"/>
  <c r="L1826"/>
  <c r="K1826"/>
  <c r="L1828"/>
  <c r="L1829"/>
  <c r="L1830"/>
  <c r="L1841"/>
  <c r="K1827"/>
  <c r="N1827" s="1"/>
  <c r="O1827" s="1"/>
  <c r="K1828"/>
  <c r="K1829"/>
  <c r="K1830"/>
  <c r="K1831"/>
  <c r="N1831" s="1"/>
  <c r="O1831" s="1"/>
  <c r="K1832"/>
  <c r="N1832" s="1"/>
  <c r="O1832" s="1"/>
  <c r="K1833"/>
  <c r="N1833" s="1"/>
  <c r="O1833" s="1"/>
  <c r="K1834"/>
  <c r="N1834" s="1"/>
  <c r="O1834" s="1"/>
  <c r="K1835"/>
  <c r="N1835" s="1"/>
  <c r="O1835" s="1"/>
  <c r="K1836"/>
  <c r="N1836" s="1"/>
  <c r="O1836" s="1"/>
  <c r="K1837"/>
  <c r="N1837" s="1"/>
  <c r="O1837" s="1"/>
  <c r="L1839"/>
  <c r="L1842"/>
  <c r="K1838"/>
  <c r="N1838" s="1"/>
  <c r="O1838" s="1"/>
  <c r="K1839"/>
  <c r="K1840"/>
  <c r="N1840" s="1"/>
  <c r="O1840" s="1"/>
  <c r="K1842"/>
  <c r="K1841"/>
  <c r="K1843"/>
  <c r="N1843" s="1"/>
  <c r="O1843" s="1"/>
  <c r="K1844"/>
  <c r="N1844" s="1"/>
  <c r="O1844" s="1"/>
  <c r="L1845"/>
  <c r="K1845"/>
  <c r="K1846"/>
  <c r="N1846" s="1"/>
  <c r="O1846" s="1"/>
  <c r="K1847"/>
  <c r="N1847" s="1"/>
  <c r="O1847" s="1"/>
  <c r="K1848"/>
  <c r="K1849"/>
  <c r="L1850"/>
  <c r="K1850"/>
  <c r="L1851"/>
  <c r="K1851"/>
  <c r="N1812" l="1"/>
  <c r="O1812" s="1"/>
  <c r="N1808"/>
  <c r="O1808" s="1"/>
  <c r="N1775"/>
  <c r="O1775" s="1"/>
  <c r="N1779"/>
  <c r="O1779" s="1"/>
  <c r="N1778"/>
  <c r="O1778" s="1"/>
  <c r="N1788"/>
  <c r="O1788" s="1"/>
  <c r="N1772"/>
  <c r="O1772" s="1"/>
  <c r="N1764"/>
  <c r="O1764" s="1"/>
  <c r="N1765"/>
  <c r="O1765" s="1"/>
  <c r="N1766"/>
  <c r="O1766" s="1"/>
  <c r="N1770"/>
  <c r="O1770" s="1"/>
  <c r="N1771"/>
  <c r="O1771" s="1"/>
  <c r="N1773"/>
  <c r="O1773" s="1"/>
  <c r="N1774"/>
  <c r="O1774" s="1"/>
  <c r="N1776"/>
  <c r="O1776" s="1"/>
  <c r="N1777"/>
  <c r="O1777" s="1"/>
  <c r="N1781"/>
  <c r="O1781" s="1"/>
  <c r="N1780"/>
  <c r="O1780" s="1"/>
  <c r="N1782"/>
  <c r="O1782" s="1"/>
  <c r="N1783"/>
  <c r="O1783" s="1"/>
  <c r="N1784"/>
  <c r="O1784" s="1"/>
  <c r="N1787"/>
  <c r="O1787" s="1"/>
  <c r="N1786"/>
  <c r="O1786" s="1"/>
  <c r="N1790"/>
  <c r="O1790" s="1"/>
  <c r="N1789"/>
  <c r="O1789" s="1"/>
  <c r="N1845"/>
  <c r="O1845" s="1"/>
  <c r="N1820"/>
  <c r="O1820" s="1"/>
  <c r="N1799"/>
  <c r="O1799" s="1"/>
  <c r="N1792"/>
  <c r="O1792" s="1"/>
  <c r="N1791"/>
  <c r="O1791" s="1"/>
  <c r="N1793"/>
  <c r="O1793" s="1"/>
  <c r="N1795"/>
  <c r="O1795" s="1"/>
  <c r="N1794"/>
  <c r="O1794" s="1"/>
  <c r="N1797"/>
  <c r="O1797" s="1"/>
  <c r="N1796"/>
  <c r="O1796" s="1"/>
  <c r="N1813"/>
  <c r="O1813" s="1"/>
  <c r="N1822"/>
  <c r="O1822" s="1"/>
  <c r="N1798"/>
  <c r="O1798" s="1"/>
  <c r="N1800"/>
  <c r="O1800" s="1"/>
  <c r="N1801"/>
  <c r="O1801" s="1"/>
  <c r="N1803"/>
  <c r="O1803" s="1"/>
  <c r="N1802"/>
  <c r="O1802" s="1"/>
  <c r="N1804"/>
  <c r="O1804" s="1"/>
  <c r="N1805"/>
  <c r="O1805" s="1"/>
  <c r="N1806"/>
  <c r="O1806" s="1"/>
  <c r="N1807"/>
  <c r="O1807" s="1"/>
  <c r="N1809"/>
  <c r="O1809" s="1"/>
  <c r="N1811"/>
  <c r="O1811" s="1"/>
  <c r="N1810"/>
  <c r="O1810" s="1"/>
  <c r="N1816"/>
  <c r="O1816" s="1"/>
  <c r="N1815"/>
  <c r="O1815" s="1"/>
  <c r="N1814"/>
  <c r="O1814" s="1"/>
  <c r="N1817"/>
  <c r="O1817" s="1"/>
  <c r="N1818"/>
  <c r="O1818" s="1"/>
  <c r="N1819"/>
  <c r="O1819" s="1"/>
  <c r="N1821"/>
  <c r="O1821" s="1"/>
  <c r="N1823"/>
  <c r="O1823" s="1"/>
  <c r="N1824"/>
  <c r="O1824" s="1"/>
  <c r="N1828"/>
  <c r="O1828" s="1"/>
  <c r="N1825"/>
  <c r="O1825" s="1"/>
  <c r="N1826"/>
  <c r="O1826" s="1"/>
  <c r="N1830"/>
  <c r="O1830" s="1"/>
  <c r="N1829"/>
  <c r="O1829" s="1"/>
  <c r="N1841"/>
  <c r="O1841" s="1"/>
  <c r="N1839"/>
  <c r="O1839" s="1"/>
  <c r="N1842"/>
  <c r="O1842" s="1"/>
  <c r="N1848"/>
  <c r="O1848" s="1"/>
  <c r="N1849"/>
  <c r="O1849" s="1"/>
  <c r="N1850"/>
  <c r="O1850" s="1"/>
  <c r="N1851"/>
  <c r="O1851" s="1"/>
  <c r="L1852"/>
  <c r="K1852"/>
  <c r="L1854"/>
  <c r="L1855"/>
  <c r="L1856"/>
  <c r="L1857"/>
  <c r="L1860"/>
  <c r="L1862"/>
  <c r="K1853"/>
  <c r="K1854"/>
  <c r="K1855"/>
  <c r="K1856"/>
  <c r="K1857"/>
  <c r="K1858"/>
  <c r="K1859"/>
  <c r="K1860"/>
  <c r="K1861"/>
  <c r="K1862"/>
  <c r="K1863"/>
  <c r="K1864"/>
  <c r="K1865"/>
  <c r="K1866"/>
  <c r="L1867"/>
  <c r="K1867"/>
  <c r="L1868"/>
  <c r="K1868"/>
  <c r="K1869"/>
  <c r="L1870"/>
  <c r="K1870"/>
  <c r="K1871"/>
  <c r="K1872"/>
  <c r="K1873"/>
  <c r="K1874"/>
  <c r="L1875"/>
  <c r="K1875"/>
  <c r="K1876"/>
  <c r="L1877"/>
  <c r="K1877"/>
  <c r="K1878"/>
  <c r="K1879"/>
  <c r="N1879" s="1"/>
  <c r="O1879" s="1"/>
  <c r="K1880"/>
  <c r="N1880" s="1"/>
  <c r="O1880" s="1"/>
  <c r="L1883"/>
  <c r="K1881"/>
  <c r="N1881" s="1"/>
  <c r="O1881" s="1"/>
  <c r="K1882"/>
  <c r="N1882" s="1"/>
  <c r="O1882" s="1"/>
  <c r="K1883"/>
  <c r="K1884"/>
  <c r="N1884" s="1"/>
  <c r="O1884" s="1"/>
  <c r="K1885"/>
  <c r="N1885" s="1"/>
  <c r="O1885" s="1"/>
  <c r="K1886"/>
  <c r="N1886" s="1"/>
  <c r="O1886" s="1"/>
  <c r="K1887"/>
  <c r="N1887" s="1"/>
  <c r="O1887" s="1"/>
  <c r="K1888"/>
  <c r="N1888" s="1"/>
  <c r="O1888" s="1"/>
  <c r="K1889"/>
  <c r="N1889" s="1"/>
  <c r="O1889" s="1"/>
  <c r="L1890"/>
  <c r="K1890"/>
  <c r="K1891"/>
  <c r="N1891" s="1"/>
  <c r="O1891" s="1"/>
  <c r="K1892"/>
  <c r="N1892" s="1"/>
  <c r="O1892" s="1"/>
  <c r="K1893"/>
  <c r="N1893" s="1"/>
  <c r="O1893" s="1"/>
  <c r="K1894"/>
  <c r="K1895"/>
  <c r="K1896"/>
  <c r="K1897"/>
  <c r="L1898"/>
  <c r="K1898"/>
  <c r="L1899"/>
  <c r="K1899"/>
  <c r="K1900"/>
  <c r="K1901"/>
  <c r="K1902"/>
  <c r="L1903"/>
  <c r="K1903"/>
  <c r="K1904"/>
  <c r="N1904" s="1"/>
  <c r="O1904" s="1"/>
  <c r="K1905"/>
  <c r="N1905" s="1"/>
  <c r="O1905" s="1"/>
  <c r="K1906"/>
  <c r="N1906" s="1"/>
  <c r="O1906" s="1"/>
  <c r="L1908"/>
  <c r="K1907"/>
  <c r="N1907" s="1"/>
  <c r="O1907" s="1"/>
  <c r="K1908"/>
  <c r="K1909"/>
  <c r="N1909" s="1"/>
  <c r="O1909" s="1"/>
  <c r="K1910"/>
  <c r="L1911"/>
  <c r="K1911"/>
  <c r="L1912"/>
  <c r="K1912"/>
  <c r="K1913"/>
  <c r="N1913" s="1"/>
  <c r="O1913" s="1"/>
  <c r="L1914"/>
  <c r="K1914"/>
  <c r="K1915"/>
  <c r="K1916"/>
  <c r="N1916" s="1"/>
  <c r="O1916" s="1"/>
  <c r="L1917"/>
  <c r="K1917"/>
  <c r="K1918"/>
  <c r="N1918" s="1"/>
  <c r="O1918" s="1"/>
  <c r="K1919"/>
  <c r="L1920"/>
  <c r="K1920"/>
  <c r="K1921"/>
  <c r="K1922"/>
  <c r="L1923"/>
  <c r="K1923"/>
  <c r="K1924"/>
  <c r="N1924" s="1"/>
  <c r="O1924" s="1"/>
  <c r="K1925"/>
  <c r="K1926"/>
  <c r="K1927"/>
  <c r="L1928"/>
  <c r="K1928"/>
  <c r="L1929"/>
  <c r="K1929"/>
  <c r="K1930"/>
  <c r="K1931"/>
  <c r="N1931" s="1"/>
  <c r="O1931" s="1"/>
  <c r="K1932"/>
  <c r="K1933"/>
  <c r="K1934"/>
  <c r="N1934" s="1"/>
  <c r="O1934" s="1"/>
  <c r="K1935"/>
  <c r="N1935" s="1"/>
  <c r="O1935" s="1"/>
  <c r="K1936"/>
  <c r="N1936" s="1"/>
  <c r="O1936" s="1"/>
  <c r="K1937"/>
  <c r="K1938"/>
  <c r="N1938" s="1"/>
  <c r="O1938" s="1"/>
  <c r="K1939"/>
  <c r="N1939" s="1"/>
  <c r="O1939" s="1"/>
  <c r="K1940"/>
  <c r="N1940" s="1"/>
  <c r="O1940" s="1"/>
  <c r="L1941"/>
  <c r="K1941"/>
  <c r="K1942"/>
  <c r="L1946"/>
  <c r="K1946"/>
  <c r="K1944"/>
  <c r="L1945"/>
  <c r="K1945"/>
  <c r="K1943"/>
  <c r="N1943" s="1"/>
  <c r="O1943" s="1"/>
  <c r="K1947"/>
  <c r="N1947" s="1"/>
  <c r="O1947" s="1"/>
  <c r="L1948"/>
  <c r="K1948"/>
  <c r="K1949"/>
  <c r="N1949" s="1"/>
  <c r="O1949" s="1"/>
  <c r="K1950"/>
  <c r="N1950" s="1"/>
  <c r="O1950" s="1"/>
  <c r="L1952"/>
  <c r="K1951"/>
  <c r="N1951" s="1"/>
  <c r="O1951" s="1"/>
  <c r="K1952"/>
  <c r="K1953"/>
  <c r="N1953" s="1"/>
  <c r="O1953" s="1"/>
  <c r="K1954"/>
  <c r="K1955"/>
  <c r="L1956"/>
  <c r="K1956"/>
  <c r="K1957"/>
  <c r="K1958"/>
  <c r="L1959"/>
  <c r="K1959"/>
  <c r="K1960"/>
  <c r="N1960" s="1"/>
  <c r="O1960" s="1"/>
  <c r="K1961"/>
  <c r="N1961" s="1"/>
  <c r="O1961" s="1"/>
  <c r="K1962"/>
  <c r="N1962" s="1"/>
  <c r="O1962" s="1"/>
  <c r="K1963"/>
  <c r="N1963" s="1"/>
  <c r="O1963" s="1"/>
  <c r="K1964"/>
  <c r="N1964" s="1"/>
  <c r="O1964" s="1"/>
  <c r="L1965"/>
  <c r="K1965"/>
  <c r="L1966"/>
  <c r="K1966"/>
  <c r="K1967"/>
  <c r="N1967" s="1"/>
  <c r="O1967" s="1"/>
  <c r="K1968"/>
  <c r="N1968" s="1"/>
  <c r="O1968" s="1"/>
  <c r="K1969"/>
  <c r="N1969" s="1"/>
  <c r="O1969" s="1"/>
  <c r="K1970"/>
  <c r="N1970" s="1"/>
  <c r="O1970" s="1"/>
  <c r="K1971"/>
  <c r="L1972"/>
  <c r="K1972"/>
  <c r="K1973"/>
  <c r="N1973" s="1"/>
  <c r="O1973" s="1"/>
  <c r="K1974"/>
  <c r="N1974" s="1"/>
  <c r="O1974" s="1"/>
  <c r="K1975"/>
  <c r="N1975" s="1"/>
  <c r="O1975" s="1"/>
  <c r="K1976"/>
  <c r="N1976" s="1"/>
  <c r="O1976" s="1"/>
  <c r="K1977"/>
  <c r="L1978"/>
  <c r="K1978"/>
  <c r="K1979"/>
  <c r="N1979" s="1"/>
  <c r="O1979" s="1"/>
  <c r="L1981"/>
  <c r="L1980"/>
  <c r="K1980"/>
  <c r="K1981"/>
  <c r="K1982"/>
  <c r="N1982" s="1"/>
  <c r="O1982" s="1"/>
  <c r="K1983"/>
  <c r="L1984"/>
  <c r="K1984"/>
  <c r="K1985"/>
  <c r="K1986"/>
  <c r="L1987"/>
  <c r="K1987"/>
  <c r="K1988"/>
  <c r="N1988" s="1"/>
  <c r="O1988" s="1"/>
  <c r="K1989"/>
  <c r="N1989" s="1"/>
  <c r="O1989" s="1"/>
  <c r="K1990"/>
  <c r="N1990" s="1"/>
  <c r="O1990" s="1"/>
  <c r="K1991"/>
  <c r="N1991" s="1"/>
  <c r="O1991" s="1"/>
  <c r="K1992"/>
  <c r="N1992" s="1"/>
  <c r="O1992" s="1"/>
  <c r="L1994"/>
  <c r="K1993"/>
  <c r="K1994"/>
  <c r="K1995"/>
  <c r="K1996"/>
  <c r="K1997"/>
  <c r="L1998"/>
  <c r="K1998"/>
  <c r="K1999"/>
  <c r="L2000"/>
  <c r="L2001"/>
  <c r="K2000"/>
  <c r="K2001"/>
  <c r="K2002"/>
  <c r="L2003"/>
  <c r="K2003"/>
  <c r="L2004"/>
  <c r="K2004"/>
  <c r="L2005"/>
  <c r="K2005"/>
  <c r="K2006"/>
  <c r="L2007"/>
  <c r="K2007"/>
  <c r="K2008"/>
  <c r="N2008" s="1"/>
  <c r="O2008" s="1"/>
  <c r="K2009"/>
  <c r="N2009" s="1"/>
  <c r="O2009" s="1"/>
  <c r="K2010"/>
  <c r="N2010" s="1"/>
  <c r="O2010" s="1"/>
  <c r="K2011"/>
  <c r="N2011" s="1"/>
  <c r="O2011" s="1"/>
  <c r="K2012"/>
  <c r="N2012" s="1"/>
  <c r="O2012" s="1"/>
  <c r="K2013"/>
  <c r="N2013" s="1"/>
  <c r="O2013" s="1"/>
  <c r="K2014"/>
  <c r="N2014" s="1"/>
  <c r="O2014" s="1"/>
  <c r="K2015"/>
  <c r="N2015" s="1"/>
  <c r="O2015" s="1"/>
  <c r="K2016"/>
  <c r="L2017"/>
  <c r="K2017"/>
  <c r="K2018"/>
  <c r="N2018" s="1"/>
  <c r="O2018" s="1"/>
  <c r="K2019"/>
  <c r="N2019" s="1"/>
  <c r="O2019" s="1"/>
  <c r="K2020"/>
  <c r="L2021"/>
  <c r="K2021"/>
  <c r="L2022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L2040"/>
  <c r="K2045"/>
  <c r="L2039"/>
  <c r="K2039"/>
  <c r="K2040"/>
  <c r="K2041"/>
  <c r="K2042"/>
  <c r="K2043"/>
  <c r="K2044"/>
  <c r="K2046"/>
  <c r="K2047"/>
  <c r="K2048"/>
  <c r="N1861" l="1"/>
  <c r="O1861" s="1"/>
  <c r="N1864"/>
  <c r="O1864" s="1"/>
  <c r="N1853"/>
  <c r="O1853" s="1"/>
  <c r="N1870"/>
  <c r="O1870" s="1"/>
  <c r="N1852"/>
  <c r="O1852" s="1"/>
  <c r="N1854"/>
  <c r="O1854" s="1"/>
  <c r="N1855"/>
  <c r="O1855" s="1"/>
  <c r="N1856"/>
  <c r="O1856" s="1"/>
  <c r="N1857"/>
  <c r="O1857" s="1"/>
  <c r="N1858"/>
  <c r="O1858" s="1"/>
  <c r="N1859"/>
  <c r="O1859" s="1"/>
  <c r="N1860"/>
  <c r="O1860" s="1"/>
  <c r="N1862"/>
  <c r="O1862" s="1"/>
  <c r="N1863"/>
  <c r="O1863" s="1"/>
  <c r="N1865"/>
  <c r="O1865" s="1"/>
  <c r="N1866"/>
  <c r="O1866" s="1"/>
  <c r="N1867"/>
  <c r="O1867" s="1"/>
  <c r="N1868"/>
  <c r="O1868" s="1"/>
  <c r="N1869"/>
  <c r="O1869" s="1"/>
  <c r="N1871"/>
  <c r="O1871" s="1"/>
  <c r="N1872"/>
  <c r="O1872" s="1"/>
  <c r="N1873"/>
  <c r="O1873" s="1"/>
  <c r="N1874"/>
  <c r="O1874" s="1"/>
  <c r="N1875"/>
  <c r="O1875" s="1"/>
  <c r="N1876"/>
  <c r="O1876" s="1"/>
  <c r="N1877"/>
  <c r="O1877" s="1"/>
  <c r="N1878"/>
  <c r="O1878" s="1"/>
  <c r="N1933"/>
  <c r="O1933" s="1"/>
  <c r="N1919"/>
  <c r="O1919" s="1"/>
  <c r="N1890"/>
  <c r="O1890" s="1"/>
  <c r="N1930"/>
  <c r="O1930" s="1"/>
  <c r="N1927"/>
  <c r="O1927" s="1"/>
  <c r="N1900"/>
  <c r="O1900" s="1"/>
  <c r="N1895"/>
  <c r="O1895" s="1"/>
  <c r="N1946"/>
  <c r="O1946" s="1"/>
  <c r="N1908"/>
  <c r="O1908" s="1"/>
  <c r="N1883"/>
  <c r="O1883" s="1"/>
  <c r="N1915"/>
  <c r="O1915" s="1"/>
  <c r="N1894"/>
  <c r="O1894" s="1"/>
  <c r="N1937"/>
  <c r="O1937" s="1"/>
  <c r="N1921"/>
  <c r="O1921" s="1"/>
  <c r="N1920"/>
  <c r="O1920" s="1"/>
  <c r="N1896"/>
  <c r="O1896" s="1"/>
  <c r="N1917"/>
  <c r="O1917" s="1"/>
  <c r="N1926"/>
  <c r="O1926" s="1"/>
  <c r="N1901"/>
  <c r="O1901" s="1"/>
  <c r="N1957"/>
  <c r="O1957" s="1"/>
  <c r="N1922"/>
  <c r="O1922" s="1"/>
  <c r="N1912"/>
  <c r="O1912" s="1"/>
  <c r="N1897"/>
  <c r="O1897" s="1"/>
  <c r="N1898"/>
  <c r="O1898" s="1"/>
  <c r="N1899"/>
  <c r="O1899" s="1"/>
  <c r="N1902"/>
  <c r="O1902" s="1"/>
  <c r="N1903"/>
  <c r="O1903" s="1"/>
  <c r="N1910"/>
  <c r="O1910" s="1"/>
  <c r="N1911"/>
  <c r="O1911" s="1"/>
  <c r="N1914"/>
  <c r="O1914" s="1"/>
  <c r="N1923"/>
  <c r="O1923" s="1"/>
  <c r="N1925"/>
  <c r="O1925" s="1"/>
  <c r="N1928"/>
  <c r="O1928" s="1"/>
  <c r="N1929"/>
  <c r="O1929" s="1"/>
  <c r="N1932"/>
  <c r="O1932" s="1"/>
  <c r="N1980"/>
  <c r="O1980" s="1"/>
  <c r="N1941"/>
  <c r="O1941" s="1"/>
  <c r="N1942"/>
  <c r="O1942" s="1"/>
  <c r="N2048"/>
  <c r="O2048" s="1"/>
  <c r="N2045"/>
  <c r="O2045" s="1"/>
  <c r="N2035"/>
  <c r="O2035" s="1"/>
  <c r="N2033"/>
  <c r="O2033" s="1"/>
  <c r="N2032"/>
  <c r="O2032" s="1"/>
  <c r="N2031"/>
  <c r="O2031" s="1"/>
  <c r="N2030"/>
  <c r="O2030" s="1"/>
  <c r="N2029"/>
  <c r="O2029" s="1"/>
  <c r="N2028"/>
  <c r="O2028" s="1"/>
  <c r="N2026"/>
  <c r="O2026" s="1"/>
  <c r="N2025"/>
  <c r="O2025" s="1"/>
  <c r="N2023"/>
  <c r="O2023" s="1"/>
  <c r="N2007"/>
  <c r="O2007" s="1"/>
  <c r="N2003"/>
  <c r="O2003" s="1"/>
  <c r="N1985"/>
  <c r="O1985" s="1"/>
  <c r="N1944"/>
  <c r="O1944" s="1"/>
  <c r="N1945"/>
  <c r="O1945" s="1"/>
  <c r="N1948"/>
  <c r="O1948" s="1"/>
  <c r="N1952"/>
  <c r="O1952" s="1"/>
  <c r="N1954"/>
  <c r="O1954" s="1"/>
  <c r="N1955"/>
  <c r="O1955" s="1"/>
  <c r="N1956"/>
  <c r="O1956" s="1"/>
  <c r="N1958"/>
  <c r="O1958" s="1"/>
  <c r="N1959"/>
  <c r="O1959" s="1"/>
  <c r="N1965"/>
  <c r="O1965" s="1"/>
  <c r="N1966"/>
  <c r="O1966" s="1"/>
  <c r="N1971"/>
  <c r="O1971" s="1"/>
  <c r="N1972"/>
  <c r="O1972" s="1"/>
  <c r="N1977"/>
  <c r="O1977" s="1"/>
  <c r="N1978"/>
  <c r="O1978" s="1"/>
  <c r="N1981"/>
  <c r="O1981" s="1"/>
  <c r="N1983"/>
  <c r="O1983" s="1"/>
  <c r="N1984"/>
  <c r="O1984" s="1"/>
  <c r="N1986"/>
  <c r="O1986" s="1"/>
  <c r="N1987"/>
  <c r="O1987" s="1"/>
  <c r="N2047"/>
  <c r="O2047" s="1"/>
  <c r="N2046"/>
  <c r="O2046" s="1"/>
  <c r="N2044"/>
  <c r="O2044" s="1"/>
  <c r="N2043"/>
  <c r="O2043" s="1"/>
  <c r="N1995"/>
  <c r="O1995" s="1"/>
  <c r="N1994"/>
  <c r="O1994" s="1"/>
  <c r="N1993"/>
  <c r="O1993" s="1"/>
  <c r="N1996"/>
  <c r="O1996" s="1"/>
  <c r="N1997"/>
  <c r="O1997" s="1"/>
  <c r="N1998"/>
  <c r="O1998" s="1"/>
  <c r="N1999"/>
  <c r="O1999" s="1"/>
  <c r="N2000"/>
  <c r="O2000" s="1"/>
  <c r="N2001"/>
  <c r="O2001" s="1"/>
  <c r="N2002"/>
  <c r="O2002" s="1"/>
  <c r="N2004"/>
  <c r="O2004" s="1"/>
  <c r="N2005"/>
  <c r="O2005" s="1"/>
  <c r="N2006"/>
  <c r="O2006" s="1"/>
  <c r="N2016"/>
  <c r="O2016" s="1"/>
  <c r="N2017"/>
  <c r="O2017" s="1"/>
  <c r="N2020"/>
  <c r="O2020" s="1"/>
  <c r="N2021"/>
  <c r="O2021" s="1"/>
  <c r="N2022"/>
  <c r="O2022" s="1"/>
  <c r="N2024"/>
  <c r="O2024" s="1"/>
  <c r="N2027"/>
  <c r="O2027" s="1"/>
  <c r="N2034"/>
  <c r="O2034" s="1"/>
  <c r="N2036"/>
  <c r="O2036" s="1"/>
  <c r="N2038"/>
  <c r="O2038" s="1"/>
  <c r="N2037"/>
  <c r="O2037" s="1"/>
  <c r="N2040"/>
  <c r="O2040" s="1"/>
  <c r="N2039"/>
  <c r="O2039" s="1"/>
  <c r="N2041"/>
  <c r="O2041" s="1"/>
  <c r="N2042"/>
  <c r="O2042" s="1"/>
  <c r="L2049" l="1"/>
  <c r="K2049"/>
  <c r="L2050"/>
  <c r="K2050"/>
  <c r="N2051"/>
  <c r="O2051" s="1"/>
  <c r="N2052"/>
  <c r="O2052" s="1"/>
  <c r="N2053"/>
  <c r="O2053" s="1"/>
  <c r="N2049" l="1"/>
  <c r="O2049" s="1"/>
  <c r="N2050"/>
  <c r="O2050" s="1"/>
  <c r="L2054" l="1"/>
  <c r="K2054"/>
  <c r="K2055"/>
  <c r="K2056"/>
  <c r="K2057"/>
  <c r="K2058"/>
  <c r="K2059"/>
  <c r="L2060"/>
  <c r="K2060"/>
  <c r="N2061"/>
  <c r="O2061" s="1"/>
  <c r="K2062"/>
  <c r="N2062" s="1"/>
  <c r="O2062" s="1"/>
  <c r="K2063"/>
  <c r="N2063" s="1"/>
  <c r="O2063" s="1"/>
  <c r="K2064"/>
  <c r="N2064" s="1"/>
  <c r="O2064" s="1"/>
  <c r="K2065"/>
  <c r="N2065" s="1"/>
  <c r="O2065" s="1"/>
  <c r="L2066"/>
  <c r="K2066"/>
  <c r="K2067"/>
  <c r="K2068"/>
  <c r="L2069"/>
  <c r="K2069"/>
  <c r="K2070"/>
  <c r="N2070" s="1"/>
  <c r="O2070" s="1"/>
  <c r="K2071"/>
  <c r="N2071" s="1"/>
  <c r="O2071" s="1"/>
  <c r="K2072"/>
  <c r="N2072" s="1"/>
  <c r="O2072" s="1"/>
  <c r="L2073"/>
  <c r="K2073"/>
  <c r="K2074"/>
  <c r="K2075"/>
  <c r="K2076"/>
  <c r="K2077"/>
  <c r="K2089"/>
  <c r="N2089" s="1"/>
  <c r="O2089" s="1"/>
  <c r="L2093"/>
  <c r="K2093"/>
  <c r="K2078"/>
  <c r="K2079"/>
  <c r="K2080"/>
  <c r="K2081"/>
  <c r="K2082"/>
  <c r="L2083"/>
  <c r="K2083"/>
  <c r="K2084"/>
  <c r="N2084" s="1"/>
  <c r="O2084" s="1"/>
  <c r="L2090"/>
  <c r="K2085"/>
  <c r="N2085" s="1"/>
  <c r="O2085" s="1"/>
  <c r="K2086"/>
  <c r="N2086" s="1"/>
  <c r="O2086" s="1"/>
  <c r="K2087"/>
  <c r="N2087" s="1"/>
  <c r="O2087" s="1"/>
  <c r="K2088"/>
  <c r="N2088" s="1"/>
  <c r="O2088" s="1"/>
  <c r="K2090"/>
  <c r="K2091"/>
  <c r="N2091" s="1"/>
  <c r="O2091" s="1"/>
  <c r="K2092"/>
  <c r="N2092" s="1"/>
  <c r="O2092" s="1"/>
  <c r="K2094"/>
  <c r="K2095"/>
  <c r="K2096"/>
  <c r="K2097"/>
  <c r="L2098"/>
  <c r="K2098"/>
  <c r="K2099"/>
  <c r="K2100"/>
  <c r="K2101"/>
  <c r="K2102"/>
  <c r="K2103"/>
  <c r="L2104"/>
  <c r="K2104"/>
  <c r="K2105"/>
  <c r="N2105" s="1"/>
  <c r="O2105" s="1"/>
  <c r="K2106"/>
  <c r="N2106" s="1"/>
  <c r="O2106" s="1"/>
  <c r="K2107"/>
  <c r="L2108"/>
  <c r="K2108"/>
  <c r="L2109"/>
  <c r="K2109"/>
  <c r="L2110"/>
  <c r="K2110"/>
  <c r="K2111"/>
  <c r="N2111" s="1"/>
  <c r="O2111" s="1"/>
  <c r="K2112"/>
  <c r="N2112" s="1"/>
  <c r="O2112" s="1"/>
  <c r="K2113"/>
  <c r="N2113" s="1"/>
  <c r="O2113" s="1"/>
  <c r="K2114"/>
  <c r="N2114" s="1"/>
  <c r="O2114" s="1"/>
  <c r="K2115"/>
  <c r="N2115" s="1"/>
  <c r="O2115" s="1"/>
  <c r="K2116"/>
  <c r="N2116" s="1"/>
  <c r="O2116" s="1"/>
  <c r="K2117"/>
  <c r="N2117" s="1"/>
  <c r="O2117" s="1"/>
  <c r="K2118"/>
  <c r="N2118" s="1"/>
  <c r="O2118" s="1"/>
  <c r="K2119"/>
  <c r="L2120"/>
  <c r="K2120"/>
  <c r="K2121"/>
  <c r="K2122"/>
  <c r="L2123"/>
  <c r="K2123"/>
  <c r="K2124"/>
  <c r="N2124" s="1"/>
  <c r="O2124" s="1"/>
  <c r="L2125"/>
  <c r="K2125"/>
  <c r="L2126"/>
  <c r="K2126"/>
  <c r="K2127"/>
  <c r="L2128"/>
  <c r="K2128"/>
  <c r="L2129"/>
  <c r="K2129"/>
  <c r="L2130"/>
  <c r="K2130"/>
  <c r="L2131"/>
  <c r="K2131"/>
  <c r="L2132"/>
  <c r="K2132"/>
  <c r="L2133"/>
  <c r="K2133"/>
  <c r="L2134"/>
  <c r="K2134"/>
  <c r="L2135"/>
  <c r="K2135"/>
  <c r="K2136"/>
  <c r="N2136" s="1"/>
  <c r="O2136" s="1"/>
  <c r="K2137"/>
  <c r="N2137" s="1"/>
  <c r="O2137" s="1"/>
  <c r="N2101" l="1"/>
  <c r="O2101" s="1"/>
  <c r="N2102"/>
  <c r="O2102" s="1"/>
  <c r="N2060"/>
  <c r="O2060" s="1"/>
  <c r="N2100"/>
  <c r="O2100" s="1"/>
  <c r="N2135"/>
  <c r="O2135" s="1"/>
  <c r="N2099"/>
  <c r="O2099" s="1"/>
  <c r="N2081"/>
  <c r="O2081" s="1"/>
  <c r="N2080"/>
  <c r="O2080" s="1"/>
  <c r="N2078"/>
  <c r="O2078" s="1"/>
  <c r="N2067"/>
  <c r="O2067" s="1"/>
  <c r="N2096"/>
  <c r="O2096" s="1"/>
  <c r="N2095"/>
  <c r="O2095" s="1"/>
  <c r="N2077"/>
  <c r="O2077" s="1"/>
  <c r="N2076"/>
  <c r="O2076" s="1"/>
  <c r="N2075"/>
  <c r="O2075" s="1"/>
  <c r="N2058"/>
  <c r="O2058" s="1"/>
  <c r="N2057"/>
  <c r="O2057" s="1"/>
  <c r="N2056"/>
  <c r="O2056" s="1"/>
  <c r="N2055"/>
  <c r="O2055" s="1"/>
  <c r="N2054"/>
  <c r="O2054" s="1"/>
  <c r="N2059"/>
  <c r="O2059" s="1"/>
  <c r="N2066"/>
  <c r="O2066" s="1"/>
  <c r="N2068"/>
  <c r="O2068" s="1"/>
  <c r="N2069"/>
  <c r="O2069" s="1"/>
  <c r="N2074"/>
  <c r="O2074" s="1"/>
  <c r="N2073"/>
  <c r="O2073" s="1"/>
  <c r="N2093"/>
  <c r="O2093" s="1"/>
  <c r="N2079"/>
  <c r="O2079" s="1"/>
  <c r="N2082"/>
  <c r="O2082" s="1"/>
  <c r="N2083"/>
  <c r="O2083" s="1"/>
  <c r="N2090"/>
  <c r="O2090" s="1"/>
  <c r="N2094"/>
  <c r="O2094" s="1"/>
  <c r="N2097"/>
  <c r="O2097" s="1"/>
  <c r="N2098"/>
  <c r="O2098" s="1"/>
  <c r="N2103"/>
  <c r="O2103" s="1"/>
  <c r="N2104"/>
  <c r="O2104" s="1"/>
  <c r="N2107"/>
  <c r="O2107" s="1"/>
  <c r="N2108"/>
  <c r="O2108" s="1"/>
  <c r="N2109"/>
  <c r="O2109" s="1"/>
  <c r="N2110"/>
  <c r="O2110" s="1"/>
  <c r="N2119"/>
  <c r="O2119" s="1"/>
  <c r="N2120"/>
  <c r="O2120" s="1"/>
  <c r="N2121"/>
  <c r="O2121" s="1"/>
  <c r="N2122"/>
  <c r="O2122" s="1"/>
  <c r="N2123"/>
  <c r="O2123" s="1"/>
  <c r="N2125"/>
  <c r="O2125" s="1"/>
  <c r="N2127"/>
  <c r="O2127" s="1"/>
  <c r="N2126"/>
  <c r="O2126" s="1"/>
  <c r="N2128"/>
  <c r="O2128" s="1"/>
  <c r="N2129"/>
  <c r="O2129" s="1"/>
  <c r="N2130"/>
  <c r="O2130" s="1"/>
  <c r="N2131"/>
  <c r="O2131" s="1"/>
  <c r="N2132"/>
  <c r="O2132" s="1"/>
  <c r="N2133"/>
  <c r="O2133" s="1"/>
  <c r="N2134"/>
  <c r="O2134" s="1"/>
  <c r="L2138"/>
  <c r="L2139"/>
  <c r="L2141"/>
  <c r="K2138"/>
  <c r="K2139"/>
  <c r="K2140"/>
  <c r="N2140" s="1"/>
  <c r="O2140" s="1"/>
  <c r="K2141"/>
  <c r="K2142"/>
  <c r="N2142" s="1"/>
  <c r="O2142" s="1"/>
  <c r="L2147"/>
  <c r="N2146"/>
  <c r="O2146" s="1"/>
  <c r="L2145"/>
  <c r="N2144"/>
  <c r="O2144" s="1"/>
  <c r="K2147"/>
  <c r="K2145"/>
  <c r="K2143"/>
  <c r="N2143" s="1"/>
  <c r="O2143" s="1"/>
  <c r="L2149"/>
  <c r="L2148"/>
  <c r="K2150"/>
  <c r="N2150" s="1"/>
  <c r="O2150" s="1"/>
  <c r="K2149"/>
  <c r="K2148"/>
  <c r="L2156"/>
  <c r="K2151"/>
  <c r="N2151" s="1"/>
  <c r="O2151" s="1"/>
  <c r="L2155"/>
  <c r="K2157"/>
  <c r="N2157" s="1"/>
  <c r="O2157" s="1"/>
  <c r="K2156"/>
  <c r="K2155"/>
  <c r="K2154"/>
  <c r="N2154" s="1"/>
  <c r="O2154" s="1"/>
  <c r="K2153"/>
  <c r="N2153" s="1"/>
  <c r="O2153" s="1"/>
  <c r="K2152"/>
  <c r="N2152" s="1"/>
  <c r="O2152" s="1"/>
  <c r="L2162"/>
  <c r="L2161"/>
  <c r="N2161" s="1"/>
  <c r="O2161" s="1"/>
  <c r="L2159"/>
  <c r="L2158"/>
  <c r="K2162"/>
  <c r="K2160"/>
  <c r="N2160" s="1"/>
  <c r="O2160" s="1"/>
  <c r="K2159"/>
  <c r="K2158"/>
  <c r="K2163"/>
  <c r="N2163" s="1"/>
  <c r="O2163" s="1"/>
  <c r="L2164"/>
  <c r="K2164"/>
  <c r="L2165"/>
  <c r="K2165"/>
  <c r="L2166"/>
  <c r="K2166"/>
  <c r="K2167"/>
  <c r="N2167" s="1"/>
  <c r="O2167" s="1"/>
  <c r="L2168"/>
  <c r="K2168"/>
  <c r="K2169"/>
  <c r="N2169" s="1"/>
  <c r="O2169" s="1"/>
  <c r="L2170"/>
  <c r="K2170"/>
  <c r="L2174"/>
  <c r="L2173"/>
  <c r="L2172"/>
  <c r="K2177"/>
  <c r="K2178"/>
  <c r="K2180"/>
  <c r="K2179"/>
  <c r="K2175"/>
  <c r="K2174"/>
  <c r="K2173"/>
  <c r="K2172"/>
  <c r="K2171"/>
  <c r="N2171" s="1"/>
  <c r="O2171" s="1"/>
  <c r="K2176"/>
  <c r="L2179"/>
  <c r="L2177"/>
  <c r="L2202"/>
  <c r="L2195"/>
  <c r="L2193"/>
  <c r="L2190"/>
  <c r="L2185"/>
  <c r="K2202"/>
  <c r="K2201"/>
  <c r="K2200"/>
  <c r="N2200" s="1"/>
  <c r="O2200" s="1"/>
  <c r="K2199"/>
  <c r="N2199" s="1"/>
  <c r="O2199" s="1"/>
  <c r="K2198"/>
  <c r="N2198" s="1"/>
  <c r="O2198" s="1"/>
  <c r="K2197"/>
  <c r="K2196"/>
  <c r="N2196" s="1"/>
  <c r="O2196" s="1"/>
  <c r="K2195"/>
  <c r="K2194"/>
  <c r="K2193"/>
  <c r="K2192"/>
  <c r="K2191"/>
  <c r="K2190"/>
  <c r="K2189"/>
  <c r="K2188"/>
  <c r="K2187"/>
  <c r="K2186"/>
  <c r="K2185"/>
  <c r="K2184"/>
  <c r="K2183"/>
  <c r="K2182"/>
  <c r="K2181"/>
  <c r="N2165" l="1"/>
  <c r="O2165" s="1"/>
  <c r="N2156"/>
  <c r="O2156" s="1"/>
  <c r="N2192"/>
  <c r="O2192" s="1"/>
  <c r="N2175"/>
  <c r="O2175" s="1"/>
  <c r="N2180"/>
  <c r="O2180" s="1"/>
  <c r="N2183"/>
  <c r="O2183" s="1"/>
  <c r="N2179"/>
  <c r="O2179" s="1"/>
  <c r="N2166"/>
  <c r="O2166" s="1"/>
  <c r="N2164"/>
  <c r="O2164" s="1"/>
  <c r="N2172"/>
  <c r="O2172" s="1"/>
  <c r="N2174"/>
  <c r="O2174" s="1"/>
  <c r="N2158"/>
  <c r="O2158" s="1"/>
  <c r="N2148"/>
  <c r="O2148" s="1"/>
  <c r="N2145"/>
  <c r="O2145" s="1"/>
  <c r="N2147"/>
  <c r="O2147" s="1"/>
  <c r="N2139"/>
  <c r="O2139" s="1"/>
  <c r="N2176"/>
  <c r="O2176" s="1"/>
  <c r="N2173"/>
  <c r="O2173" s="1"/>
  <c r="N2170"/>
  <c r="O2170" s="1"/>
  <c r="N2168"/>
  <c r="O2168" s="1"/>
  <c r="N2159"/>
  <c r="O2159" s="1"/>
  <c r="N2162"/>
  <c r="O2162" s="1"/>
  <c r="N2155"/>
  <c r="O2155" s="1"/>
  <c r="N2149"/>
  <c r="O2149" s="1"/>
  <c r="N2141"/>
  <c r="O2141" s="1"/>
  <c r="N2138"/>
  <c r="O2138" s="1"/>
  <c r="N2190"/>
  <c r="O2190" s="1"/>
  <c r="N2178"/>
  <c r="O2178" s="1"/>
  <c r="N2177"/>
  <c r="O2177" s="1"/>
  <c r="N2185"/>
  <c r="O2185" s="1"/>
  <c r="N2193"/>
  <c r="O2193" s="1"/>
  <c r="N2202"/>
  <c r="O2202" s="1"/>
  <c r="N2182"/>
  <c r="O2182" s="1"/>
  <c r="N2184"/>
  <c r="O2184" s="1"/>
  <c r="N2186"/>
  <c r="O2186" s="1"/>
  <c r="N2188"/>
  <c r="O2188" s="1"/>
  <c r="N2191"/>
  <c r="O2191" s="1"/>
  <c r="N2194"/>
  <c r="O2194" s="1"/>
  <c r="N2197"/>
  <c r="O2197" s="1"/>
  <c r="N2201"/>
  <c r="O2201" s="1"/>
  <c r="N2195"/>
  <c r="O2195" s="1"/>
  <c r="N2181"/>
  <c r="O2181" s="1"/>
  <c r="N2187"/>
  <c r="O2187" s="1"/>
  <c r="N2189"/>
  <c r="O2189" s="1"/>
  <c r="L2278"/>
  <c r="L2275"/>
  <c r="L2271"/>
  <c r="L2270"/>
  <c r="L2269"/>
  <c r="L2268"/>
  <c r="L2267"/>
  <c r="L2257"/>
  <c r="L2244"/>
  <c r="L2243"/>
  <c r="L2240"/>
  <c r="L2235"/>
  <c r="L2228"/>
  <c r="L2227"/>
  <c r="L2222"/>
  <c r="L2220"/>
  <c r="L2219"/>
  <c r="L2218"/>
  <c r="L2215"/>
  <c r="L2214"/>
  <c r="L2213"/>
  <c r="L2212"/>
  <c r="L2210"/>
  <c r="L2209"/>
  <c r="L2208"/>
  <c r="L2207"/>
  <c r="L2206"/>
  <c r="L2205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N2242" s="1"/>
  <c r="O2242" s="1"/>
  <c r="K2241"/>
  <c r="N2241" s="1"/>
  <c r="O2241" s="1"/>
  <c r="K2240"/>
  <c r="K2239"/>
  <c r="N2239" s="1"/>
  <c r="O2239" s="1"/>
  <c r="K2238"/>
  <c r="N2238" s="1"/>
  <c r="O2238" s="1"/>
  <c r="K2237"/>
  <c r="N2237" s="1"/>
  <c r="O2237" s="1"/>
  <c r="K2236"/>
  <c r="N2236" s="1"/>
  <c r="O2236" s="1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N2263" l="1"/>
  <c r="O2263" s="1"/>
  <c r="N2279"/>
  <c r="O2279" s="1"/>
  <c r="N2226"/>
  <c r="O2226" s="1"/>
  <c r="N2246"/>
  <c r="O2246" s="1"/>
  <c r="N2250"/>
  <c r="O2250" s="1"/>
  <c r="N2254"/>
  <c r="O2254" s="1"/>
  <c r="N2259"/>
  <c r="O2259" s="1"/>
  <c r="N2221"/>
  <c r="O2221" s="1"/>
  <c r="N2225"/>
  <c r="O2225" s="1"/>
  <c r="N2230"/>
  <c r="O2230" s="1"/>
  <c r="N2234"/>
  <c r="O2234" s="1"/>
  <c r="N2258"/>
  <c r="O2258" s="1"/>
  <c r="N2262"/>
  <c r="O2262" s="1"/>
  <c r="N2266"/>
  <c r="O2266" s="1"/>
  <c r="N2274"/>
  <c r="O2274" s="1"/>
  <c r="N2245"/>
  <c r="O2245" s="1"/>
  <c r="N2249"/>
  <c r="O2249" s="1"/>
  <c r="N2253"/>
  <c r="O2253" s="1"/>
  <c r="N2261"/>
  <c r="O2261" s="1"/>
  <c r="N2277"/>
  <c r="O2277" s="1"/>
  <c r="N2204"/>
  <c r="O2204" s="1"/>
  <c r="N2216"/>
  <c r="O2216" s="1"/>
  <c r="N2224"/>
  <c r="O2224" s="1"/>
  <c r="N2232"/>
  <c r="O2232" s="1"/>
  <c r="N2248"/>
  <c r="O2248" s="1"/>
  <c r="N2252"/>
  <c r="O2252" s="1"/>
  <c r="N2256"/>
  <c r="O2256" s="1"/>
  <c r="N2260"/>
  <c r="O2260" s="1"/>
  <c r="N2264"/>
  <c r="O2264" s="1"/>
  <c r="N2272"/>
  <c r="O2272" s="1"/>
  <c r="N2276"/>
  <c r="O2276" s="1"/>
  <c r="N2233"/>
  <c r="O2233" s="1"/>
  <c r="N2265"/>
  <c r="O2265" s="1"/>
  <c r="N2273"/>
  <c r="O2273" s="1"/>
  <c r="N2223"/>
  <c r="O2223" s="1"/>
  <c r="N2247"/>
  <c r="O2247" s="1"/>
  <c r="N2251"/>
  <c r="O2251" s="1"/>
  <c r="N2255"/>
  <c r="O2255" s="1"/>
  <c r="N2203"/>
  <c r="O2203" s="1"/>
  <c r="N2211"/>
  <c r="O2211" s="1"/>
  <c r="N2217"/>
  <c r="O2217" s="1"/>
  <c r="N2229"/>
  <c r="O2229" s="1"/>
  <c r="N2231"/>
  <c r="O2231" s="1"/>
  <c r="N2205"/>
  <c r="O2205" s="1"/>
  <c r="N2207"/>
  <c r="O2207" s="1"/>
  <c r="N2209"/>
  <c r="O2209" s="1"/>
  <c r="N2212"/>
  <c r="O2212" s="1"/>
  <c r="N2214"/>
  <c r="O2214" s="1"/>
  <c r="N2218"/>
  <c r="O2218" s="1"/>
  <c r="N2220"/>
  <c r="O2220" s="1"/>
  <c r="N2227"/>
  <c r="O2227" s="1"/>
  <c r="N2235"/>
  <c r="O2235" s="1"/>
  <c r="N2243"/>
  <c r="O2243" s="1"/>
  <c r="N2257"/>
  <c r="O2257" s="1"/>
  <c r="N2268"/>
  <c r="O2268" s="1"/>
  <c r="N2270"/>
  <c r="O2270" s="1"/>
  <c r="N2275"/>
  <c r="O2275" s="1"/>
  <c r="N2206"/>
  <c r="O2206" s="1"/>
  <c r="N2208"/>
  <c r="O2208" s="1"/>
  <c r="N2210"/>
  <c r="O2210" s="1"/>
  <c r="N2213"/>
  <c r="O2213" s="1"/>
  <c r="N2215"/>
  <c r="O2215" s="1"/>
  <c r="N2219"/>
  <c r="O2219" s="1"/>
  <c r="N2222"/>
  <c r="O2222" s="1"/>
  <c r="N2228"/>
  <c r="O2228" s="1"/>
  <c r="N2240"/>
  <c r="O2240" s="1"/>
  <c r="N2244"/>
  <c r="O2244" s="1"/>
  <c r="N2267"/>
  <c r="O2267" s="1"/>
  <c r="N2269"/>
  <c r="O2269" s="1"/>
  <c r="N2271"/>
  <c r="O2271" s="1"/>
  <c r="N2278"/>
  <c r="O2278" s="1"/>
  <c r="L2426"/>
  <c r="K2426"/>
  <c r="K2425"/>
  <c r="K2424"/>
  <c r="L2423"/>
  <c r="K2423"/>
  <c r="K2422"/>
  <c r="L2421"/>
  <c r="K2421"/>
  <c r="L2420"/>
  <c r="K2420"/>
  <c r="K2419"/>
  <c r="K2418"/>
  <c r="K2417"/>
  <c r="L2416"/>
  <c r="K2416"/>
  <c r="L2415"/>
  <c r="K2415"/>
  <c r="L2414"/>
  <c r="K2414"/>
  <c r="K2413"/>
  <c r="N2413" s="1"/>
  <c r="O2413" s="1"/>
  <c r="L2412"/>
  <c r="K2412"/>
  <c r="K2411"/>
  <c r="N2411" s="1"/>
  <c r="O2411" s="1"/>
  <c r="L2410"/>
  <c r="K2410"/>
  <c r="L2409"/>
  <c r="K2409"/>
  <c r="K2408"/>
  <c r="N2408" s="1"/>
  <c r="O2408" s="1"/>
  <c r="L2407"/>
  <c r="K2407"/>
  <c r="K2406"/>
  <c r="N2406" s="1"/>
  <c r="O2406" s="1"/>
  <c r="L2405"/>
  <c r="K2405"/>
  <c r="L2404"/>
  <c r="K2404"/>
  <c r="L2403"/>
  <c r="K2403"/>
  <c r="L2402"/>
  <c r="K2402"/>
  <c r="K2401"/>
  <c r="N2401" s="1"/>
  <c r="O2401" s="1"/>
  <c r="L2400"/>
  <c r="K2400"/>
  <c r="L2399"/>
  <c r="K2399"/>
  <c r="K2398"/>
  <c r="N2398" s="1"/>
  <c r="O2398" s="1"/>
  <c r="K2397"/>
  <c r="N2397" s="1"/>
  <c r="O2397" s="1"/>
  <c r="L2396"/>
  <c r="K2396"/>
  <c r="K2395"/>
  <c r="N2395" s="1"/>
  <c r="O2395" s="1"/>
  <c r="K2394"/>
  <c r="N2394" s="1"/>
  <c r="O2394" s="1"/>
  <c r="L2393"/>
  <c r="K2393"/>
  <c r="K2392"/>
  <c r="N2392" s="1"/>
  <c r="O2392" s="1"/>
  <c r="K2391"/>
  <c r="N2391" s="1"/>
  <c r="O2391" s="1"/>
  <c r="L2390"/>
  <c r="K2390"/>
  <c r="K2389"/>
  <c r="N2389" s="1"/>
  <c r="O2389" s="1"/>
  <c r="K2388"/>
  <c r="N2388" s="1"/>
  <c r="O2388" s="1"/>
  <c r="K2387"/>
  <c r="N2387" s="1"/>
  <c r="O2387" s="1"/>
  <c r="K2386"/>
  <c r="N2386" s="1"/>
  <c r="O2386" s="1"/>
  <c r="L2385"/>
  <c r="K2385"/>
  <c r="L2384"/>
  <c r="K2384"/>
  <c r="L2383"/>
  <c r="K2383"/>
  <c r="K2382"/>
  <c r="N2382" s="1"/>
  <c r="O2382" s="1"/>
  <c r="L2381"/>
  <c r="K2381"/>
  <c r="L2380"/>
  <c r="K2380"/>
  <c r="K2379"/>
  <c r="N2379" s="1"/>
  <c r="O2379" s="1"/>
  <c r="K2378"/>
  <c r="N2378" s="1"/>
  <c r="O2378" s="1"/>
  <c r="K2377"/>
  <c r="N2377" s="1"/>
  <c r="O2377" s="1"/>
  <c r="K2376"/>
  <c r="N2376" s="1"/>
  <c r="O2376" s="1"/>
  <c r="K2375"/>
  <c r="N2375" s="1"/>
  <c r="O2375" s="1"/>
  <c r="K2374"/>
  <c r="N2374" s="1"/>
  <c r="O2374" s="1"/>
  <c r="K2373"/>
  <c r="N2373" s="1"/>
  <c r="O2373" s="1"/>
  <c r="L2372"/>
  <c r="K2372"/>
  <c r="K2371"/>
  <c r="N2371" s="1"/>
  <c r="O2371" s="1"/>
  <c r="L2370"/>
  <c r="K2370"/>
  <c r="K2369"/>
  <c r="N2369" s="1"/>
  <c r="O2369" s="1"/>
  <c r="L2368"/>
  <c r="K2368"/>
  <c r="L2367"/>
  <c r="K2367"/>
  <c r="K2366"/>
  <c r="N2366" s="1"/>
  <c r="O2366" s="1"/>
  <c r="K2365"/>
  <c r="N2365" s="1"/>
  <c r="O2365" s="1"/>
  <c r="K2364"/>
  <c r="N2364" s="1"/>
  <c r="O2364" s="1"/>
  <c r="K2363"/>
  <c r="N2363" s="1"/>
  <c r="O2363" s="1"/>
  <c r="L2362"/>
  <c r="K2362"/>
  <c r="L2361"/>
  <c r="K2361"/>
  <c r="K2360"/>
  <c r="N2360" s="1"/>
  <c r="O2360" s="1"/>
  <c r="K2359"/>
  <c r="N2359" s="1"/>
  <c r="O2359" s="1"/>
  <c r="K2358"/>
  <c r="N2358" s="1"/>
  <c r="O2358" s="1"/>
  <c r="L2357"/>
  <c r="K2357"/>
  <c r="L2356"/>
  <c r="K2356"/>
  <c r="L2355"/>
  <c r="K2355"/>
  <c r="K2354"/>
  <c r="N2354" s="1"/>
  <c r="O2354" s="1"/>
  <c r="L2353"/>
  <c r="K2353"/>
  <c r="K2352"/>
  <c r="N2352" s="1"/>
  <c r="O2352" s="1"/>
  <c r="K2351"/>
  <c r="N2351" s="1"/>
  <c r="O2351" s="1"/>
  <c r="L2350"/>
  <c r="K2350"/>
  <c r="K2349"/>
  <c r="N2349" s="1"/>
  <c r="O2349" s="1"/>
  <c r="L2348"/>
  <c r="K2348"/>
  <c r="L2347"/>
  <c r="K2347"/>
  <c r="L2346"/>
  <c r="K2346"/>
  <c r="K2345"/>
  <c r="L2344"/>
  <c r="K2344"/>
  <c r="K2343"/>
  <c r="N2343" s="1"/>
  <c r="O2343" s="1"/>
  <c r="L2342"/>
  <c r="K2342"/>
  <c r="K2341"/>
  <c r="N2341" s="1"/>
  <c r="O2341" s="1"/>
  <c r="K2340"/>
  <c r="N2340" s="1"/>
  <c r="O2340" s="1"/>
  <c r="K2339"/>
  <c r="N2339" s="1"/>
  <c r="O2339" s="1"/>
  <c r="K2338"/>
  <c r="N2338" s="1"/>
  <c r="O2338" s="1"/>
  <c r="K2337"/>
  <c r="N2337" s="1"/>
  <c r="O2337" s="1"/>
  <c r="K2336"/>
  <c r="N2336" s="1"/>
  <c r="O2336" s="1"/>
  <c r="L2335"/>
  <c r="K2335"/>
  <c r="K2334"/>
  <c r="N2334" s="1"/>
  <c r="O2334" s="1"/>
  <c r="K2333"/>
  <c r="N2333" s="1"/>
  <c r="O2333" s="1"/>
  <c r="L2332"/>
  <c r="K2332"/>
  <c r="K2331"/>
  <c r="N2331" s="1"/>
  <c r="O2331" s="1"/>
  <c r="L2330"/>
  <c r="K2330"/>
  <c r="K2329"/>
  <c r="N2329" s="1"/>
  <c r="O2329" s="1"/>
  <c r="L2328"/>
  <c r="K2328"/>
  <c r="L2327"/>
  <c r="K2327"/>
  <c r="L2326"/>
  <c r="K2326"/>
  <c r="K2325"/>
  <c r="N2325" s="1"/>
  <c r="O2325" s="1"/>
  <c r="L2324"/>
  <c r="K2324"/>
  <c r="K2323"/>
  <c r="N2323" s="1"/>
  <c r="O2323" s="1"/>
  <c r="K2322"/>
  <c r="N2322" s="1"/>
  <c r="O2322" s="1"/>
  <c r="K2321"/>
  <c r="N2321" s="1"/>
  <c r="O2321" s="1"/>
  <c r="K2320"/>
  <c r="N2320" s="1"/>
  <c r="O2320" s="1"/>
  <c r="K2319"/>
  <c r="N2319" s="1"/>
  <c r="O2319" s="1"/>
  <c r="K2318"/>
  <c r="N2318" s="1"/>
  <c r="O2318" s="1"/>
  <c r="L2317"/>
  <c r="K2317"/>
  <c r="L2316"/>
  <c r="K2316"/>
  <c r="K2315"/>
  <c r="N2315" s="1"/>
  <c r="O2315" s="1"/>
  <c r="L2314"/>
  <c r="K2314"/>
  <c r="L2313"/>
  <c r="K2313"/>
  <c r="L2312"/>
  <c r="K2312"/>
  <c r="L2311"/>
  <c r="K2311"/>
  <c r="K2310"/>
  <c r="N2310" s="1"/>
  <c r="O2310" s="1"/>
  <c r="L2309"/>
  <c r="K2309"/>
  <c r="L2308"/>
  <c r="K2308"/>
  <c r="L2307"/>
  <c r="K2307"/>
  <c r="K2306"/>
  <c r="N2306" s="1"/>
  <c r="O2306" s="1"/>
  <c r="L2305"/>
  <c r="K2305"/>
  <c r="L2304"/>
  <c r="K2304"/>
  <c r="L2303"/>
  <c r="K2303"/>
  <c r="K2302"/>
  <c r="N2302" s="1"/>
  <c r="O2302" s="1"/>
  <c r="L2301"/>
  <c r="K2301"/>
  <c r="L2300"/>
  <c r="K2300"/>
  <c r="K2299"/>
  <c r="N2299" s="1"/>
  <c r="O2299" s="1"/>
  <c r="L2298"/>
  <c r="K2298"/>
  <c r="L2297"/>
  <c r="K2297"/>
  <c r="L2296"/>
  <c r="K2296"/>
  <c r="L2295"/>
  <c r="K2295"/>
  <c r="L2294"/>
  <c r="K2294"/>
  <c r="L2293"/>
  <c r="K2293"/>
  <c r="K2292"/>
  <c r="N2292" s="1"/>
  <c r="O2292" s="1"/>
  <c r="K2291"/>
  <c r="N2291" s="1"/>
  <c r="O2291" s="1"/>
  <c r="K2290"/>
  <c r="N2290" s="1"/>
  <c r="O2290" s="1"/>
  <c r="L2289"/>
  <c r="K2289"/>
  <c r="K2288"/>
  <c r="N2288" s="1"/>
  <c r="O2288" s="1"/>
  <c r="L2287"/>
  <c r="K2287"/>
  <c r="L2286"/>
  <c r="K2286"/>
  <c r="L2285"/>
  <c r="K2285"/>
  <c r="K2284"/>
  <c r="N2284" s="1"/>
  <c r="O2284" s="1"/>
  <c r="K2283"/>
  <c r="N2283" s="1"/>
  <c r="O2283" s="1"/>
  <c r="K2282"/>
  <c r="N2282" s="1"/>
  <c r="O2282" s="1"/>
  <c r="L2281"/>
  <c r="K2281"/>
  <c r="K2280"/>
  <c r="N2280" s="1"/>
  <c r="O2280" s="1"/>
  <c r="N2350" l="1"/>
  <c r="O2350" s="1"/>
  <c r="N2367"/>
  <c r="O2367" s="1"/>
  <c r="N2396"/>
  <c r="O2396" s="1"/>
  <c r="N2404"/>
  <c r="O2404" s="1"/>
  <c r="N2412"/>
  <c r="O2412" s="1"/>
  <c r="N2416"/>
  <c r="O2416" s="1"/>
  <c r="N2297"/>
  <c r="O2297" s="1"/>
  <c r="N2281"/>
  <c r="O2281" s="1"/>
  <c r="N2312"/>
  <c r="O2312" s="1"/>
  <c r="N2293"/>
  <c r="O2293" s="1"/>
  <c r="N2295"/>
  <c r="O2295" s="1"/>
  <c r="N2298"/>
  <c r="O2298" s="1"/>
  <c r="N2353"/>
  <c r="O2353" s="1"/>
  <c r="N2425"/>
  <c r="O2425" s="1"/>
  <c r="N2305"/>
  <c r="O2305" s="1"/>
  <c r="N2362"/>
  <c r="O2362" s="1"/>
  <c r="N2361"/>
  <c r="O2361" s="1"/>
  <c r="N2285"/>
  <c r="O2285" s="1"/>
  <c r="N2326"/>
  <c r="O2326" s="1"/>
  <c r="N2328"/>
  <c r="O2328" s="1"/>
  <c r="N2368"/>
  <c r="O2368" s="1"/>
  <c r="N2405"/>
  <c r="O2405" s="1"/>
  <c r="N2407"/>
  <c r="O2407" s="1"/>
  <c r="N2409"/>
  <c r="O2409" s="1"/>
  <c r="N2415"/>
  <c r="O2415" s="1"/>
  <c r="N2316"/>
  <c r="O2316" s="1"/>
  <c r="N2287"/>
  <c r="O2287" s="1"/>
  <c r="N2289"/>
  <c r="O2289" s="1"/>
  <c r="N2304"/>
  <c r="O2304" s="1"/>
  <c r="N2309"/>
  <c r="O2309" s="1"/>
  <c r="N2311"/>
  <c r="O2311" s="1"/>
  <c r="N2314"/>
  <c r="O2314" s="1"/>
  <c r="N2327"/>
  <c r="O2327" s="1"/>
  <c r="N2335"/>
  <c r="O2335" s="1"/>
  <c r="N2342"/>
  <c r="O2342" s="1"/>
  <c r="N2344"/>
  <c r="O2344" s="1"/>
  <c r="N2347"/>
  <c r="O2347" s="1"/>
  <c r="N2356"/>
  <c r="O2356" s="1"/>
  <c r="N2370"/>
  <c r="O2370" s="1"/>
  <c r="N2372"/>
  <c r="O2372" s="1"/>
  <c r="N2381"/>
  <c r="O2381" s="1"/>
  <c r="N2383"/>
  <c r="O2383" s="1"/>
  <c r="N2393"/>
  <c r="O2393" s="1"/>
  <c r="N2400"/>
  <c r="O2400" s="1"/>
  <c r="N2402"/>
  <c r="O2402" s="1"/>
  <c r="N2414"/>
  <c r="O2414" s="1"/>
  <c r="N2418"/>
  <c r="O2418" s="1"/>
  <c r="N2421"/>
  <c r="O2421" s="1"/>
  <c r="N2423"/>
  <c r="O2423" s="1"/>
  <c r="N2296"/>
  <c r="O2296" s="1"/>
  <c r="N2300"/>
  <c r="O2300" s="1"/>
  <c r="N2307"/>
  <c r="O2307" s="1"/>
  <c r="N2317"/>
  <c r="O2317" s="1"/>
  <c r="N2324"/>
  <c r="O2324" s="1"/>
  <c r="N2330"/>
  <c r="O2330" s="1"/>
  <c r="N2332"/>
  <c r="O2332" s="1"/>
  <c r="N2345"/>
  <c r="O2345" s="1"/>
  <c r="N2348"/>
  <c r="O2348" s="1"/>
  <c r="N2355"/>
  <c r="O2355" s="1"/>
  <c r="N2357"/>
  <c r="O2357" s="1"/>
  <c r="N2384"/>
  <c r="O2384" s="1"/>
  <c r="N2390"/>
  <c r="O2390" s="1"/>
  <c r="N2403"/>
  <c r="O2403" s="1"/>
  <c r="N2417"/>
  <c r="O2417" s="1"/>
  <c r="N2419"/>
  <c r="O2419" s="1"/>
  <c r="N2426"/>
  <c r="O2426" s="1"/>
  <c r="N2286"/>
  <c r="O2286" s="1"/>
  <c r="N2294"/>
  <c r="O2294" s="1"/>
  <c r="N2301"/>
  <c r="O2301" s="1"/>
  <c r="N2303"/>
  <c r="O2303" s="1"/>
  <c r="N2308"/>
  <c r="O2308" s="1"/>
  <c r="N2313"/>
  <c r="O2313" s="1"/>
  <c r="N2346"/>
  <c r="O2346" s="1"/>
  <c r="N2380"/>
  <c r="O2380" s="1"/>
  <c r="N2385"/>
  <c r="O2385" s="1"/>
  <c r="N2399"/>
  <c r="O2399" s="1"/>
  <c r="N2410"/>
  <c r="O2410" s="1"/>
  <c r="N2420"/>
  <c r="O2420" s="1"/>
  <c r="N2422"/>
  <c r="O2422" s="1"/>
  <c r="N2424"/>
  <c r="O2424" s="1"/>
</calcChain>
</file>

<file path=xl/sharedStrings.xml><?xml version="1.0" encoding="utf-8"?>
<sst xmlns="http://schemas.openxmlformats.org/spreadsheetml/2006/main" count="7269" uniqueCount="502">
  <si>
    <t>DATE</t>
  </si>
  <si>
    <t>SCRIPT</t>
  </si>
  <si>
    <t>RECO</t>
  </si>
  <si>
    <t>RATE</t>
  </si>
  <si>
    <t>BOOKED AT 1</t>
  </si>
  <si>
    <t>BOOKED AT 2</t>
  </si>
  <si>
    <t>BOOKED AT 3</t>
  </si>
  <si>
    <t>TOTAL POINTS</t>
  </si>
  <si>
    <t>BUY</t>
  </si>
  <si>
    <t>BHARATFORG</t>
  </si>
  <si>
    <t>HAVELLS</t>
  </si>
  <si>
    <t>BHARATFIN</t>
  </si>
  <si>
    <t>DIVISLAB</t>
  </si>
  <si>
    <t>HCLTECH</t>
  </si>
  <si>
    <t>ARVIND</t>
  </si>
  <si>
    <t>TVSMOTOR</t>
  </si>
  <si>
    <t>ADANIPORTS</t>
  </si>
  <si>
    <t>AXISBANK</t>
  </si>
  <si>
    <t>CIPLA</t>
  </si>
  <si>
    <t>ASIANPAINTS</t>
  </si>
  <si>
    <t>INFY</t>
  </si>
  <si>
    <t>SBIN</t>
  </si>
  <si>
    <t>DLF</t>
  </si>
  <si>
    <t>RELINFRA</t>
  </si>
  <si>
    <t>TATAMOTORS</t>
  </si>
  <si>
    <t>BHEL</t>
  </si>
  <si>
    <t>TATASTEEL</t>
  </si>
  <si>
    <t>COALINDIA</t>
  </si>
  <si>
    <t>BHARTIARTL</t>
  </si>
  <si>
    <t>ONGC</t>
  </si>
  <si>
    <t>ICICIBANK</t>
  </si>
  <si>
    <t>IRB</t>
  </si>
  <si>
    <t>AUROPHARMA</t>
  </si>
  <si>
    <t>RELCAPTIAL</t>
  </si>
  <si>
    <t>HINDALCO</t>
  </si>
  <si>
    <t>LICHSGFIN</t>
  </si>
  <si>
    <t>IOC</t>
  </si>
  <si>
    <t>TCS</t>
  </si>
  <si>
    <t>MARUTI</t>
  </si>
  <si>
    <t>RELIANCE</t>
  </si>
  <si>
    <t>IDEA</t>
  </si>
  <si>
    <t>TATAMOTRS</t>
  </si>
  <si>
    <t>ARIND</t>
  </si>
  <si>
    <t>HDFCBANK</t>
  </si>
  <si>
    <t>TATASEEL</t>
  </si>
  <si>
    <t>CALL/PUT</t>
  </si>
  <si>
    <t>PUT</t>
  </si>
  <si>
    <t>CALL</t>
  </si>
  <si>
    <t xml:space="preserve">CALL </t>
  </si>
  <si>
    <t>STRICK PRICE</t>
  </si>
  <si>
    <t>LOT</t>
  </si>
  <si>
    <t>P1</t>
  </si>
  <si>
    <t>P2</t>
  </si>
  <si>
    <t>P3</t>
  </si>
  <si>
    <t>SUNTV</t>
  </si>
  <si>
    <t>BANK OF BARODA</t>
  </si>
  <si>
    <t>BANKNIFTY</t>
  </si>
  <si>
    <t>BANK OF INDIA</t>
  </si>
  <si>
    <t>VOLTAS</t>
  </si>
  <si>
    <t>UNION BANK</t>
  </si>
  <si>
    <t>VEDL</t>
  </si>
  <si>
    <t>UNIONBANK</t>
  </si>
  <si>
    <t>PFC</t>
  </si>
  <si>
    <t>HINDPETRO</t>
  </si>
  <si>
    <t>WOCKPHARMA</t>
  </si>
  <si>
    <t>JUSTDIAL</t>
  </si>
  <si>
    <t>JETAIRWAYS</t>
  </si>
  <si>
    <t>UPL</t>
  </si>
  <si>
    <t>CEATLTD</t>
  </si>
  <si>
    <t>MOTHERSUMI</t>
  </si>
  <si>
    <t>RECL</t>
  </si>
  <si>
    <t>JSWSTEEL</t>
  </si>
  <si>
    <t>BPCL</t>
  </si>
  <si>
    <t>LT</t>
  </si>
  <si>
    <t>HUL</t>
  </si>
  <si>
    <t>APOLLOHOSP</t>
  </si>
  <si>
    <t>NIFTY</t>
  </si>
  <si>
    <t>GAIL</t>
  </si>
  <si>
    <t>GRANUELS</t>
  </si>
  <si>
    <t>INDIACEM</t>
  </si>
  <si>
    <t>HEXAWARE</t>
  </si>
  <si>
    <t>ORIENTAL BANK</t>
  </si>
  <si>
    <t>PNB</t>
  </si>
  <si>
    <t>BANK NIFTY</t>
  </si>
  <si>
    <t>EQUITAS</t>
  </si>
  <si>
    <t>MFSL</t>
  </si>
  <si>
    <t>BAJAJ FINANCE</t>
  </si>
  <si>
    <t>CAIRN</t>
  </si>
  <si>
    <t>EXIDEIND</t>
  </si>
  <si>
    <t>ESCORTS</t>
  </si>
  <si>
    <t>REC</t>
  </si>
  <si>
    <t>PETRONET</t>
  </si>
  <si>
    <t>MCDOWELL-N</t>
  </si>
  <si>
    <t>ENGINERSIN</t>
  </si>
  <si>
    <t>PEL</t>
  </si>
  <si>
    <t>DCB</t>
  </si>
  <si>
    <t>M&amp;M</t>
  </si>
  <si>
    <t xml:space="preserve">REC </t>
  </si>
  <si>
    <t>BIOCON</t>
  </si>
  <si>
    <t>DHFL</t>
  </si>
  <si>
    <t>SRF</t>
  </si>
  <si>
    <t>KOTAK BANK</t>
  </si>
  <si>
    <t>CANARA BANK</t>
  </si>
  <si>
    <t>ASHOKLEY</t>
  </si>
  <si>
    <t>LUPIN</t>
  </si>
  <si>
    <t>BERGER PAINTS</t>
  </si>
  <si>
    <t>DRREDDY</t>
  </si>
  <si>
    <t>SUNPHARMA</t>
  </si>
  <si>
    <t>APPOLOTYRE</t>
  </si>
  <si>
    <t>WIPRO</t>
  </si>
  <si>
    <t>BHARATFORGE</t>
  </si>
  <si>
    <t>CENTURYTEX</t>
  </si>
  <si>
    <t>TATAMOTORDVR</t>
  </si>
  <si>
    <t>TATA STEEL</t>
  </si>
  <si>
    <t>YES BANK</t>
  </si>
  <si>
    <t>HINDULVR</t>
  </si>
  <si>
    <t>ADANIENT</t>
  </si>
  <si>
    <t>AMBUJACEMENT</t>
  </si>
  <si>
    <t>SELL</t>
  </si>
  <si>
    <t>BATA INDIA</t>
  </si>
  <si>
    <t>GMR INFRA</t>
  </si>
  <si>
    <t>RAYMOND</t>
  </si>
  <si>
    <t>HDFC</t>
  </si>
  <si>
    <t>CADILA</t>
  </si>
  <si>
    <t>TATA MOTOR</t>
  </si>
  <si>
    <t>TATAPOWER</t>
  </si>
  <si>
    <t>L&amp;T</t>
  </si>
  <si>
    <t>RELCAP</t>
  </si>
  <si>
    <t>KOTAKBANK</t>
  </si>
  <si>
    <t>IBREALEST</t>
  </si>
  <si>
    <t>TATAMOTOR</t>
  </si>
  <si>
    <t>AMBUJACEM</t>
  </si>
  <si>
    <t>JINDALSTEEL</t>
  </si>
  <si>
    <t>INDUSIND</t>
  </si>
  <si>
    <t>RELIANCE </t>
  </si>
  <si>
    <t>GRASIM </t>
  </si>
  <si>
    <t>ITC </t>
  </si>
  <si>
    <t>RELINACE</t>
  </si>
  <si>
    <t>ITC</t>
  </si>
  <si>
    <t>JUBLFOOD </t>
  </si>
  <si>
    <t>YESBANK </t>
  </si>
  <si>
    <t>JSWSTEEL </t>
  </si>
  <si>
    <t>LT </t>
  </si>
  <si>
    <t>INDUSINDBANK </t>
  </si>
  <si>
    <t>BHARTIARTL </t>
  </si>
  <si>
    <t>ICICIPRUL </t>
  </si>
  <si>
    <t>ADANIPORTS </t>
  </si>
  <si>
    <t>JINDALSTEEL </t>
  </si>
  <si>
    <t>AXIS BANK</t>
  </si>
  <si>
    <t>AMBUJACEM </t>
  </si>
  <si>
    <t>CAN BANK</t>
  </si>
  <si>
    <t>LICHSGFIN </t>
  </si>
  <si>
    <t>BAJAJFIN </t>
  </si>
  <si>
    <t>JETAIRWAYS </t>
  </si>
  <si>
    <t>BPCL </t>
  </si>
  <si>
    <t>LUPIN </t>
  </si>
  <si>
    <t>HAVELLS </t>
  </si>
  <si>
    <t>TITAN </t>
  </si>
  <si>
    <t>MARUTI </t>
  </si>
  <si>
    <t>MCDOWELL- N</t>
  </si>
  <si>
    <t>ZELL </t>
  </si>
  <si>
    <t>TATAMOTOR </t>
  </si>
  <si>
    <t>JUBLFOOD</t>
  </si>
  <si>
    <t>HINDZINC</t>
  </si>
  <si>
    <t>VEDL </t>
  </si>
  <si>
    <t>ADNAIPORTS </t>
  </si>
  <si>
    <t>HINDALCO </t>
  </si>
  <si>
    <t>BHARATFIN </t>
  </si>
  <si>
    <t> INDIAN BANK</t>
  </si>
  <si>
    <t>SUNTV </t>
  </si>
  <si>
    <t>BANKBARODA </t>
  </si>
  <si>
    <t>BAHRATFIN </t>
  </si>
  <si>
    <t>HINDPETRO </t>
  </si>
  <si>
    <t>ONGC </t>
  </si>
  <si>
    <t>CANBANK</t>
  </si>
  <si>
    <t>BAJFINANCE</t>
  </si>
  <si>
    <t>BATAINDIA</t>
  </si>
  <si>
    <t>AADNIAINT</t>
  </si>
  <si>
    <t>CHANIPETRO</t>
  </si>
  <si>
    <t>BANKBARODA</t>
  </si>
  <si>
    <t>BHRATFIN</t>
  </si>
  <si>
    <t>IBULHSGFIN </t>
  </si>
  <si>
    <t>CENTURYTEX </t>
  </si>
  <si>
    <t> L&amp;TFIN </t>
  </si>
  <si>
    <t>CAPF </t>
  </si>
  <si>
    <t>ENGINERSIN </t>
  </si>
  <si>
    <r>
      <rPr>
        <b/>
        <sz val="11"/>
        <color indexed="57"/>
        <rFont val="Agency FB"/>
        <family val="2"/>
      </rPr>
      <t>Paramount Research Services</t>
    </r>
    <r>
      <rPr>
        <b/>
        <sz val="11"/>
        <color indexed="8"/>
        <rFont val="Agency FB"/>
        <family val="2"/>
      </rPr>
      <t xml:space="preserve"> </t>
    </r>
  </si>
  <si>
    <t>BHRATFIN </t>
  </si>
  <si>
    <t>INDIAN BANK </t>
  </si>
  <si>
    <t>RELCAPITAL </t>
  </si>
  <si>
    <t>BATAINDIA </t>
  </si>
  <si>
    <t>APOLOTYRE </t>
  </si>
  <si>
    <t>CESC </t>
  </si>
  <si>
    <t>IGL</t>
  </si>
  <si>
    <t>BHARTIAIRTEL</t>
  </si>
  <si>
    <t>TATASTEEL </t>
  </si>
  <si>
    <t>TECHM </t>
  </si>
  <si>
    <t>REC </t>
  </si>
  <si>
    <t>SBIN </t>
  </si>
  <si>
    <t>TATASTELL </t>
  </si>
  <si>
    <t>TATACHEM</t>
  </si>
  <si>
    <t>ADNIAPORTS</t>
  </si>
  <si>
    <t> M&amp;MFIN</t>
  </si>
  <si>
    <t>LISHSGFIN</t>
  </si>
  <si>
    <t>IBULSGFIN</t>
  </si>
  <si>
    <t>ACC </t>
  </si>
  <si>
    <t>GODREJIND </t>
  </si>
  <si>
    <t>CENTURITEX </t>
  </si>
  <si>
    <t>DIVISLAB </t>
  </si>
  <si>
    <t>VOLTAS </t>
  </si>
  <si>
    <t> ICICI BANK </t>
  </si>
  <si>
    <t>NIITTECH </t>
  </si>
  <si>
    <t>BEL </t>
  </si>
  <si>
    <t>ARVIND </t>
  </si>
  <si>
    <t>GAIL </t>
  </si>
  <si>
    <t>ZEEL </t>
  </si>
  <si>
    <t>PETRONET </t>
  </si>
  <si>
    <t>JSWSTELL </t>
  </si>
  <si>
    <t>KSCL </t>
  </si>
  <si>
    <t>DHFL </t>
  </si>
  <si>
    <t>DRREDDY </t>
  </si>
  <si>
    <t>WOCKPHARMA </t>
  </si>
  <si>
    <t>SIEMENS </t>
  </si>
  <si>
    <t>AMARRAJABAT </t>
  </si>
  <si>
    <t>HEXAWARE </t>
  </si>
  <si>
    <t>AUROPHARA </t>
  </si>
  <si>
    <t>GLANMARK </t>
  </si>
  <si>
    <t>MOTHERSUNSUMI </t>
  </si>
  <si>
    <t>HAVEELS </t>
  </si>
  <si>
    <t>TATACHEM </t>
  </si>
  <si>
    <t>INDIACEMENT </t>
  </si>
  <si>
    <t>JUSTDAIL </t>
  </si>
  <si>
    <t>RELINFRA </t>
  </si>
  <si>
    <t>M&amp;MFIN </t>
  </si>
  <si>
    <t>TATAGLOBAL </t>
  </si>
  <si>
    <t>NCC </t>
  </si>
  <si>
    <t>POWERGRID </t>
  </si>
  <si>
    <t>REMCOCEM </t>
  </si>
  <si>
    <t>ICICI BANK</t>
  </si>
  <si>
    <t>DLF </t>
  </si>
  <si>
    <t>ICIL </t>
  </si>
  <si>
    <t>GRANULES </t>
  </si>
  <si>
    <t>KAJARIACER </t>
  </si>
  <si>
    <t>CAN BANK </t>
  </si>
  <si>
    <t>TORNTPOWER </t>
  </si>
  <si>
    <t>CASTROLIND </t>
  </si>
  <si>
    <t> JAIN IRRGATION</t>
  </si>
  <si>
    <t>MOTHERSUMI </t>
  </si>
  <si>
    <t>ICICIPRULI </t>
  </si>
  <si>
    <t>IGL </t>
  </si>
  <si>
    <t>SRTRANFIN </t>
  </si>
  <si>
    <t>GODREJCP </t>
  </si>
  <si>
    <t>ADANIENT </t>
  </si>
  <si>
    <t>MINDTREE </t>
  </si>
  <si>
    <t> TATA GLOBAL</t>
  </si>
  <si>
    <t>BANKINDIA </t>
  </si>
  <si>
    <t>TATA GLOBAL</t>
  </si>
  <si>
    <t>CANBANK </t>
  </si>
  <si>
    <t>BANKINDA </t>
  </si>
  <si>
    <t>PCJEWELLER </t>
  </si>
  <si>
    <t>GSFC </t>
  </si>
  <si>
    <t>MRPL </t>
  </si>
  <si>
    <t>SRTRANSFIN </t>
  </si>
  <si>
    <t>MANAPPURAM </t>
  </si>
  <si>
    <t>KPIT </t>
  </si>
  <si>
    <t>WIPRO </t>
  </si>
  <si>
    <t>TATAELEXI </t>
  </si>
  <si>
    <t>BHEL </t>
  </si>
  <si>
    <t>IDEA </t>
  </si>
  <si>
    <t>SAIL </t>
  </si>
  <si>
    <t>JINDALSTEL </t>
  </si>
  <si>
    <t>ESCORT </t>
  </si>
  <si>
    <t>JAINIRRIGATION </t>
  </si>
  <si>
    <t>ASHOKLEY </t>
  </si>
  <si>
    <t>IRRIGATION </t>
  </si>
  <si>
    <t>INFY </t>
  </si>
  <si>
    <t>AXIS BANK </t>
  </si>
  <si>
    <t>L&amp;TFIN</t>
  </si>
  <si>
    <t>ICICIBANK </t>
  </si>
  <si>
    <t>EXIDEIND </t>
  </si>
  <si>
    <t>SRTRANSGFIN </t>
  </si>
  <si>
    <t>INDIAN BANK</t>
  </si>
  <si>
    <t>RELCAPITEL  </t>
  </si>
  <si>
    <t> BANK INDIA</t>
  </si>
  <si>
    <t> M&amp;M</t>
  </si>
  <si>
    <t>HINDZINC </t>
  </si>
  <si>
    <t>HUL </t>
  </si>
  <si>
    <t>L&amp;T </t>
  </si>
  <si>
    <t>EQUITAS </t>
  </si>
  <si>
    <t>BHARATFORG </t>
  </si>
  <si>
    <t>BAJAJFINANCE</t>
  </si>
  <si>
    <t>TCS </t>
  </si>
  <si>
    <t>ADNAIENT </t>
  </si>
  <si>
    <t>AXISBANK </t>
  </si>
  <si>
    <t>IRB INFRA</t>
  </si>
  <si>
    <t>AMARRAJABAT</t>
  </si>
  <si>
    <t>INDUSINDBANK</t>
  </si>
  <si>
    <t>FEDRELBANK </t>
  </si>
  <si>
    <t>BAJAJFINANCE </t>
  </si>
  <si>
    <t>IOC </t>
  </si>
  <si>
    <t>M&amp;MFIN</t>
  </si>
  <si>
    <t>MANAPPPURAM </t>
  </si>
  <si>
    <t>HINDACO </t>
  </si>
  <si>
    <t>AUROPHARMA </t>
  </si>
  <si>
    <t>BERGERPAINT </t>
  </si>
  <si>
    <t>JAIN IRRIGATION</t>
  </si>
  <si>
    <t>PFC </t>
  </si>
  <si>
    <t>UJJIVEN </t>
  </si>
  <si>
    <t>AJANTAPHARAM </t>
  </si>
  <si>
    <t>SRF </t>
  </si>
  <si>
    <t>NTPC </t>
  </si>
  <si>
    <t>ACC</t>
  </si>
  <si>
    <t>UJJIVAN </t>
  </si>
  <si>
    <t>RECLTD </t>
  </si>
  <si>
    <t>HDFC </t>
  </si>
  <si>
    <t>CANFINHOME </t>
  </si>
  <si>
    <t>CHENNPETRO </t>
  </si>
  <si>
    <t>JNDALSTTEL </t>
  </si>
  <si>
    <t>OIL </t>
  </si>
  <si>
    <t>VGUARD </t>
  </si>
  <si>
    <t>BEML </t>
  </si>
  <si>
    <t>RAYMOND </t>
  </si>
  <si>
    <t>COLPAL </t>
  </si>
  <si>
    <t>CADILAHC </t>
  </si>
  <si>
    <t>INDIGO </t>
  </si>
  <si>
    <t>HCLTECH </t>
  </si>
  <si>
    <t>POWERGRID</t>
  </si>
  <si>
    <t>KSCL</t>
  </si>
  <si>
    <t>CHOLAFIN</t>
  </si>
  <si>
    <t>NIITTECH</t>
  </si>
  <si>
    <t>BAJFIANCE </t>
  </si>
  <si>
    <t>TVSMOTOR </t>
  </si>
  <si>
    <t>TECHM</t>
  </si>
  <si>
    <t>SUNPHARMA </t>
  </si>
  <si>
    <t>MCX </t>
  </si>
  <si>
    <t>BAJFINANCE </t>
  </si>
  <si>
    <t>BALKRISIND </t>
  </si>
  <si>
    <t>CEAT </t>
  </si>
  <si>
    <t>CAPF</t>
  </si>
  <si>
    <t> MCDOWELL- N </t>
  </si>
  <si>
    <t>NMDC </t>
  </si>
  <si>
    <t>KTKBANK </t>
  </si>
  <si>
    <t>HEROMOTOCORP </t>
  </si>
  <si>
    <t>STAR</t>
  </si>
  <si>
    <t>TAATAGLOBAL </t>
  </si>
  <si>
    <t>STAR </t>
  </si>
  <si>
    <t>BALRAMPERCHINI </t>
  </si>
  <si>
    <t>NATIONALUM </t>
  </si>
  <si>
    <t>INDIACEM </t>
  </si>
  <si>
    <t>BAJAJFINACE </t>
  </si>
  <si>
    <t>RELINACE </t>
  </si>
  <si>
    <t> M&amp;M </t>
  </si>
  <si>
    <t>CEAT</t>
  </si>
  <si>
    <t> L&amp;TFIN</t>
  </si>
  <si>
    <t>UBL </t>
  </si>
  <si>
    <t>CANFINHOME</t>
  </si>
  <si>
    <t>SHRIINFRA</t>
  </si>
  <si>
    <t>MINDTREE</t>
  </si>
  <si>
    <t>BARAMPURCHINI</t>
  </si>
  <si>
    <t>BAAJAJAUTO</t>
  </si>
  <si>
    <t>BALRAMPURCHINI </t>
  </si>
  <si>
    <t>SREINFRA </t>
  </si>
  <si>
    <t>ULTRATECHCEM </t>
  </si>
  <si>
    <t>MUTHOOTFIN </t>
  </si>
  <si>
    <t>L&amp;TFIN </t>
  </si>
  <si>
    <t>BALRAMPURCHNI </t>
  </si>
  <si>
    <t>INFIBEAM </t>
  </si>
  <si>
    <t>APOLLOTYRE</t>
  </si>
  <si>
    <t>ZEEL</t>
  </si>
  <si>
    <t>CANBK</t>
  </si>
  <si>
    <t>INDAINBANK </t>
  </si>
  <si>
    <t>GRASIM</t>
  </si>
  <si>
    <t>CESC</t>
  </si>
  <si>
    <t>APOLLOHOSP </t>
  </si>
  <si>
    <t>RBLBANK </t>
  </si>
  <si>
    <t>PNB </t>
  </si>
  <si>
    <t>DCBBANK</t>
  </si>
  <si>
    <t>UBL</t>
  </si>
  <si>
    <t>JETAIRWATS </t>
  </si>
  <si>
    <t>MCDOWELL- N </t>
  </si>
  <si>
    <t xml:space="preserve">TATAPOWER </t>
  </si>
  <si>
    <t xml:space="preserve">SRTRANSGFIN </t>
  </si>
  <si>
    <t xml:space="preserve">ESCORT </t>
  </si>
  <si>
    <t xml:space="preserve">CANBANK </t>
  </si>
  <si>
    <t xml:space="preserve">HINDALCO </t>
  </si>
  <si>
    <t xml:space="preserve">MGL </t>
  </si>
  <si>
    <t xml:space="preserve">TITAN </t>
  </si>
  <si>
    <t xml:space="preserve">SRF </t>
  </si>
  <si>
    <t xml:space="preserve">BHARTIARTL </t>
  </si>
  <si>
    <t xml:space="preserve">ONGC </t>
  </si>
  <si>
    <t xml:space="preserve">CUMMINSIND </t>
  </si>
  <si>
    <t xml:space="preserve">SUNPHARMA </t>
  </si>
  <si>
    <t xml:space="preserve">AMBUJACEM </t>
  </si>
  <si>
    <t xml:space="preserve">ACC </t>
  </si>
  <si>
    <t xml:space="preserve">IRB </t>
  </si>
  <si>
    <t xml:space="preserve">BPCL </t>
  </si>
  <si>
    <t xml:space="preserve">NCC </t>
  </si>
  <si>
    <t xml:space="preserve">ICICI </t>
  </si>
  <si>
    <t>INFRATEL</t>
  </si>
  <si>
    <t>TATAGLOBAL</t>
  </si>
  <si>
    <t xml:space="preserve">TATASTEEL </t>
  </si>
  <si>
    <t>NCC</t>
  </si>
  <si>
    <t xml:space="preserve">RELIANCE </t>
  </si>
  <si>
    <t>ICICBANK</t>
  </si>
  <si>
    <t>RECLTD</t>
  </si>
  <si>
    <t xml:space="preserve">ZEEL </t>
  </si>
  <si>
    <t>DABUR</t>
  </si>
  <si>
    <t xml:space="preserve">LICHSGFIN </t>
  </si>
  <si>
    <t>CANARABANK</t>
  </si>
  <si>
    <t>L&amp;TFH</t>
  </si>
  <si>
    <t>INDIGO</t>
  </si>
  <si>
    <t xml:space="preserve">YESBANK </t>
  </si>
  <si>
    <t>ULTRACEMCO</t>
  </si>
  <si>
    <t>IBULHSGFIN</t>
  </si>
  <si>
    <t>YESBANK</t>
  </si>
  <si>
    <t>HEROMOTOCO</t>
  </si>
  <si>
    <t>REL CAPITAL</t>
  </si>
  <si>
    <t>GLENMARK</t>
  </si>
  <si>
    <t>ICICPRULI</t>
  </si>
  <si>
    <t>APOLLOHOSPITAL</t>
  </si>
  <si>
    <t>ASIANPAINT</t>
  </si>
  <si>
    <t xml:space="preserve">SBIN </t>
  </si>
  <si>
    <t xml:space="preserve">INDIGO </t>
  </si>
  <si>
    <t xml:space="preserve">AUROPHARMA </t>
  </si>
  <si>
    <t>TITAN</t>
  </si>
  <si>
    <t xml:space="preserve">PUT </t>
  </si>
  <si>
    <t>CADILAHC</t>
  </si>
  <si>
    <t>PVR</t>
  </si>
  <si>
    <t>INDUSINDBK</t>
  </si>
  <si>
    <t>SRTRANSFIN</t>
  </si>
  <si>
    <t xml:space="preserve">M&amp;M </t>
  </si>
  <si>
    <t>INDIANBANK</t>
  </si>
  <si>
    <t>UJJIVAN</t>
  </si>
  <si>
    <t>NTPC</t>
  </si>
  <si>
    <t xml:space="preserve">PEL </t>
  </si>
  <si>
    <t>RBLBANK</t>
  </si>
  <si>
    <t>HEROMOTOCOP</t>
  </si>
  <si>
    <t>TVSMOTORS</t>
  </si>
  <si>
    <t xml:space="preserve">TCS </t>
  </si>
  <si>
    <t>LUPIN (AUG)</t>
  </si>
  <si>
    <t>DRREDDY (AUG)</t>
  </si>
  <si>
    <t>SRTRANSFIN (AUG)</t>
  </si>
  <si>
    <t xml:space="preserve">MARUTI </t>
  </si>
  <si>
    <t xml:space="preserve">IBULHSGFIN </t>
  </si>
  <si>
    <t>M&amp;M FIN</t>
  </si>
  <si>
    <t xml:space="preserve">TATAGLOBAL </t>
  </si>
  <si>
    <t>HINDUNILVR</t>
  </si>
  <si>
    <t xml:space="preserve">TATAMOTORS </t>
  </si>
  <si>
    <t>PIDILITE</t>
  </si>
  <si>
    <t xml:space="preserve">JSWSTEEL </t>
  </si>
  <si>
    <t>WE CALCULATE YOUR RISK AND REWARD AND GIVE YOU MAXIMUM RETURNS</t>
  </si>
  <si>
    <t>TRACK RECORD</t>
  </si>
  <si>
    <t xml:space="preserve">RBLBANK </t>
  </si>
  <si>
    <t xml:space="preserve">ESCORTS </t>
  </si>
  <si>
    <t xml:space="preserve">LUPIN </t>
  </si>
  <si>
    <t>TATAMTDVR</t>
  </si>
  <si>
    <t xml:space="preserve">KOTAKBANK </t>
  </si>
  <si>
    <t>ICICIPRLI</t>
  </si>
  <si>
    <t>BRITANNIA</t>
  </si>
  <si>
    <t>INDUSINDNK</t>
  </si>
  <si>
    <t xml:space="preserve">SIEMENS </t>
  </si>
  <si>
    <t>BAJAJ-AUTO</t>
  </si>
  <si>
    <t xml:space="preserve">DRREADY </t>
  </si>
  <si>
    <t xml:space="preserve">AUROPHRMA </t>
  </si>
  <si>
    <t xml:space="preserve">BAJAJFINSV </t>
  </si>
  <si>
    <t xml:space="preserve">VOLTAS </t>
  </si>
  <si>
    <t xml:space="preserve">ICICIBANK </t>
  </si>
  <si>
    <t xml:space="preserve">HDFCBANK </t>
  </si>
  <si>
    <t xml:space="preserve">HDFC </t>
  </si>
  <si>
    <t xml:space="preserve">SUNTV </t>
  </si>
  <si>
    <t xml:space="preserve">DLF </t>
  </si>
  <si>
    <t>AUROPHAMA</t>
  </si>
  <si>
    <t>JUBULFOOD</t>
  </si>
  <si>
    <t xml:space="preserve">ITC </t>
  </si>
  <si>
    <t xml:space="preserve">BIOCON </t>
  </si>
  <si>
    <t>NIITECH</t>
  </si>
  <si>
    <t xml:space="preserve">MANAPPURAM </t>
  </si>
  <si>
    <t xml:space="preserve">UJJIVAN </t>
  </si>
  <si>
    <t xml:space="preserve">IOC </t>
  </si>
  <si>
    <t>MARICO</t>
  </si>
  <si>
    <t>BERGEPAINT </t>
  </si>
  <si>
    <t xml:space="preserve">CENTURYTEX </t>
  </si>
  <si>
    <t xml:space="preserve">INDUSINDBK </t>
  </si>
  <si>
    <t>JUSTDAIL</t>
  </si>
  <si>
    <t>OUT</t>
  </si>
  <si>
    <t>PIDILITIND</t>
  </si>
  <si>
    <t xml:space="preserve">NTPC </t>
  </si>
  <si>
    <t>TATACONSUM</t>
  </si>
  <si>
    <t>JUBALFOOD</t>
  </si>
  <si>
    <t>CADILACH</t>
  </si>
  <si>
    <t>INDIGI</t>
  </si>
  <si>
    <t>MCDOWELL</t>
  </si>
  <si>
    <t xml:space="preserve">HDFCLIFE </t>
  </si>
  <si>
    <t>MGL</t>
  </si>
  <si>
    <t xml:space="preserve">AXISBANK </t>
  </si>
  <si>
    <t>EICHEMOT</t>
  </si>
  <si>
    <t xml:space="preserve">AXSISBANK </t>
  </si>
  <si>
    <t>PROFIT/LOSS</t>
  </si>
  <si>
    <t>ICICIPRULI</t>
  </si>
  <si>
    <t>BANDHANBNK</t>
  </si>
  <si>
    <t>TORNTPOWER</t>
  </si>
  <si>
    <t>TORNTPHARM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</si>
</sst>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/>
    <xf numFmtId="0" fontId="0" fillId="4" borderId="0" xfId="0" applyFont="1" applyFill="1"/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5" fontId="11" fillId="5" borderId="5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/>
    </xf>
    <xf numFmtId="0" fontId="0" fillId="4" borderId="15" xfId="0" applyFont="1" applyFill="1" applyBorder="1"/>
    <xf numFmtId="0" fontId="0" fillId="4" borderId="6" xfId="0" applyFont="1" applyFill="1" applyBorder="1"/>
    <xf numFmtId="0" fontId="0" fillId="4" borderId="17" xfId="0" applyFont="1" applyFill="1" applyBorder="1"/>
    <xf numFmtId="0" fontId="0" fillId="0" borderId="15" xfId="0" applyFont="1" applyBorder="1"/>
    <xf numFmtId="2" fontId="3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/>
    </xf>
    <xf numFmtId="2" fontId="3" fillId="4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199158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4189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426"/>
  <sheetViews>
    <sheetView tabSelected="1" topLeftCell="A6" workbookViewId="0">
      <selection activeCell="A9" sqref="A9"/>
    </sheetView>
  </sheetViews>
  <sheetFormatPr defaultRowHeight="15"/>
  <cols>
    <col min="1" max="1" width="11.85546875" style="23" customWidth="1"/>
    <col min="2" max="2" width="17.42578125" style="23" customWidth="1"/>
    <col min="3" max="3" width="11" style="23" customWidth="1"/>
    <col min="4" max="4" width="12.5703125" style="23" customWidth="1"/>
    <col min="5" max="5" width="7.42578125" style="26" customWidth="1"/>
    <col min="6" max="6" width="7" style="23" customWidth="1"/>
    <col min="7" max="7" width="8.140625" style="23" customWidth="1"/>
    <col min="8" max="8" width="13.140625" style="23" customWidth="1"/>
    <col min="9" max="9" width="14.140625" style="50" customWidth="1"/>
    <col min="10" max="10" width="13" style="23" customWidth="1"/>
    <col min="11" max="11" width="11.42578125" style="23" customWidth="1"/>
    <col min="12" max="12" width="10.7109375" style="23" customWidth="1"/>
    <col min="13" max="13" width="8.42578125" style="23" customWidth="1"/>
    <col min="14" max="14" width="13.7109375" style="23" customWidth="1"/>
    <col min="15" max="15" width="16" style="23" customWidth="1"/>
    <col min="16" max="16384" width="9.140625" style="23"/>
  </cols>
  <sheetData>
    <row r="1" spans="1:33">
      <c r="A1" s="64"/>
      <c r="B1" s="65"/>
      <c r="C1" s="66"/>
      <c r="D1" s="69" t="s">
        <v>186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4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67"/>
      <c r="B2" s="68"/>
      <c r="C2" s="68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3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67"/>
      <c r="B3" s="68"/>
      <c r="C3" s="68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41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67"/>
      <c r="B4" s="68"/>
      <c r="C4" s="68"/>
      <c r="D4" s="75" t="s">
        <v>450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4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67"/>
      <c r="B5" s="68"/>
      <c r="C5" s="68"/>
      <c r="D5" s="75" t="s">
        <v>451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40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77" t="s">
        <v>0</v>
      </c>
      <c r="B6" s="58" t="s">
        <v>1</v>
      </c>
      <c r="C6" s="62" t="s">
        <v>45</v>
      </c>
      <c r="D6" s="78" t="s">
        <v>49</v>
      </c>
      <c r="E6" s="80" t="s">
        <v>50</v>
      </c>
      <c r="F6" s="59" t="s">
        <v>2</v>
      </c>
      <c r="G6" s="59" t="s">
        <v>3</v>
      </c>
      <c r="H6" s="59" t="s">
        <v>4</v>
      </c>
      <c r="I6" s="60" t="s">
        <v>5</v>
      </c>
      <c r="J6" s="62" t="s">
        <v>6</v>
      </c>
      <c r="K6" s="63" t="s">
        <v>51</v>
      </c>
      <c r="L6" s="63" t="s">
        <v>52</v>
      </c>
      <c r="M6" s="62" t="s">
        <v>53</v>
      </c>
      <c r="N6" s="82" t="s">
        <v>7</v>
      </c>
      <c r="O6" s="58" t="s">
        <v>497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77"/>
      <c r="B7" s="58"/>
      <c r="C7" s="63"/>
      <c r="D7" s="78"/>
      <c r="E7" s="81"/>
      <c r="F7" s="58"/>
      <c r="G7" s="58"/>
      <c r="H7" s="58"/>
      <c r="I7" s="61"/>
      <c r="J7" s="63"/>
      <c r="K7" s="63"/>
      <c r="L7" s="63"/>
      <c r="M7" s="63"/>
      <c r="N7" s="83"/>
      <c r="O7" s="58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77"/>
      <c r="B8" s="58"/>
      <c r="C8" s="59"/>
      <c r="D8" s="79"/>
      <c r="E8" s="81"/>
      <c r="F8" s="58"/>
      <c r="G8" s="58"/>
      <c r="H8" s="58"/>
      <c r="I8" s="61"/>
      <c r="J8" s="59"/>
      <c r="K8" s="59"/>
      <c r="L8" s="59"/>
      <c r="M8" s="59"/>
      <c r="N8" s="83"/>
      <c r="O8" s="58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2" customFormat="1" ht="15" customHeight="1">
      <c r="A9" s="33"/>
      <c r="B9" s="34"/>
      <c r="C9" s="34"/>
      <c r="D9" s="35"/>
      <c r="E9" s="36"/>
      <c r="F9" s="34"/>
      <c r="G9" s="34"/>
      <c r="H9" s="44"/>
      <c r="I9" s="44"/>
      <c r="J9" s="44"/>
      <c r="K9" s="34"/>
      <c r="L9" s="34"/>
      <c r="M9" s="34"/>
      <c r="N9" s="34"/>
      <c r="O9" s="34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32" customFormat="1" ht="15" customHeight="1">
      <c r="A10" s="37">
        <v>44124</v>
      </c>
      <c r="B10" s="57" t="s">
        <v>501</v>
      </c>
      <c r="C10" s="20" t="s">
        <v>47</v>
      </c>
      <c r="D10" s="20">
        <v>2800</v>
      </c>
      <c r="E10" s="38">
        <v>500</v>
      </c>
      <c r="F10" s="20" t="s">
        <v>8</v>
      </c>
      <c r="G10" s="43">
        <v>41</v>
      </c>
      <c r="H10" s="43">
        <v>46</v>
      </c>
      <c r="I10" s="43">
        <v>0</v>
      </c>
      <c r="J10" s="43">
        <v>0</v>
      </c>
      <c r="K10" s="1">
        <f t="shared" ref="K10" si="0">(IF(F10="SELL",G10-H10,IF(F10="BUY",H10-G10)))*E10</f>
        <v>2500</v>
      </c>
      <c r="L10" s="43">
        <v>0</v>
      </c>
      <c r="M10" s="43">
        <v>0</v>
      </c>
      <c r="N10" s="1">
        <f t="shared" ref="N10" si="1">(L10+K10+M10)/E10</f>
        <v>5</v>
      </c>
      <c r="O10" s="1">
        <f t="shared" ref="O10" si="2">N10*E10</f>
        <v>2500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32" customFormat="1" ht="15" customHeight="1">
      <c r="A11" s="37">
        <v>44124</v>
      </c>
      <c r="B11" s="57" t="s">
        <v>27</v>
      </c>
      <c r="C11" s="20" t="s">
        <v>46</v>
      </c>
      <c r="D11" s="20">
        <v>110</v>
      </c>
      <c r="E11" s="38">
        <v>3700</v>
      </c>
      <c r="F11" s="20" t="s">
        <v>8</v>
      </c>
      <c r="G11" s="43">
        <v>1.5</v>
      </c>
      <c r="H11" s="43">
        <v>1.3</v>
      </c>
      <c r="I11" s="43">
        <v>0</v>
      </c>
      <c r="J11" s="43">
        <v>0</v>
      </c>
      <c r="K11" s="1">
        <f t="shared" ref="K11" si="3">(IF(F11="SELL",G11-H11,IF(F11="BUY",H11-G11)))*E11</f>
        <v>-739.99999999999989</v>
      </c>
      <c r="L11" s="43">
        <v>0</v>
      </c>
      <c r="M11" s="43">
        <v>0</v>
      </c>
      <c r="N11" s="1">
        <f t="shared" ref="N11" si="4">(L11+K11+M11)/E11</f>
        <v>-0.19999999999999996</v>
      </c>
      <c r="O11" s="1">
        <f t="shared" ref="O11" si="5">N11*E11</f>
        <v>-739.99999999999989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32" customFormat="1" ht="15" customHeight="1">
      <c r="A12" s="37">
        <v>44124</v>
      </c>
      <c r="B12" s="57" t="s">
        <v>176</v>
      </c>
      <c r="C12" s="20" t="s">
        <v>47</v>
      </c>
      <c r="D12" s="20">
        <v>1440</v>
      </c>
      <c r="E12" s="38">
        <v>500</v>
      </c>
      <c r="F12" s="20" t="s">
        <v>8</v>
      </c>
      <c r="G12" s="43">
        <v>26</v>
      </c>
      <c r="H12" s="43">
        <v>20</v>
      </c>
      <c r="I12" s="43">
        <v>0</v>
      </c>
      <c r="J12" s="43">
        <v>0</v>
      </c>
      <c r="K12" s="1">
        <f t="shared" ref="K12" si="6">(IF(F12="SELL",G12-H12,IF(F12="BUY",H12-G12)))*E12</f>
        <v>-3000</v>
      </c>
      <c r="L12" s="43">
        <v>0</v>
      </c>
      <c r="M12" s="43">
        <v>0</v>
      </c>
      <c r="N12" s="1">
        <f t="shared" ref="N12" si="7">(L12+K12+M12)/E12</f>
        <v>-6</v>
      </c>
      <c r="O12" s="1">
        <f t="shared" ref="O12" si="8">N12*E12</f>
        <v>-3000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32" customFormat="1" ht="15" customHeight="1">
      <c r="A13" s="37">
        <v>44123</v>
      </c>
      <c r="B13" s="57" t="s">
        <v>473</v>
      </c>
      <c r="C13" s="20" t="s">
        <v>47</v>
      </c>
      <c r="D13" s="20">
        <v>167.5</v>
      </c>
      <c r="E13" s="38">
        <v>3200</v>
      </c>
      <c r="F13" s="20" t="s">
        <v>8</v>
      </c>
      <c r="G13" s="43">
        <v>4.3</v>
      </c>
      <c r="H13" s="43">
        <v>4.45</v>
      </c>
      <c r="I13" s="43">
        <v>0</v>
      </c>
      <c r="J13" s="43">
        <v>0</v>
      </c>
      <c r="K13" s="1">
        <f t="shared" ref="K13" si="9">(IF(F13="SELL",G13-H13,IF(F13="BUY",H13-G13)))*E13</f>
        <v>480.00000000000114</v>
      </c>
      <c r="L13" s="43">
        <v>0</v>
      </c>
      <c r="M13" s="43">
        <v>0</v>
      </c>
      <c r="N13" s="1">
        <f t="shared" ref="N13" si="10">(L13+K13+M13)/E13</f>
        <v>0.15000000000000036</v>
      </c>
      <c r="O13" s="1">
        <f t="shared" ref="O13" si="11">N13*E13</f>
        <v>480.00000000000114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2" customFormat="1" ht="15" customHeight="1">
      <c r="A14" s="37">
        <v>44123</v>
      </c>
      <c r="B14" s="57" t="s">
        <v>500</v>
      </c>
      <c r="C14" s="20" t="s">
        <v>47</v>
      </c>
      <c r="D14" s="20">
        <v>310</v>
      </c>
      <c r="E14" s="38">
        <v>3000</v>
      </c>
      <c r="F14" s="20" t="s">
        <v>8</v>
      </c>
      <c r="G14" s="43">
        <v>6.5</v>
      </c>
      <c r="H14" s="43">
        <v>6.45</v>
      </c>
      <c r="I14" s="43">
        <v>0</v>
      </c>
      <c r="J14" s="43">
        <v>0</v>
      </c>
      <c r="K14" s="1">
        <f t="shared" ref="K14" si="12">(IF(F14="SELL",G14-H14,IF(F14="BUY",H14-G14)))*E14</f>
        <v>-149.99999999999946</v>
      </c>
      <c r="L14" s="43">
        <v>0</v>
      </c>
      <c r="M14" s="43">
        <v>0</v>
      </c>
      <c r="N14" s="1">
        <f t="shared" ref="N14" si="13">(L14+K14+M14)/E14</f>
        <v>-4.9999999999999822E-2</v>
      </c>
      <c r="O14" s="1">
        <f t="shared" ref="O14" si="14">N14*E14</f>
        <v>-149.99999999999946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s="32" customFormat="1" ht="15" customHeight="1">
      <c r="A15" s="37">
        <v>44123</v>
      </c>
      <c r="B15" s="57" t="s">
        <v>371</v>
      </c>
      <c r="C15" s="20" t="s">
        <v>47</v>
      </c>
      <c r="D15" s="20">
        <v>780</v>
      </c>
      <c r="E15" s="38">
        <v>950</v>
      </c>
      <c r="F15" s="20" t="s">
        <v>8</v>
      </c>
      <c r="G15" s="43">
        <v>23</v>
      </c>
      <c r="H15" s="43">
        <v>20</v>
      </c>
      <c r="I15" s="43">
        <v>0</v>
      </c>
      <c r="J15" s="43">
        <v>0</v>
      </c>
      <c r="K15" s="1">
        <f t="shared" ref="K15" si="15">(IF(F15="SELL",G15-H15,IF(F15="BUY",H15-G15)))*E15</f>
        <v>-2850</v>
      </c>
      <c r="L15" s="43">
        <v>0</v>
      </c>
      <c r="M15" s="43">
        <v>0</v>
      </c>
      <c r="N15" s="1">
        <f t="shared" ref="N15" si="16">(L15+K15+M15)/E15</f>
        <v>-3</v>
      </c>
      <c r="O15" s="1">
        <f t="shared" ref="O15" si="17">N15*E15</f>
        <v>-2850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s="32" customFormat="1" ht="15" customHeight="1">
      <c r="A16" s="37">
        <v>44120</v>
      </c>
      <c r="B16" s="57" t="s">
        <v>336</v>
      </c>
      <c r="C16" s="20" t="s">
        <v>47</v>
      </c>
      <c r="D16" s="20">
        <v>1380</v>
      </c>
      <c r="E16" s="38">
        <v>800</v>
      </c>
      <c r="F16" s="20" t="s">
        <v>8</v>
      </c>
      <c r="G16" s="43">
        <v>33</v>
      </c>
      <c r="H16" s="43">
        <v>37</v>
      </c>
      <c r="I16" s="43">
        <v>0</v>
      </c>
      <c r="J16" s="43">
        <v>0</v>
      </c>
      <c r="K16" s="1">
        <f t="shared" ref="K16" si="18">(IF(F16="SELL",G16-H16,IF(F16="BUY",H16-G16)))*E16</f>
        <v>3200</v>
      </c>
      <c r="L16" s="43">
        <v>0</v>
      </c>
      <c r="M16" s="43">
        <v>0</v>
      </c>
      <c r="N16" s="1">
        <f t="shared" ref="N16" si="19">(L16+K16+M16)/E16</f>
        <v>4</v>
      </c>
      <c r="O16" s="1">
        <f t="shared" ref="O16" si="20">N16*E16</f>
        <v>3200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32" customFormat="1" ht="15" customHeight="1">
      <c r="A17" s="37">
        <v>44120</v>
      </c>
      <c r="B17" s="57" t="s">
        <v>72</v>
      </c>
      <c r="C17" s="20" t="s">
        <v>47</v>
      </c>
      <c r="D17" s="20">
        <v>340</v>
      </c>
      <c r="E17" s="38">
        <v>1800</v>
      </c>
      <c r="F17" s="20" t="s">
        <v>8</v>
      </c>
      <c r="G17" s="43">
        <v>13</v>
      </c>
      <c r="H17" s="43">
        <v>14.5</v>
      </c>
      <c r="I17" s="43">
        <v>0</v>
      </c>
      <c r="J17" s="43">
        <v>0</v>
      </c>
      <c r="K17" s="1">
        <f t="shared" ref="K17" si="21">(IF(F17="SELL",G17-H17,IF(F17="BUY",H17-G17)))*E17</f>
        <v>2700</v>
      </c>
      <c r="L17" s="43">
        <v>0</v>
      </c>
      <c r="M17" s="43">
        <v>0</v>
      </c>
      <c r="N17" s="1">
        <f t="shared" ref="N17" si="22">(L17+K17+M17)/E17</f>
        <v>1.5</v>
      </c>
      <c r="O17" s="1">
        <f t="shared" ref="O17" si="23">N17*E17</f>
        <v>2700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s="32" customFormat="1" ht="15" customHeight="1">
      <c r="A18" s="37">
        <v>44120</v>
      </c>
      <c r="B18" s="57" t="s">
        <v>13</v>
      </c>
      <c r="C18" s="20" t="s">
        <v>47</v>
      </c>
      <c r="D18" s="20">
        <v>840</v>
      </c>
      <c r="E18" s="38">
        <v>1400</v>
      </c>
      <c r="F18" s="20" t="s">
        <v>8</v>
      </c>
      <c r="G18" s="43">
        <v>24</v>
      </c>
      <c r="H18" s="43">
        <v>22</v>
      </c>
      <c r="I18" s="43">
        <v>0</v>
      </c>
      <c r="J18" s="43">
        <v>0</v>
      </c>
      <c r="K18" s="1">
        <f t="shared" ref="K18" si="24">(IF(F18="SELL",G18-H18,IF(F18="BUY",H18-G18)))*E18</f>
        <v>-2800</v>
      </c>
      <c r="L18" s="43">
        <v>0</v>
      </c>
      <c r="M18" s="43">
        <v>0</v>
      </c>
      <c r="N18" s="1">
        <f t="shared" ref="N18" si="25">(L18+K18+M18)/E18</f>
        <v>-2</v>
      </c>
      <c r="O18" s="1">
        <f t="shared" ref="O18" si="26">N18*E18</f>
        <v>-2800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s="32" customFormat="1" ht="15" customHeight="1">
      <c r="A19" s="37">
        <v>44119</v>
      </c>
      <c r="B19" s="57" t="s">
        <v>363</v>
      </c>
      <c r="C19" s="20" t="s">
        <v>47</v>
      </c>
      <c r="D19" s="20">
        <v>1160</v>
      </c>
      <c r="E19" s="38">
        <v>750</v>
      </c>
      <c r="F19" s="20" t="s">
        <v>8</v>
      </c>
      <c r="G19" s="43">
        <v>53</v>
      </c>
      <c r="H19" s="43">
        <v>57</v>
      </c>
      <c r="I19" s="43">
        <v>0</v>
      </c>
      <c r="J19" s="43">
        <v>0</v>
      </c>
      <c r="K19" s="1">
        <f t="shared" ref="K19" si="27">(IF(F19="SELL",G19-H19,IF(F19="BUY",H19-G19)))*E19</f>
        <v>3000</v>
      </c>
      <c r="L19" s="43">
        <v>0</v>
      </c>
      <c r="M19" s="43">
        <v>0</v>
      </c>
      <c r="N19" s="1">
        <f t="shared" ref="N19" si="28">(L19+K19+M19)/E19</f>
        <v>4</v>
      </c>
      <c r="O19" s="1">
        <f t="shared" ref="O19" si="29">N19*E19</f>
        <v>3000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s="32" customFormat="1" ht="15" customHeight="1">
      <c r="A20" s="37">
        <v>44119</v>
      </c>
      <c r="B20" s="57" t="s">
        <v>109</v>
      </c>
      <c r="C20" s="20" t="s">
        <v>47</v>
      </c>
      <c r="D20" s="20">
        <v>342.5</v>
      </c>
      <c r="E20" s="38">
        <v>3200</v>
      </c>
      <c r="F20" s="20" t="s">
        <v>8</v>
      </c>
      <c r="G20" s="43">
        <v>10.199999999999999</v>
      </c>
      <c r="H20" s="43">
        <v>11.2</v>
      </c>
      <c r="I20" s="43">
        <v>0</v>
      </c>
      <c r="J20" s="43">
        <v>0</v>
      </c>
      <c r="K20" s="1">
        <f t="shared" ref="K20" si="30">(IF(F20="SELL",G20-H20,IF(F20="BUY",H20-G20)))*E20</f>
        <v>3200</v>
      </c>
      <c r="L20" s="43">
        <v>0</v>
      </c>
      <c r="M20" s="43">
        <v>0</v>
      </c>
      <c r="N20" s="1">
        <f t="shared" ref="N20" si="31">(L20+K20+M20)/E20</f>
        <v>1</v>
      </c>
      <c r="O20" s="1">
        <f t="shared" ref="O20" si="32">N20*E20</f>
        <v>3200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s="32" customFormat="1" ht="15" customHeight="1">
      <c r="A21" s="37">
        <v>44118</v>
      </c>
      <c r="B21" s="57" t="s">
        <v>60</v>
      </c>
      <c r="C21" s="20" t="s">
        <v>46</v>
      </c>
      <c r="D21" s="20">
        <v>90</v>
      </c>
      <c r="E21" s="38">
        <v>6200</v>
      </c>
      <c r="F21" s="20" t="s">
        <v>8</v>
      </c>
      <c r="G21" s="43">
        <v>2.6</v>
      </c>
      <c r="H21" s="43">
        <v>3.1</v>
      </c>
      <c r="I21" s="43">
        <v>0</v>
      </c>
      <c r="J21" s="43">
        <v>0</v>
      </c>
      <c r="K21" s="1">
        <f t="shared" ref="K21" si="33">(IF(F21="SELL",G21-H21,IF(F21="BUY",H21-G21)))*E21</f>
        <v>3100</v>
      </c>
      <c r="L21" s="43">
        <v>0</v>
      </c>
      <c r="M21" s="43">
        <v>0</v>
      </c>
      <c r="N21" s="1">
        <f t="shared" ref="N21" si="34">(L21+K21+M21)/E21</f>
        <v>0.5</v>
      </c>
      <c r="O21" s="1">
        <f t="shared" ref="O21" si="35">N21*E21</f>
        <v>3100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32" customFormat="1" ht="15" customHeight="1">
      <c r="A22" s="37">
        <v>44118</v>
      </c>
      <c r="B22" s="57" t="s">
        <v>27</v>
      </c>
      <c r="C22" s="20" t="s">
        <v>46</v>
      </c>
      <c r="D22" s="20">
        <v>105</v>
      </c>
      <c r="E22" s="38">
        <v>3700</v>
      </c>
      <c r="F22" s="20" t="s">
        <v>8</v>
      </c>
      <c r="G22" s="43">
        <v>1.5</v>
      </c>
      <c r="H22" s="43">
        <v>1.8</v>
      </c>
      <c r="I22" s="43">
        <v>0</v>
      </c>
      <c r="J22" s="43">
        <v>0</v>
      </c>
      <c r="K22" s="1">
        <f t="shared" ref="K22" si="36">(IF(F22="SELL",G22-H22,IF(F22="BUY",H22-G22)))*E22</f>
        <v>1110.0000000000002</v>
      </c>
      <c r="L22" s="43">
        <v>0</v>
      </c>
      <c r="M22" s="43">
        <v>0</v>
      </c>
      <c r="N22" s="1">
        <f t="shared" ref="N22" si="37">(L22+K22+M22)/E22</f>
        <v>0.30000000000000004</v>
      </c>
      <c r="O22" s="1">
        <f t="shared" ref="O22" si="38">N22*E22</f>
        <v>1110.0000000000002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32" customFormat="1" ht="15" customHeight="1">
      <c r="A23" s="37">
        <v>44118</v>
      </c>
      <c r="B23" s="57" t="s">
        <v>54</v>
      </c>
      <c r="C23" s="20" t="s">
        <v>46</v>
      </c>
      <c r="D23" s="20">
        <v>420</v>
      </c>
      <c r="E23" s="38">
        <v>1500</v>
      </c>
      <c r="F23" s="20" t="s">
        <v>8</v>
      </c>
      <c r="G23" s="43">
        <v>12</v>
      </c>
      <c r="H23" s="43">
        <v>10.35</v>
      </c>
      <c r="I23" s="43">
        <v>0</v>
      </c>
      <c r="J23" s="43">
        <v>0</v>
      </c>
      <c r="K23" s="1">
        <f t="shared" ref="K23" si="39">(IF(F23="SELL",G23-H23,IF(F23="BUY",H23-G23)))*E23</f>
        <v>-2475.0000000000005</v>
      </c>
      <c r="L23" s="43">
        <v>0</v>
      </c>
      <c r="M23" s="43">
        <v>0</v>
      </c>
      <c r="N23" s="1">
        <f t="shared" ref="N23" si="40">(L23+K23+M23)/E23</f>
        <v>-1.6500000000000004</v>
      </c>
      <c r="O23" s="1">
        <f t="shared" ref="O23" si="41">N23*E23</f>
        <v>-2475.0000000000005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s="32" customFormat="1" ht="15" customHeight="1">
      <c r="A24" s="37">
        <v>44117</v>
      </c>
      <c r="B24" s="57" t="s">
        <v>26</v>
      </c>
      <c r="C24" s="20" t="s">
        <v>46</v>
      </c>
      <c r="D24" s="20">
        <v>370</v>
      </c>
      <c r="E24" s="38">
        <v>1700</v>
      </c>
      <c r="F24" s="20" t="s">
        <v>8</v>
      </c>
      <c r="G24" s="43">
        <v>17</v>
      </c>
      <c r="H24" s="43">
        <v>17.399999999999999</v>
      </c>
      <c r="I24" s="43">
        <v>0</v>
      </c>
      <c r="J24" s="43">
        <v>0</v>
      </c>
      <c r="K24" s="1">
        <f t="shared" ref="K24" si="42">(IF(F24="SELL",G24-H24,IF(F24="BUY",H24-G24)))*E24</f>
        <v>679.99999999999761</v>
      </c>
      <c r="L24" s="43">
        <v>0</v>
      </c>
      <c r="M24" s="43">
        <v>0</v>
      </c>
      <c r="N24" s="1">
        <f t="shared" ref="N24" si="43">(L24+K24+M24)/E24</f>
        <v>0.39999999999999858</v>
      </c>
      <c r="O24" s="1">
        <f t="shared" ref="O24" si="44">N24*E24</f>
        <v>679.99999999999761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32" customFormat="1" ht="15" customHeight="1">
      <c r="A25" s="37">
        <v>44116</v>
      </c>
      <c r="B25" s="57" t="s">
        <v>106</v>
      </c>
      <c r="C25" s="20" t="s">
        <v>47</v>
      </c>
      <c r="D25" s="20">
        <v>5150</v>
      </c>
      <c r="E25" s="38">
        <v>250</v>
      </c>
      <c r="F25" s="20" t="s">
        <v>8</v>
      </c>
      <c r="G25" s="43">
        <v>243</v>
      </c>
      <c r="H25" s="43">
        <v>252</v>
      </c>
      <c r="I25" s="43">
        <v>270</v>
      </c>
      <c r="J25" s="43">
        <v>0</v>
      </c>
      <c r="K25" s="1">
        <f t="shared" ref="K25" si="45">(IF(F25="SELL",G25-H25,IF(F25="BUY",H25-G25)))*E25</f>
        <v>2250</v>
      </c>
      <c r="L25" s="43">
        <f>E25*18</f>
        <v>4500</v>
      </c>
      <c r="M25" s="43">
        <v>0</v>
      </c>
      <c r="N25" s="1">
        <f t="shared" ref="N25" si="46">(L25+K25+M25)/E25</f>
        <v>27</v>
      </c>
      <c r="O25" s="1">
        <f t="shared" ref="O25" si="47">N25*E25</f>
        <v>6750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32" customFormat="1" ht="15" customHeight="1">
      <c r="A26" s="37">
        <v>44113</v>
      </c>
      <c r="B26" s="57" t="s">
        <v>72</v>
      </c>
      <c r="C26" s="20" t="s">
        <v>47</v>
      </c>
      <c r="D26" s="20">
        <v>340</v>
      </c>
      <c r="E26" s="38">
        <v>1800</v>
      </c>
      <c r="F26" s="20" t="s">
        <v>8</v>
      </c>
      <c r="G26" s="43">
        <v>19.5</v>
      </c>
      <c r="H26" s="43">
        <v>21.5</v>
      </c>
      <c r="I26" s="43">
        <v>0</v>
      </c>
      <c r="J26" s="43">
        <v>0</v>
      </c>
      <c r="K26" s="1">
        <f t="shared" ref="K26" si="48">(IF(F26="SELL",G26-H26,IF(F26="BUY",H26-G26)))*E26</f>
        <v>3600</v>
      </c>
      <c r="L26" s="43">
        <v>0</v>
      </c>
      <c r="M26" s="43">
        <v>0</v>
      </c>
      <c r="N26" s="1">
        <f t="shared" ref="N26" si="49">(L26+K26+M26)/E26</f>
        <v>2</v>
      </c>
      <c r="O26" s="1">
        <f t="shared" ref="O26" si="50">N26*E26</f>
        <v>3600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32" customFormat="1" ht="15" customHeight="1">
      <c r="A27" s="37">
        <v>44113</v>
      </c>
      <c r="B27" s="57" t="s">
        <v>332</v>
      </c>
      <c r="C27" s="20" t="s">
        <v>47</v>
      </c>
      <c r="D27" s="20">
        <v>880</v>
      </c>
      <c r="E27" s="38">
        <v>1200</v>
      </c>
      <c r="F27" s="20" t="s">
        <v>8</v>
      </c>
      <c r="G27" s="43">
        <v>30</v>
      </c>
      <c r="H27" s="43">
        <v>30</v>
      </c>
      <c r="I27" s="43">
        <v>0</v>
      </c>
      <c r="J27" s="43">
        <v>0</v>
      </c>
      <c r="K27" s="1">
        <f t="shared" ref="K27" si="51">(IF(F27="SELL",G27-H27,IF(F27="BUY",H27-G27)))*E27</f>
        <v>0</v>
      </c>
      <c r="L27" s="43">
        <v>0</v>
      </c>
      <c r="M27" s="43">
        <v>0</v>
      </c>
      <c r="N27" s="1">
        <f t="shared" ref="N27" si="52">(L27+K27+M27)/E27</f>
        <v>0</v>
      </c>
      <c r="O27" s="1">
        <f t="shared" ref="O27" si="53">N27*E27</f>
        <v>0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32" customFormat="1" ht="15" customHeight="1">
      <c r="A28" s="37">
        <v>44112</v>
      </c>
      <c r="B28" s="57" t="s">
        <v>17</v>
      </c>
      <c r="C28" s="20" t="s">
        <v>46</v>
      </c>
      <c r="D28" s="20">
        <v>460</v>
      </c>
      <c r="E28" s="38">
        <v>1200</v>
      </c>
      <c r="F28" s="20" t="s">
        <v>8</v>
      </c>
      <c r="G28" s="43">
        <v>20</v>
      </c>
      <c r="H28" s="43">
        <v>22</v>
      </c>
      <c r="I28" s="43">
        <v>25</v>
      </c>
      <c r="J28" s="43">
        <v>0</v>
      </c>
      <c r="K28" s="1">
        <f t="shared" ref="K28" si="54">(IF(F28="SELL",G28-H28,IF(F28="BUY",H28-G28)))*E28</f>
        <v>2400</v>
      </c>
      <c r="L28" s="43">
        <f>E28*3</f>
        <v>3600</v>
      </c>
      <c r="M28" s="43">
        <v>0</v>
      </c>
      <c r="N28" s="1">
        <f t="shared" ref="N28" si="55">(L28+K28+M28)/E28</f>
        <v>5</v>
      </c>
      <c r="O28" s="1">
        <f t="shared" ref="O28" si="56">N28*E28</f>
        <v>6000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32" customFormat="1" ht="15" customHeight="1">
      <c r="A29" s="37">
        <v>44112</v>
      </c>
      <c r="B29" s="57" t="s">
        <v>72</v>
      </c>
      <c r="C29" s="20" t="s">
        <v>47</v>
      </c>
      <c r="D29" s="20">
        <v>340</v>
      </c>
      <c r="E29" s="38">
        <v>1800</v>
      </c>
      <c r="F29" s="20" t="s">
        <v>8</v>
      </c>
      <c r="G29" s="43">
        <v>19.5</v>
      </c>
      <c r="H29" s="43">
        <v>18.149999999999999</v>
      </c>
      <c r="I29" s="43">
        <v>0</v>
      </c>
      <c r="J29" s="43">
        <v>0</v>
      </c>
      <c r="K29" s="1">
        <f t="shared" ref="K29" si="57">(IF(F29="SELL",G29-H29,IF(F29="BUY",H29-G29)))*E29</f>
        <v>-2430.0000000000027</v>
      </c>
      <c r="L29" s="43">
        <v>0</v>
      </c>
      <c r="M29" s="43">
        <v>0</v>
      </c>
      <c r="N29" s="1">
        <f t="shared" ref="N29" si="58">(L29+K29+M29)/E29</f>
        <v>-1.3500000000000014</v>
      </c>
      <c r="O29" s="1">
        <f t="shared" ref="O29" si="59">N29*E29</f>
        <v>-2430.0000000000027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s="32" customFormat="1" ht="15" customHeight="1">
      <c r="A30" s="37">
        <v>44111</v>
      </c>
      <c r="B30" s="57" t="s">
        <v>24</v>
      </c>
      <c r="C30" s="20" t="s">
        <v>46</v>
      </c>
      <c r="D30" s="20">
        <v>140</v>
      </c>
      <c r="E30" s="38">
        <v>5700</v>
      </c>
      <c r="F30" s="20" t="s">
        <v>8</v>
      </c>
      <c r="G30" s="43">
        <v>6.55</v>
      </c>
      <c r="H30" s="43">
        <v>7.1</v>
      </c>
      <c r="I30" s="43">
        <v>0</v>
      </c>
      <c r="J30" s="43">
        <v>0</v>
      </c>
      <c r="K30" s="1">
        <f t="shared" ref="K30:K31" si="60">(IF(F30="SELL",G30-H30,IF(F30="BUY",H30-G30)))*E30</f>
        <v>3134.9999999999991</v>
      </c>
      <c r="L30" s="43">
        <v>0</v>
      </c>
      <c r="M30" s="43">
        <v>0</v>
      </c>
      <c r="N30" s="1">
        <f t="shared" ref="N30:N31" si="61">(L30+K30+M30)/E30</f>
        <v>0.54999999999999982</v>
      </c>
      <c r="O30" s="1">
        <f t="shared" ref="O30:O31" si="62">N30*E30</f>
        <v>3134.9999999999991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s="32" customFormat="1" ht="15" customHeight="1">
      <c r="A31" s="37">
        <v>44111</v>
      </c>
      <c r="B31" s="57" t="s">
        <v>72</v>
      </c>
      <c r="C31" s="20" t="s">
        <v>46</v>
      </c>
      <c r="D31" s="20">
        <v>340</v>
      </c>
      <c r="E31" s="38">
        <v>1800</v>
      </c>
      <c r="F31" s="20" t="s">
        <v>8</v>
      </c>
      <c r="G31" s="43">
        <v>13.5</v>
      </c>
      <c r="H31" s="43">
        <v>14.4</v>
      </c>
      <c r="I31" s="43">
        <v>15.7</v>
      </c>
      <c r="J31" s="43">
        <v>0</v>
      </c>
      <c r="K31" s="1">
        <f t="shared" si="60"/>
        <v>1620.0000000000007</v>
      </c>
      <c r="L31" s="43">
        <f>E31*1.3</f>
        <v>2340</v>
      </c>
      <c r="M31" s="43">
        <v>0</v>
      </c>
      <c r="N31" s="1">
        <f t="shared" si="61"/>
        <v>2.2000000000000006</v>
      </c>
      <c r="O31" s="1">
        <f t="shared" si="62"/>
        <v>3960.0000000000009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s="32" customFormat="1" ht="15" customHeight="1">
      <c r="A32" s="37">
        <v>44110</v>
      </c>
      <c r="B32" s="57" t="s">
        <v>368</v>
      </c>
      <c r="C32" s="20" t="s">
        <v>46</v>
      </c>
      <c r="D32" s="20">
        <v>210</v>
      </c>
      <c r="E32" s="38">
        <v>3000</v>
      </c>
      <c r="F32" s="20" t="s">
        <v>8</v>
      </c>
      <c r="G32" s="43">
        <v>5.5</v>
      </c>
      <c r="H32" s="43">
        <v>4.6500000000000004</v>
      </c>
      <c r="I32" s="43">
        <v>0</v>
      </c>
      <c r="J32" s="43">
        <v>0</v>
      </c>
      <c r="K32" s="1">
        <f t="shared" ref="K32:K33" si="63">(IF(F32="SELL",G32-H32,IF(F32="BUY",H32-G32)))*E32</f>
        <v>-2549.9999999999991</v>
      </c>
      <c r="L32" s="43">
        <v>0</v>
      </c>
      <c r="M32" s="43">
        <v>0</v>
      </c>
      <c r="N32" s="1">
        <f t="shared" ref="N32:N33" si="64">(L32+K32+M32)/E32</f>
        <v>-0.84999999999999964</v>
      </c>
      <c r="O32" s="1">
        <f t="shared" ref="O32:O33" si="65">N32*E32</f>
        <v>-2549.9999999999991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s="32" customFormat="1" ht="15" customHeight="1">
      <c r="A33" s="37">
        <v>44110</v>
      </c>
      <c r="B33" s="57" t="s">
        <v>406</v>
      </c>
      <c r="C33" s="20" t="s">
        <v>47</v>
      </c>
      <c r="D33" s="20">
        <v>550</v>
      </c>
      <c r="E33" s="38">
        <v>1250</v>
      </c>
      <c r="F33" s="20" t="s">
        <v>8</v>
      </c>
      <c r="G33" s="43">
        <v>10</v>
      </c>
      <c r="H33" s="43">
        <v>7.45</v>
      </c>
      <c r="I33" s="43">
        <v>0</v>
      </c>
      <c r="J33" s="43">
        <v>0</v>
      </c>
      <c r="K33" s="1">
        <f t="shared" si="63"/>
        <v>-3187.5</v>
      </c>
      <c r="L33" s="43">
        <v>0</v>
      </c>
      <c r="M33" s="43">
        <v>0</v>
      </c>
      <c r="N33" s="1">
        <f t="shared" si="64"/>
        <v>-2.5499999999999998</v>
      </c>
      <c r="O33" s="1">
        <f t="shared" si="65"/>
        <v>-3187.5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s="32" customFormat="1" ht="15" customHeight="1">
      <c r="A34" s="37">
        <v>44110</v>
      </c>
      <c r="B34" s="57" t="s">
        <v>28</v>
      </c>
      <c r="C34" s="20" t="s">
        <v>46</v>
      </c>
      <c r="D34" s="20">
        <v>430</v>
      </c>
      <c r="E34" s="38">
        <v>1851</v>
      </c>
      <c r="F34" s="20" t="s">
        <v>8</v>
      </c>
      <c r="G34" s="43">
        <v>20.399999999999999</v>
      </c>
      <c r="H34" s="43">
        <v>22</v>
      </c>
      <c r="I34" s="43">
        <v>0</v>
      </c>
      <c r="J34" s="43">
        <v>0</v>
      </c>
      <c r="K34" s="1">
        <f t="shared" ref="K34" si="66">(IF(F34="SELL",G34-H34,IF(F34="BUY",H34-G34)))*E34</f>
        <v>2961.6000000000026</v>
      </c>
      <c r="L34" s="43">
        <v>0</v>
      </c>
      <c r="M34" s="43">
        <v>0</v>
      </c>
      <c r="N34" s="1">
        <f t="shared" ref="N34" si="67">(L34+K34+M34)/E34</f>
        <v>1.6000000000000014</v>
      </c>
      <c r="O34" s="1">
        <f t="shared" ref="O34" si="68">N34*E34</f>
        <v>2961.6000000000026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s="32" customFormat="1" ht="15" customHeight="1">
      <c r="A35" s="37">
        <v>44109</v>
      </c>
      <c r="B35" s="57" t="s">
        <v>21</v>
      </c>
      <c r="C35" s="20" t="s">
        <v>47</v>
      </c>
      <c r="D35" s="20">
        <v>200</v>
      </c>
      <c r="E35" s="38">
        <v>3000</v>
      </c>
      <c r="F35" s="20" t="s">
        <v>8</v>
      </c>
      <c r="G35" s="43">
        <v>5.5</v>
      </c>
      <c r="H35" s="43">
        <v>4.6500000000000004</v>
      </c>
      <c r="I35" s="43">
        <v>0</v>
      </c>
      <c r="J35" s="43">
        <v>0</v>
      </c>
      <c r="K35" s="1">
        <f t="shared" ref="K35:K36" si="69">(IF(F35="SELL",G35-H35,IF(F35="BUY",H35-G35)))*E35</f>
        <v>-2549.9999999999991</v>
      </c>
      <c r="L35" s="43">
        <v>0</v>
      </c>
      <c r="M35" s="43">
        <v>0</v>
      </c>
      <c r="N35" s="1">
        <f t="shared" ref="N35:N36" si="70">(L35+K35+M35)/E35</f>
        <v>-0.84999999999999964</v>
      </c>
      <c r="O35" s="1">
        <f t="shared" ref="O35:O36" si="71">N35*E35</f>
        <v>-2549.9999999999991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s="32" customFormat="1" ht="15" customHeight="1">
      <c r="A36" s="37">
        <v>44109</v>
      </c>
      <c r="B36" s="57" t="s">
        <v>63</v>
      </c>
      <c r="C36" s="20" t="s">
        <v>46</v>
      </c>
      <c r="D36" s="20">
        <v>170</v>
      </c>
      <c r="E36" s="38">
        <v>2700</v>
      </c>
      <c r="F36" s="20" t="s">
        <v>8</v>
      </c>
      <c r="G36" s="43">
        <v>6</v>
      </c>
      <c r="H36" s="43">
        <v>5.55</v>
      </c>
      <c r="I36" s="43">
        <v>0</v>
      </c>
      <c r="J36" s="43">
        <v>0</v>
      </c>
      <c r="K36" s="1">
        <f t="shared" si="69"/>
        <v>-1215.0000000000005</v>
      </c>
      <c r="L36" s="43">
        <v>0</v>
      </c>
      <c r="M36" s="43">
        <v>0</v>
      </c>
      <c r="N36" s="1">
        <f t="shared" si="70"/>
        <v>-0.45000000000000018</v>
      </c>
      <c r="O36" s="1">
        <f t="shared" si="71"/>
        <v>-1215.0000000000005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s="32" customFormat="1" ht="15" customHeight="1">
      <c r="A37" s="37">
        <v>44105</v>
      </c>
      <c r="B37" s="57" t="s">
        <v>62</v>
      </c>
      <c r="C37" s="20" t="s">
        <v>47</v>
      </c>
      <c r="D37" s="20">
        <v>90</v>
      </c>
      <c r="E37" s="38">
        <v>6200</v>
      </c>
      <c r="F37" s="20" t="s">
        <v>8</v>
      </c>
      <c r="G37" s="43">
        <v>2.9</v>
      </c>
      <c r="H37" s="43">
        <v>2.85</v>
      </c>
      <c r="I37" s="43">
        <v>0</v>
      </c>
      <c r="J37" s="43">
        <v>0</v>
      </c>
      <c r="K37" s="1">
        <f t="shared" ref="K37" si="72">(IF(F37="SELL",G37-H37,IF(F37="BUY",H37-G37)))*E37</f>
        <v>-309.99999999999892</v>
      </c>
      <c r="L37" s="43">
        <v>0</v>
      </c>
      <c r="M37" s="43">
        <v>0</v>
      </c>
      <c r="N37" s="1">
        <f t="shared" ref="N37" si="73">(L37+K37+M37)/E37</f>
        <v>-4.9999999999999822E-2</v>
      </c>
      <c r="O37" s="1">
        <f t="shared" ref="O37" si="74">N37*E37</f>
        <v>-309.99999999999892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s="32" customFormat="1" ht="15" customHeight="1">
      <c r="A38" s="37">
        <v>44105</v>
      </c>
      <c r="B38" s="57" t="s">
        <v>71</v>
      </c>
      <c r="C38" s="20" t="s">
        <v>47</v>
      </c>
      <c r="D38" s="20">
        <v>290</v>
      </c>
      <c r="E38" s="38">
        <v>2700</v>
      </c>
      <c r="F38" s="20" t="s">
        <v>8</v>
      </c>
      <c r="G38" s="43">
        <v>10.75</v>
      </c>
      <c r="H38" s="43">
        <v>11.75</v>
      </c>
      <c r="I38" s="43">
        <v>0</v>
      </c>
      <c r="J38" s="43">
        <v>0</v>
      </c>
      <c r="K38" s="1">
        <f t="shared" ref="K38" si="75">(IF(F38="SELL",G38-H38,IF(F38="BUY",H38-G38)))*E38</f>
        <v>2700</v>
      </c>
      <c r="L38" s="43">
        <v>0</v>
      </c>
      <c r="M38" s="43">
        <v>0</v>
      </c>
      <c r="N38" s="1">
        <f t="shared" ref="N38" si="76">(L38+K38+M38)/E38</f>
        <v>1</v>
      </c>
      <c r="O38" s="1">
        <f t="shared" ref="O38" si="77">N38*E38</f>
        <v>2700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s="32" customFormat="1" ht="15" customHeight="1">
      <c r="A39" s="37">
        <v>44105</v>
      </c>
      <c r="B39" s="57" t="s">
        <v>28</v>
      </c>
      <c r="C39" s="20" t="s">
        <v>47</v>
      </c>
      <c r="D39" s="20">
        <v>440</v>
      </c>
      <c r="E39" s="38">
        <v>1851</v>
      </c>
      <c r="F39" s="20" t="s">
        <v>8</v>
      </c>
      <c r="G39" s="43">
        <v>16.5</v>
      </c>
      <c r="H39" s="43">
        <v>17.25</v>
      </c>
      <c r="I39" s="43">
        <v>0</v>
      </c>
      <c r="J39" s="43">
        <v>0</v>
      </c>
      <c r="K39" s="1">
        <f t="shared" ref="K39" si="78">(IF(F39="SELL",G39-H39,IF(F39="BUY",H39-G39)))*E39</f>
        <v>1388.25</v>
      </c>
      <c r="L39" s="43">
        <v>0</v>
      </c>
      <c r="M39" s="43">
        <v>0</v>
      </c>
      <c r="N39" s="1">
        <f t="shared" ref="N39" si="79">(L39+K39+M39)/E39</f>
        <v>0.75</v>
      </c>
      <c r="O39" s="1">
        <f t="shared" ref="O39" si="80">N39*E39</f>
        <v>1388.25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s="32" customFormat="1" ht="15" customHeight="1">
      <c r="A40" s="37">
        <v>44104</v>
      </c>
      <c r="B40" s="57" t="s">
        <v>398</v>
      </c>
      <c r="C40" s="20" t="s">
        <v>46</v>
      </c>
      <c r="D40" s="20">
        <v>180</v>
      </c>
      <c r="E40" s="38">
        <v>2800</v>
      </c>
      <c r="F40" s="20" t="s">
        <v>8</v>
      </c>
      <c r="G40" s="43">
        <v>12</v>
      </c>
      <c r="H40" s="43">
        <v>13.25</v>
      </c>
      <c r="I40" s="43">
        <v>0</v>
      </c>
      <c r="J40" s="43">
        <v>0</v>
      </c>
      <c r="K40" s="1">
        <f t="shared" ref="K40:K42" si="81">(IF(F40="SELL",G40-H40,IF(F40="BUY",H40-G40)))*E40</f>
        <v>3500</v>
      </c>
      <c r="L40" s="43">
        <v>0</v>
      </c>
      <c r="M40" s="43">
        <v>0</v>
      </c>
      <c r="N40" s="1">
        <f t="shared" ref="N40:N42" si="82">(L40+K40+M40)/E40</f>
        <v>1.25</v>
      </c>
      <c r="O40" s="1">
        <f t="shared" ref="O40:O42" si="83">N40*E40</f>
        <v>3500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32" customFormat="1" ht="15" customHeight="1">
      <c r="A41" s="37">
        <v>44104</v>
      </c>
      <c r="B41" s="57" t="s">
        <v>39</v>
      </c>
      <c r="C41" s="20" t="s">
        <v>46</v>
      </c>
      <c r="D41" s="20">
        <v>2250</v>
      </c>
      <c r="E41" s="38">
        <v>505</v>
      </c>
      <c r="F41" s="20" t="s">
        <v>8</v>
      </c>
      <c r="G41" s="43">
        <v>80</v>
      </c>
      <c r="H41" s="43">
        <v>82.1</v>
      </c>
      <c r="I41" s="43">
        <v>89</v>
      </c>
      <c r="J41" s="43">
        <v>0</v>
      </c>
      <c r="K41" s="1">
        <f t="shared" si="81"/>
        <v>1060.499999999997</v>
      </c>
      <c r="L41" s="43">
        <f>E41*6.9</f>
        <v>3484.5</v>
      </c>
      <c r="M41" s="43">
        <v>0</v>
      </c>
      <c r="N41" s="1">
        <f t="shared" si="82"/>
        <v>8.9999999999999947</v>
      </c>
      <c r="O41" s="1">
        <f t="shared" si="83"/>
        <v>4544.9999999999973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s="32" customFormat="1" ht="15" customHeight="1">
      <c r="A42" s="37">
        <v>44104</v>
      </c>
      <c r="B42" s="57" t="s">
        <v>391</v>
      </c>
      <c r="C42" s="20" t="s">
        <v>46</v>
      </c>
      <c r="D42" s="20">
        <v>530</v>
      </c>
      <c r="E42" s="38">
        <v>1400</v>
      </c>
      <c r="F42" s="20" t="s">
        <v>8</v>
      </c>
      <c r="G42" s="43">
        <v>16</v>
      </c>
      <c r="H42" s="43">
        <v>13.45</v>
      </c>
      <c r="I42" s="43">
        <v>0</v>
      </c>
      <c r="J42" s="43">
        <v>0</v>
      </c>
      <c r="K42" s="1">
        <f t="shared" si="81"/>
        <v>-3570.0000000000009</v>
      </c>
      <c r="L42" s="43">
        <v>0</v>
      </c>
      <c r="M42" s="43">
        <v>0</v>
      </c>
      <c r="N42" s="1">
        <f t="shared" si="82"/>
        <v>-2.5500000000000007</v>
      </c>
      <c r="O42" s="1">
        <f t="shared" si="83"/>
        <v>-3570.0000000000009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s="32" customFormat="1" ht="15" customHeight="1">
      <c r="A43" s="37">
        <v>44103</v>
      </c>
      <c r="B43" s="20" t="s">
        <v>71</v>
      </c>
      <c r="C43" s="20" t="s">
        <v>47</v>
      </c>
      <c r="D43" s="20">
        <v>285</v>
      </c>
      <c r="E43" s="38">
        <v>2700</v>
      </c>
      <c r="F43" s="20" t="s">
        <v>8</v>
      </c>
      <c r="G43" s="43">
        <v>12.5</v>
      </c>
      <c r="H43" s="43">
        <v>11.2</v>
      </c>
      <c r="I43" s="43">
        <v>0</v>
      </c>
      <c r="J43" s="43">
        <v>0</v>
      </c>
      <c r="K43" s="1">
        <f t="shared" ref="K43" si="84">(IF(F43="SELL",G43-H43,IF(F43="BUY",H43-G43)))*E43</f>
        <v>-3510.0000000000018</v>
      </c>
      <c r="L43" s="43">
        <v>0</v>
      </c>
      <c r="M43" s="43">
        <v>0</v>
      </c>
      <c r="N43" s="1">
        <f t="shared" ref="N43" si="85">(L43+K43+M43)/E43</f>
        <v>-1.3000000000000007</v>
      </c>
      <c r="O43" s="1">
        <f t="shared" ref="O43" si="86">N43*E43</f>
        <v>-3510.0000000000018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s="32" customFormat="1" ht="15" customHeight="1">
      <c r="A44" s="37">
        <v>44103</v>
      </c>
      <c r="B44" s="57" t="s">
        <v>28</v>
      </c>
      <c r="C44" s="20" t="s">
        <v>46</v>
      </c>
      <c r="D44" s="20">
        <v>440</v>
      </c>
      <c r="E44" s="38">
        <v>1851</v>
      </c>
      <c r="F44" s="20" t="s">
        <v>8</v>
      </c>
      <c r="G44" s="43">
        <v>21.5</v>
      </c>
      <c r="H44" s="43">
        <v>23.25</v>
      </c>
      <c r="I44" s="43">
        <v>25.5</v>
      </c>
      <c r="J44" s="43">
        <v>0</v>
      </c>
      <c r="K44" s="1">
        <f t="shared" ref="K44" si="87">(IF(F44="SELL",G44-H44,IF(F44="BUY",H44-G44)))*E44</f>
        <v>3239.25</v>
      </c>
      <c r="L44" s="43">
        <f>E44*2.25</f>
        <v>4164.75</v>
      </c>
      <c r="M44" s="43">
        <v>0</v>
      </c>
      <c r="N44" s="1">
        <f t="shared" ref="N44" si="88">(L44+K44+M44)/E44</f>
        <v>4</v>
      </c>
      <c r="O44" s="1">
        <f t="shared" ref="O44" si="89">N44*E44</f>
        <v>7404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s="32" customFormat="1" ht="15" customHeight="1">
      <c r="A45" s="37">
        <v>44102</v>
      </c>
      <c r="B45" s="57" t="s">
        <v>21</v>
      </c>
      <c r="C45" s="20" t="s">
        <v>47</v>
      </c>
      <c r="D45" s="20">
        <v>190</v>
      </c>
      <c r="E45" s="38">
        <v>3000</v>
      </c>
      <c r="F45" s="20" t="s">
        <v>8</v>
      </c>
      <c r="G45" s="43">
        <v>7.3</v>
      </c>
      <c r="H45" s="43">
        <v>7.8</v>
      </c>
      <c r="I45" s="43">
        <v>0</v>
      </c>
      <c r="J45" s="43">
        <v>0</v>
      </c>
      <c r="K45" s="1">
        <f t="shared" ref="K45" si="90">(IF(F45="SELL",G45-H45,IF(F45="BUY",H45-G45)))*E45</f>
        <v>1500</v>
      </c>
      <c r="L45" s="43">
        <v>0</v>
      </c>
      <c r="M45" s="43">
        <v>0</v>
      </c>
      <c r="N45" s="1">
        <f t="shared" ref="N45" si="91">(L45+K45+M45)/E45</f>
        <v>0.5</v>
      </c>
      <c r="O45" s="1">
        <f t="shared" ref="O45" si="92">N45*E45</f>
        <v>1500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s="32" customFormat="1" ht="15" customHeight="1">
      <c r="A46" s="37">
        <v>44102</v>
      </c>
      <c r="B46" s="57" t="s">
        <v>499</v>
      </c>
      <c r="C46" s="20" t="s">
        <v>47</v>
      </c>
      <c r="D46" s="20">
        <v>280</v>
      </c>
      <c r="E46" s="38">
        <v>1800</v>
      </c>
      <c r="F46" s="20" t="s">
        <v>8</v>
      </c>
      <c r="G46" s="43">
        <v>13.5</v>
      </c>
      <c r="H46" s="43">
        <v>15.25</v>
      </c>
      <c r="I46" s="43">
        <v>16.8</v>
      </c>
      <c r="J46" s="43">
        <v>0</v>
      </c>
      <c r="K46" s="1">
        <f t="shared" ref="K46" si="93">(IF(F46="SELL",G46-H46,IF(F46="BUY",H46-G46)))*E46</f>
        <v>3150</v>
      </c>
      <c r="L46" s="43">
        <f>E46*1.55</f>
        <v>2790</v>
      </c>
      <c r="M46" s="43">
        <v>0</v>
      </c>
      <c r="N46" s="1">
        <f t="shared" ref="N46" si="94">(L46+K46+M46)/E46</f>
        <v>3.3</v>
      </c>
      <c r="O46" s="1">
        <f t="shared" ref="O46" si="95">N46*E46</f>
        <v>5940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s="32" customFormat="1" ht="15" customHeight="1">
      <c r="A47" s="37">
        <v>44099</v>
      </c>
      <c r="B47" s="20" t="s">
        <v>193</v>
      </c>
      <c r="C47" s="20" t="s">
        <v>47</v>
      </c>
      <c r="D47" s="20">
        <v>420</v>
      </c>
      <c r="E47" s="38">
        <v>1375</v>
      </c>
      <c r="F47" s="20" t="s">
        <v>8</v>
      </c>
      <c r="G47" s="43">
        <v>13</v>
      </c>
      <c r="H47" s="43">
        <v>11.7</v>
      </c>
      <c r="I47" s="43">
        <v>0</v>
      </c>
      <c r="J47" s="43">
        <v>0</v>
      </c>
      <c r="K47" s="1">
        <f t="shared" ref="K47" si="96">(IF(F47="SELL",G47-H47,IF(F47="BUY",H47-G47)))*E47</f>
        <v>-1787.5000000000009</v>
      </c>
      <c r="L47" s="43">
        <v>0</v>
      </c>
      <c r="M47" s="43">
        <v>0</v>
      </c>
      <c r="N47" s="1">
        <f t="shared" ref="N47" si="97">(L47+K47+M47)/E47</f>
        <v>-1.3000000000000007</v>
      </c>
      <c r="O47" s="1">
        <f t="shared" ref="O47" si="98">N47*E47</f>
        <v>-1787.5000000000009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s="32" customFormat="1" ht="15" customHeight="1">
      <c r="A48" s="37">
        <v>44099</v>
      </c>
      <c r="B48" s="57" t="s">
        <v>391</v>
      </c>
      <c r="C48" s="20" t="s">
        <v>47</v>
      </c>
      <c r="D48" s="20">
        <v>500</v>
      </c>
      <c r="E48" s="38">
        <v>1400</v>
      </c>
      <c r="F48" s="20" t="s">
        <v>8</v>
      </c>
      <c r="G48" s="43">
        <v>20</v>
      </c>
      <c r="H48" s="43">
        <v>22</v>
      </c>
      <c r="I48" s="43">
        <v>0</v>
      </c>
      <c r="J48" s="43">
        <v>0</v>
      </c>
      <c r="K48" s="1">
        <f t="shared" ref="K48" si="99">(IF(F48="SELL",G48-H48,IF(F48="BUY",H48-G48)))*E48</f>
        <v>2800</v>
      </c>
      <c r="L48" s="43">
        <v>0</v>
      </c>
      <c r="M48" s="43">
        <v>0</v>
      </c>
      <c r="N48" s="1">
        <f t="shared" ref="N48" si="100">(L48+K48+M48)/E48</f>
        <v>2</v>
      </c>
      <c r="O48" s="1">
        <f t="shared" ref="O48" si="101">N48*E48</f>
        <v>2800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s="32" customFormat="1" ht="15" customHeight="1">
      <c r="A49" s="37">
        <v>44098</v>
      </c>
      <c r="B49" s="57" t="s">
        <v>499</v>
      </c>
      <c r="C49" s="20" t="s">
        <v>46</v>
      </c>
      <c r="D49" s="20">
        <v>260</v>
      </c>
      <c r="E49" s="38">
        <v>1800</v>
      </c>
      <c r="F49" s="20" t="s">
        <v>8</v>
      </c>
      <c r="G49" s="43">
        <v>17</v>
      </c>
      <c r="H49" s="43">
        <v>19</v>
      </c>
      <c r="I49" s="43">
        <v>20.5</v>
      </c>
      <c r="J49" s="43">
        <v>0</v>
      </c>
      <c r="K49" s="1">
        <f t="shared" ref="K49:K51" si="102">(IF(F49="SELL",G49-H49,IF(F49="BUY",H49-G49)))*E49</f>
        <v>3600</v>
      </c>
      <c r="L49" s="43">
        <f>E49*1.5</f>
        <v>2700</v>
      </c>
      <c r="M49" s="43">
        <v>0</v>
      </c>
      <c r="N49" s="1">
        <f t="shared" ref="N49:N112" si="103">(L49+K49+M49)/E49</f>
        <v>3.5</v>
      </c>
      <c r="O49" s="1">
        <f t="shared" ref="O49:O112" si="104">N49*E49</f>
        <v>6300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s="32" customFormat="1" ht="15" customHeight="1">
      <c r="A50" s="37">
        <v>44098</v>
      </c>
      <c r="B50" s="57" t="s">
        <v>21</v>
      </c>
      <c r="C50" s="20" t="s">
        <v>46</v>
      </c>
      <c r="D50" s="20">
        <v>180</v>
      </c>
      <c r="E50" s="38">
        <v>3000</v>
      </c>
      <c r="F50" s="20" t="s">
        <v>8</v>
      </c>
      <c r="G50" s="43">
        <v>10</v>
      </c>
      <c r="H50" s="43">
        <v>11</v>
      </c>
      <c r="I50" s="43">
        <v>12</v>
      </c>
      <c r="J50" s="43">
        <v>0</v>
      </c>
      <c r="K50" s="1">
        <f t="shared" si="102"/>
        <v>3000</v>
      </c>
      <c r="L50" s="43">
        <f>E50*1</f>
        <v>3000</v>
      </c>
      <c r="M50" s="43">
        <v>0</v>
      </c>
      <c r="N50" s="1">
        <f t="shared" si="103"/>
        <v>2</v>
      </c>
      <c r="O50" s="1">
        <f t="shared" si="104"/>
        <v>6000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s="32" customFormat="1" ht="15" customHeight="1">
      <c r="A51" s="37">
        <v>44098</v>
      </c>
      <c r="B51" s="57" t="s">
        <v>62</v>
      </c>
      <c r="C51" s="20" t="s">
        <v>46</v>
      </c>
      <c r="D51" s="20">
        <v>85</v>
      </c>
      <c r="E51" s="38">
        <v>6200</v>
      </c>
      <c r="F51" s="20" t="s">
        <v>8</v>
      </c>
      <c r="G51" s="43">
        <v>4.5</v>
      </c>
      <c r="H51" s="43">
        <v>5</v>
      </c>
      <c r="I51" s="43">
        <v>5.55</v>
      </c>
      <c r="J51" s="43">
        <v>0</v>
      </c>
      <c r="K51" s="1">
        <f t="shared" si="102"/>
        <v>3100</v>
      </c>
      <c r="L51" s="43">
        <f>E51*0.55</f>
        <v>3410.0000000000005</v>
      </c>
      <c r="M51" s="43">
        <v>0</v>
      </c>
      <c r="N51" s="1">
        <f t="shared" si="103"/>
        <v>1.05</v>
      </c>
      <c r="O51" s="1">
        <f t="shared" si="104"/>
        <v>6510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s="32" customFormat="1" ht="15" customHeight="1">
      <c r="A52" s="37">
        <v>44097</v>
      </c>
      <c r="B52" s="57" t="s">
        <v>28</v>
      </c>
      <c r="C52" s="20" t="s">
        <v>46</v>
      </c>
      <c r="D52" s="20">
        <v>430</v>
      </c>
      <c r="E52" s="38">
        <v>1851</v>
      </c>
      <c r="F52" s="20" t="s">
        <v>8</v>
      </c>
      <c r="G52" s="43">
        <v>3.5</v>
      </c>
      <c r="H52" s="43">
        <v>5.25</v>
      </c>
      <c r="I52" s="43">
        <v>7.5</v>
      </c>
      <c r="J52" s="43">
        <v>0</v>
      </c>
      <c r="K52" s="1">
        <f t="shared" ref="K52" si="105">(IF(F52="SELL",G52-H52,IF(F52="BUY",H52-G52)))*E52</f>
        <v>3239.25</v>
      </c>
      <c r="L52" s="43">
        <f>E52*2.25</f>
        <v>4164.75</v>
      </c>
      <c r="M52" s="43">
        <v>0</v>
      </c>
      <c r="N52" s="1">
        <f t="shared" si="103"/>
        <v>4</v>
      </c>
      <c r="O52" s="1">
        <f t="shared" si="104"/>
        <v>7404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s="32" customFormat="1" ht="15" customHeight="1">
      <c r="A53" s="37">
        <v>44097</v>
      </c>
      <c r="B53" s="57" t="s">
        <v>63</v>
      </c>
      <c r="C53" s="20" t="s">
        <v>46</v>
      </c>
      <c r="D53" s="20">
        <v>180</v>
      </c>
      <c r="E53" s="38">
        <v>2700</v>
      </c>
      <c r="F53" s="20" t="s">
        <v>8</v>
      </c>
      <c r="G53" s="43">
        <v>2</v>
      </c>
      <c r="H53" s="43">
        <v>3</v>
      </c>
      <c r="I53" s="43">
        <v>4.5</v>
      </c>
      <c r="J53" s="43">
        <v>0</v>
      </c>
      <c r="K53" s="1">
        <f t="shared" ref="K53:K54" si="106">(IF(F53="SELL",G53-H53,IF(F53="BUY",H53-G53)))*E53</f>
        <v>2700</v>
      </c>
      <c r="L53" s="43">
        <f>E53*1.5</f>
        <v>4050</v>
      </c>
      <c r="M53" s="43">
        <v>0</v>
      </c>
      <c r="N53" s="1">
        <f t="shared" si="103"/>
        <v>2.5</v>
      </c>
      <c r="O53" s="1">
        <f t="shared" si="104"/>
        <v>6750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s="32" customFormat="1" ht="15" customHeight="1">
      <c r="A54" s="37">
        <v>44097</v>
      </c>
      <c r="B54" s="57" t="s">
        <v>420</v>
      </c>
      <c r="C54" s="20" t="s">
        <v>47</v>
      </c>
      <c r="D54" s="20">
        <v>2000</v>
      </c>
      <c r="E54" s="38">
        <v>300</v>
      </c>
      <c r="F54" s="20" t="s">
        <v>8</v>
      </c>
      <c r="G54" s="43">
        <v>7.8</v>
      </c>
      <c r="H54" s="43">
        <v>13</v>
      </c>
      <c r="I54" s="43">
        <v>0</v>
      </c>
      <c r="J54" s="43">
        <v>0</v>
      </c>
      <c r="K54" s="1">
        <f t="shared" si="106"/>
        <v>1560</v>
      </c>
      <c r="L54" s="43">
        <v>0</v>
      </c>
      <c r="M54" s="43">
        <v>0</v>
      </c>
      <c r="N54" s="1">
        <f t="shared" si="103"/>
        <v>5.2</v>
      </c>
      <c r="O54" s="1">
        <f t="shared" si="104"/>
        <v>1560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s="32" customFormat="1" ht="15" customHeight="1">
      <c r="A55" s="37">
        <v>44096</v>
      </c>
      <c r="B55" s="20" t="s">
        <v>17</v>
      </c>
      <c r="C55" s="20" t="s">
        <v>47</v>
      </c>
      <c r="D55" s="20">
        <v>420</v>
      </c>
      <c r="E55" s="38">
        <v>1200</v>
      </c>
      <c r="F55" s="20" t="s">
        <v>8</v>
      </c>
      <c r="G55" s="43">
        <v>8.5</v>
      </c>
      <c r="H55" s="43">
        <v>6</v>
      </c>
      <c r="I55" s="43">
        <v>0</v>
      </c>
      <c r="J55" s="43">
        <v>0</v>
      </c>
      <c r="K55" s="1">
        <f t="shared" ref="K55:K56" si="107">(IF(F55="SELL",G55-H55,IF(F55="BUY",H55-G55)))*E55</f>
        <v>-3000</v>
      </c>
      <c r="L55" s="43">
        <v>0</v>
      </c>
      <c r="M55" s="43">
        <v>0</v>
      </c>
      <c r="N55" s="1">
        <f t="shared" si="103"/>
        <v>-2.5</v>
      </c>
      <c r="O55" s="1">
        <f t="shared" si="104"/>
        <v>-3000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s="32" customFormat="1" ht="15" customHeight="1">
      <c r="A56" s="37">
        <v>44096</v>
      </c>
      <c r="B56" s="57" t="s">
        <v>391</v>
      </c>
      <c r="C56" s="20" t="s">
        <v>47</v>
      </c>
      <c r="D56" s="20">
        <v>520</v>
      </c>
      <c r="E56" s="38">
        <v>1400</v>
      </c>
      <c r="F56" s="20" t="s">
        <v>8</v>
      </c>
      <c r="G56" s="43">
        <v>4.25</v>
      </c>
      <c r="H56" s="43">
        <v>6.1</v>
      </c>
      <c r="I56" s="43">
        <v>0</v>
      </c>
      <c r="J56" s="43">
        <v>0</v>
      </c>
      <c r="K56" s="1">
        <f t="shared" si="107"/>
        <v>2589.9999999999995</v>
      </c>
      <c r="L56" s="43">
        <v>0</v>
      </c>
      <c r="M56" s="43">
        <v>0</v>
      </c>
      <c r="N56" s="1">
        <f t="shared" si="103"/>
        <v>1.8499999999999996</v>
      </c>
      <c r="O56" s="1">
        <f t="shared" si="104"/>
        <v>2589.9999999999995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s="32" customFormat="1" ht="15" customHeight="1">
      <c r="A57" s="37">
        <v>44095</v>
      </c>
      <c r="B57" s="20" t="s">
        <v>10</v>
      </c>
      <c r="C57" s="20" t="s">
        <v>47</v>
      </c>
      <c r="D57" s="20">
        <v>700</v>
      </c>
      <c r="E57" s="38">
        <v>1000</v>
      </c>
      <c r="F57" s="20" t="s">
        <v>8</v>
      </c>
      <c r="G57" s="43">
        <v>4.5</v>
      </c>
      <c r="H57" s="43">
        <v>3.1</v>
      </c>
      <c r="I57" s="43">
        <v>0</v>
      </c>
      <c r="J57" s="43">
        <v>0</v>
      </c>
      <c r="K57" s="1">
        <f t="shared" ref="K57" si="108">(IF(F57="SELL",G57-H57,IF(F57="BUY",H57-G57)))*E57</f>
        <v>-1400</v>
      </c>
      <c r="L57" s="43">
        <v>0</v>
      </c>
      <c r="M57" s="43">
        <v>0</v>
      </c>
      <c r="N57" s="1">
        <f t="shared" si="103"/>
        <v>-1.4</v>
      </c>
      <c r="O57" s="1">
        <f t="shared" si="104"/>
        <v>-1400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s="32" customFormat="1" ht="15" customHeight="1">
      <c r="A58" s="37">
        <v>44095</v>
      </c>
      <c r="B58" s="57" t="s">
        <v>357</v>
      </c>
      <c r="C58" s="20" t="s">
        <v>47</v>
      </c>
      <c r="D58" s="20">
        <v>1340</v>
      </c>
      <c r="E58" s="38">
        <v>800</v>
      </c>
      <c r="F58" s="20" t="s">
        <v>8</v>
      </c>
      <c r="G58" s="43">
        <v>13</v>
      </c>
      <c r="H58" s="43">
        <v>17</v>
      </c>
      <c r="I58" s="43">
        <v>0</v>
      </c>
      <c r="J58" s="43">
        <v>0</v>
      </c>
      <c r="K58" s="1">
        <f t="shared" ref="K58" si="109">(IF(F58="SELL",G58-H58,IF(F58="BUY",H58-G58)))*E58</f>
        <v>3200</v>
      </c>
      <c r="L58" s="43">
        <v>0</v>
      </c>
      <c r="M58" s="43">
        <v>0</v>
      </c>
      <c r="N58" s="1">
        <f t="shared" si="103"/>
        <v>4</v>
      </c>
      <c r="O58" s="1">
        <f t="shared" si="104"/>
        <v>3200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s="32" customFormat="1" ht="15" customHeight="1">
      <c r="A59" s="37">
        <v>44092</v>
      </c>
      <c r="B59" s="57" t="s">
        <v>72</v>
      </c>
      <c r="C59" s="20" t="s">
        <v>46</v>
      </c>
      <c r="D59" s="20">
        <v>420</v>
      </c>
      <c r="E59" s="38">
        <v>1800</v>
      </c>
      <c r="F59" s="20" t="s">
        <v>8</v>
      </c>
      <c r="G59" s="43">
        <v>9.5</v>
      </c>
      <c r="H59" s="43">
        <v>11.25</v>
      </c>
      <c r="I59" s="43">
        <v>13.4</v>
      </c>
      <c r="J59" s="43">
        <v>0</v>
      </c>
      <c r="K59" s="1">
        <f t="shared" ref="K59:K60" si="110">(IF(F59="SELL",G59-H59,IF(F59="BUY",H59-G59)))*E59</f>
        <v>3150</v>
      </c>
      <c r="L59" s="43">
        <f>E59*2.15</f>
        <v>3870</v>
      </c>
      <c r="M59" s="43">
        <v>0</v>
      </c>
      <c r="N59" s="1">
        <f t="shared" si="103"/>
        <v>3.9</v>
      </c>
      <c r="O59" s="1">
        <f t="shared" si="104"/>
        <v>7020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s="32" customFormat="1" ht="15" customHeight="1">
      <c r="A60" s="37">
        <v>44092</v>
      </c>
      <c r="B60" s="20" t="s">
        <v>69</v>
      </c>
      <c r="C60" s="20" t="s">
        <v>47</v>
      </c>
      <c r="D60" s="20">
        <v>125</v>
      </c>
      <c r="E60" s="38">
        <v>7000</v>
      </c>
      <c r="F60" s="20" t="s">
        <v>8</v>
      </c>
      <c r="G60" s="43">
        <v>4.1500000000000004</v>
      </c>
      <c r="H60" s="43">
        <v>3.45</v>
      </c>
      <c r="I60" s="43">
        <v>0</v>
      </c>
      <c r="J60" s="43">
        <v>0</v>
      </c>
      <c r="K60" s="1">
        <f t="shared" si="110"/>
        <v>-4900.0000000000009</v>
      </c>
      <c r="L60" s="43">
        <v>0</v>
      </c>
      <c r="M60" s="43">
        <v>0</v>
      </c>
      <c r="N60" s="1">
        <f t="shared" si="103"/>
        <v>-0.70000000000000018</v>
      </c>
      <c r="O60" s="1">
        <f t="shared" si="104"/>
        <v>-4900.0000000000009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s="32" customFormat="1" ht="15" customHeight="1">
      <c r="A61" s="37">
        <v>44092</v>
      </c>
      <c r="B61" s="57" t="s">
        <v>71</v>
      </c>
      <c r="C61" s="20" t="s">
        <v>47</v>
      </c>
      <c r="D61" s="20">
        <v>290</v>
      </c>
      <c r="E61" s="38">
        <v>3200</v>
      </c>
      <c r="F61" s="20" t="s">
        <v>8</v>
      </c>
      <c r="G61" s="43">
        <v>6</v>
      </c>
      <c r="H61" s="43">
        <v>7.2</v>
      </c>
      <c r="I61" s="43">
        <v>8.8000000000000007</v>
      </c>
      <c r="J61" s="43">
        <v>0</v>
      </c>
      <c r="K61" s="1">
        <f t="shared" ref="K61" si="111">(IF(F61="SELL",G61-H61,IF(F61="BUY",H61-G61)))*E61</f>
        <v>3840.0000000000005</v>
      </c>
      <c r="L61" s="43">
        <f>E61*1.6</f>
        <v>5120</v>
      </c>
      <c r="M61" s="43">
        <v>0</v>
      </c>
      <c r="N61" s="1">
        <f t="shared" si="103"/>
        <v>2.8</v>
      </c>
      <c r="O61" s="1">
        <f t="shared" si="104"/>
        <v>8960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s="32" customFormat="1" ht="15" customHeight="1">
      <c r="A62" s="37">
        <v>44091</v>
      </c>
      <c r="B62" s="57" t="s">
        <v>24</v>
      </c>
      <c r="C62" s="20" t="s">
        <v>46</v>
      </c>
      <c r="D62" s="20">
        <v>145</v>
      </c>
      <c r="E62" s="38">
        <v>5700</v>
      </c>
      <c r="F62" s="20" t="s">
        <v>8</v>
      </c>
      <c r="G62" s="43">
        <v>3.6</v>
      </c>
      <c r="H62" s="43">
        <v>4.1500000000000004</v>
      </c>
      <c r="I62" s="43">
        <v>0</v>
      </c>
      <c r="J62" s="43">
        <v>0</v>
      </c>
      <c r="K62" s="1">
        <f t="shared" ref="K62:K63" si="112">(IF(F62="SELL",G62-H62,IF(F62="BUY",H62-G62)))*E62</f>
        <v>3135.0000000000014</v>
      </c>
      <c r="L62" s="43">
        <v>0</v>
      </c>
      <c r="M62" s="43">
        <v>0</v>
      </c>
      <c r="N62" s="1">
        <f t="shared" si="103"/>
        <v>0.55000000000000027</v>
      </c>
      <c r="O62" s="1">
        <f t="shared" si="104"/>
        <v>3135.0000000000014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s="32" customFormat="1" ht="15" customHeight="1">
      <c r="A63" s="37">
        <v>44091</v>
      </c>
      <c r="B63" s="20" t="s">
        <v>131</v>
      </c>
      <c r="C63" s="20" t="s">
        <v>47</v>
      </c>
      <c r="D63" s="20">
        <v>225</v>
      </c>
      <c r="E63" s="38">
        <v>3000</v>
      </c>
      <c r="F63" s="20" t="s">
        <v>8</v>
      </c>
      <c r="G63" s="43">
        <v>4.25</v>
      </c>
      <c r="H63" s="43">
        <v>3.35</v>
      </c>
      <c r="I63" s="43">
        <v>0</v>
      </c>
      <c r="J63" s="43">
        <v>0</v>
      </c>
      <c r="K63" s="1">
        <f t="shared" si="112"/>
        <v>-2699.9999999999995</v>
      </c>
      <c r="L63" s="43">
        <v>0</v>
      </c>
      <c r="M63" s="43">
        <v>0</v>
      </c>
      <c r="N63" s="1">
        <f t="shared" si="103"/>
        <v>-0.8999999999999998</v>
      </c>
      <c r="O63" s="1">
        <f t="shared" si="104"/>
        <v>-2699.9999999999995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s="32" customFormat="1" ht="15" customHeight="1">
      <c r="A64" s="37">
        <v>44091</v>
      </c>
      <c r="B64" s="57" t="s">
        <v>72</v>
      </c>
      <c r="C64" s="20" t="s">
        <v>47</v>
      </c>
      <c r="D64" s="20">
        <v>420</v>
      </c>
      <c r="E64" s="38">
        <v>1800</v>
      </c>
      <c r="F64" s="20" t="s">
        <v>8</v>
      </c>
      <c r="G64" s="43">
        <v>11</v>
      </c>
      <c r="H64" s="43">
        <v>12.9</v>
      </c>
      <c r="I64" s="43">
        <v>0</v>
      </c>
      <c r="J64" s="43">
        <v>0</v>
      </c>
      <c r="K64" s="1">
        <f t="shared" ref="K64" si="113">(IF(F64="SELL",G64-H64,IF(F64="BUY",H64-G64)))*E64</f>
        <v>3420.0000000000005</v>
      </c>
      <c r="L64" s="43">
        <v>0</v>
      </c>
      <c r="M64" s="43">
        <v>0</v>
      </c>
      <c r="N64" s="1">
        <f t="shared" si="103"/>
        <v>1.9000000000000004</v>
      </c>
      <c r="O64" s="1">
        <f t="shared" si="104"/>
        <v>3420.0000000000005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s="32" customFormat="1" ht="15" customHeight="1">
      <c r="A65" s="37">
        <v>44090</v>
      </c>
      <c r="B65" s="20" t="s">
        <v>22</v>
      </c>
      <c r="C65" s="20" t="s">
        <v>47</v>
      </c>
      <c r="D65" s="20">
        <v>160</v>
      </c>
      <c r="E65" s="38">
        <v>3300</v>
      </c>
      <c r="F65" s="20" t="s">
        <v>8</v>
      </c>
      <c r="G65" s="43">
        <v>4.75</v>
      </c>
      <c r="H65" s="43">
        <v>3.95</v>
      </c>
      <c r="I65" s="43">
        <v>0</v>
      </c>
      <c r="J65" s="43">
        <v>0</v>
      </c>
      <c r="K65" s="1">
        <f t="shared" ref="K65:K66" si="114">(IF(F65="SELL",G65-H65,IF(F65="BUY",H65-G65)))*E65</f>
        <v>-2639.9999999999995</v>
      </c>
      <c r="L65" s="43">
        <v>0</v>
      </c>
      <c r="M65" s="43">
        <v>0</v>
      </c>
      <c r="N65" s="1">
        <f t="shared" si="103"/>
        <v>-0.79999999999999982</v>
      </c>
      <c r="O65" s="1">
        <f t="shared" si="104"/>
        <v>-2639.9999999999995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s="32" customFormat="1" ht="15" customHeight="1">
      <c r="A66" s="37">
        <v>44090</v>
      </c>
      <c r="B66" s="57" t="s">
        <v>109</v>
      </c>
      <c r="C66" s="20" t="s">
        <v>47</v>
      </c>
      <c r="D66" s="20">
        <v>310</v>
      </c>
      <c r="E66" s="38">
        <v>3200</v>
      </c>
      <c r="F66" s="20" t="s">
        <v>8</v>
      </c>
      <c r="G66" s="43">
        <v>6.6</v>
      </c>
      <c r="H66" s="43">
        <v>7.5</v>
      </c>
      <c r="I66" s="43">
        <v>9</v>
      </c>
      <c r="J66" s="43">
        <v>0</v>
      </c>
      <c r="K66" s="1">
        <f t="shared" si="114"/>
        <v>2880.0000000000009</v>
      </c>
      <c r="L66" s="43">
        <f>E66*1.5</f>
        <v>4800</v>
      </c>
      <c r="M66" s="43">
        <v>0</v>
      </c>
      <c r="N66" s="1">
        <f t="shared" si="103"/>
        <v>2.4000000000000004</v>
      </c>
      <c r="O66" s="1">
        <f t="shared" si="104"/>
        <v>7680.0000000000009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s="32" customFormat="1" ht="15" customHeight="1">
      <c r="A67" s="37">
        <v>44090</v>
      </c>
      <c r="B67" s="20" t="s">
        <v>398</v>
      </c>
      <c r="C67" s="20" t="s">
        <v>46</v>
      </c>
      <c r="D67" s="20">
        <v>200</v>
      </c>
      <c r="E67" s="38">
        <v>2800</v>
      </c>
      <c r="F67" s="20" t="s">
        <v>8</v>
      </c>
      <c r="G67" s="43">
        <v>6.5</v>
      </c>
      <c r="H67" s="43">
        <v>6.15</v>
      </c>
      <c r="I67" s="43">
        <v>0</v>
      </c>
      <c r="J67" s="43">
        <v>0</v>
      </c>
      <c r="K67" s="1">
        <f t="shared" ref="K67" si="115">(IF(F67="SELL",G67-H67,IF(F67="BUY",H67-G67)))*E67</f>
        <v>-979.99999999999898</v>
      </c>
      <c r="L67" s="43">
        <v>0</v>
      </c>
      <c r="M67" s="43">
        <v>0</v>
      </c>
      <c r="N67" s="1">
        <f t="shared" si="103"/>
        <v>-0.34999999999999964</v>
      </c>
      <c r="O67" s="1">
        <f t="shared" si="104"/>
        <v>-979.99999999999898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s="32" customFormat="1" ht="15" customHeight="1">
      <c r="A68" s="37">
        <v>44089</v>
      </c>
      <c r="B68" s="57" t="s">
        <v>24</v>
      </c>
      <c r="C68" s="20" t="s">
        <v>47</v>
      </c>
      <c r="D68" s="20">
        <v>150</v>
      </c>
      <c r="E68" s="38">
        <v>5700</v>
      </c>
      <c r="F68" s="20" t="s">
        <v>8</v>
      </c>
      <c r="G68" s="43">
        <v>5.4</v>
      </c>
      <c r="H68" s="43">
        <v>6</v>
      </c>
      <c r="I68" s="43">
        <v>0</v>
      </c>
      <c r="J68" s="43">
        <v>0</v>
      </c>
      <c r="K68" s="1">
        <f t="shared" ref="K68" si="116">(IF(F68="SELL",G68-H68,IF(F68="BUY",H68-G68)))*E68</f>
        <v>3419.9999999999982</v>
      </c>
      <c r="L68" s="43">
        <v>0</v>
      </c>
      <c r="M68" s="43">
        <v>0</v>
      </c>
      <c r="N68" s="1">
        <f t="shared" si="103"/>
        <v>0.59999999999999964</v>
      </c>
      <c r="O68" s="1">
        <f t="shared" si="104"/>
        <v>3419.9999999999982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s="32" customFormat="1" ht="15" customHeight="1">
      <c r="A69" s="37">
        <v>44089</v>
      </c>
      <c r="B69" s="57" t="s">
        <v>72</v>
      </c>
      <c r="C69" s="20" t="s">
        <v>47</v>
      </c>
      <c r="D69" s="20">
        <v>430</v>
      </c>
      <c r="E69" s="38">
        <v>1800</v>
      </c>
      <c r="F69" s="20" t="s">
        <v>8</v>
      </c>
      <c r="G69" s="43">
        <v>12.25</v>
      </c>
      <c r="H69" s="43">
        <v>13.95</v>
      </c>
      <c r="I69" s="43">
        <v>0</v>
      </c>
      <c r="J69" s="43">
        <v>0</v>
      </c>
      <c r="K69" s="1">
        <f t="shared" ref="K69:K70" si="117">(IF(F69="SELL",G69-H69,IF(F69="BUY",H69-G69)))*E69</f>
        <v>3059.9999999999986</v>
      </c>
      <c r="L69" s="43">
        <v>0</v>
      </c>
      <c r="M69" s="43">
        <v>0</v>
      </c>
      <c r="N69" s="1">
        <f t="shared" si="103"/>
        <v>1.6999999999999993</v>
      </c>
      <c r="O69" s="1">
        <f t="shared" si="104"/>
        <v>3059.9999999999986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s="32" customFormat="1" ht="15" customHeight="1">
      <c r="A70" s="37">
        <v>44089</v>
      </c>
      <c r="B70" s="57" t="s">
        <v>193</v>
      </c>
      <c r="C70" s="20" t="s">
        <v>47</v>
      </c>
      <c r="D70" s="20">
        <v>420</v>
      </c>
      <c r="E70" s="38">
        <v>1375</v>
      </c>
      <c r="F70" s="20" t="s">
        <v>8</v>
      </c>
      <c r="G70" s="43">
        <v>9</v>
      </c>
      <c r="H70" s="43">
        <v>11</v>
      </c>
      <c r="I70" s="43">
        <v>0</v>
      </c>
      <c r="J70" s="43">
        <v>0</v>
      </c>
      <c r="K70" s="1">
        <f t="shared" si="117"/>
        <v>2750</v>
      </c>
      <c r="L70" s="43">
        <v>0</v>
      </c>
      <c r="M70" s="43">
        <v>0</v>
      </c>
      <c r="N70" s="1">
        <f t="shared" si="103"/>
        <v>2</v>
      </c>
      <c r="O70" s="1">
        <f t="shared" si="104"/>
        <v>2750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s="32" customFormat="1" ht="15" customHeight="1">
      <c r="A71" s="37">
        <v>44088</v>
      </c>
      <c r="B71" s="20" t="s">
        <v>498</v>
      </c>
      <c r="C71" s="20" t="s">
        <v>47</v>
      </c>
      <c r="D71" s="20">
        <v>450</v>
      </c>
      <c r="E71" s="38">
        <v>1500</v>
      </c>
      <c r="F71" s="20" t="s">
        <v>8</v>
      </c>
      <c r="G71" s="43">
        <v>11.5</v>
      </c>
      <c r="H71" s="43">
        <v>10.75</v>
      </c>
      <c r="I71" s="43">
        <v>0</v>
      </c>
      <c r="J71" s="43">
        <v>0</v>
      </c>
      <c r="K71" s="1">
        <f t="shared" ref="K71:K72" si="118">(IF(F71="SELL",G71-H71,IF(F71="BUY",H71-G71)))*E71</f>
        <v>-1125</v>
      </c>
      <c r="L71" s="43">
        <v>0</v>
      </c>
      <c r="M71" s="43">
        <v>0</v>
      </c>
      <c r="N71" s="1">
        <f t="shared" si="103"/>
        <v>-0.75</v>
      </c>
      <c r="O71" s="1">
        <f t="shared" si="104"/>
        <v>-1125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s="32" customFormat="1" ht="15" customHeight="1">
      <c r="A72" s="37">
        <v>44088</v>
      </c>
      <c r="B72" s="20" t="s">
        <v>22</v>
      </c>
      <c r="C72" s="20" t="s">
        <v>47</v>
      </c>
      <c r="D72" s="20">
        <v>160</v>
      </c>
      <c r="E72" s="38">
        <v>3300</v>
      </c>
      <c r="F72" s="20" t="s">
        <v>8</v>
      </c>
      <c r="G72" s="43">
        <v>5.5</v>
      </c>
      <c r="H72" s="43">
        <v>4.45</v>
      </c>
      <c r="I72" s="43">
        <v>0</v>
      </c>
      <c r="J72" s="43">
        <v>0</v>
      </c>
      <c r="K72" s="1">
        <f t="shared" si="118"/>
        <v>-3464.9999999999995</v>
      </c>
      <c r="L72" s="43">
        <v>0</v>
      </c>
      <c r="M72" s="43">
        <v>0</v>
      </c>
      <c r="N72" s="1">
        <f t="shared" si="103"/>
        <v>-1.0499999999999998</v>
      </c>
      <c r="O72" s="1">
        <f t="shared" si="104"/>
        <v>-3464.9999999999995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s="32" customFormat="1" ht="15" customHeight="1">
      <c r="A73" s="37">
        <v>44088</v>
      </c>
      <c r="B73" s="57" t="s">
        <v>109</v>
      </c>
      <c r="C73" s="20" t="s">
        <v>47</v>
      </c>
      <c r="D73" s="20">
        <v>300</v>
      </c>
      <c r="E73" s="38">
        <v>3200</v>
      </c>
      <c r="F73" s="20" t="s">
        <v>8</v>
      </c>
      <c r="G73" s="43">
        <v>7.5</v>
      </c>
      <c r="H73" s="43">
        <v>8.5</v>
      </c>
      <c r="I73" s="43">
        <v>10</v>
      </c>
      <c r="J73" s="43">
        <v>0</v>
      </c>
      <c r="K73" s="1">
        <f t="shared" ref="K73" si="119">(IF(F73="SELL",G73-H73,IF(F73="BUY",H73-G73)))*E73</f>
        <v>3200</v>
      </c>
      <c r="L73" s="43">
        <f>E73*1.5</f>
        <v>4800</v>
      </c>
      <c r="M73" s="43">
        <v>0</v>
      </c>
      <c r="N73" s="1">
        <f t="shared" si="103"/>
        <v>2.5</v>
      </c>
      <c r="O73" s="1">
        <f t="shared" si="104"/>
        <v>8000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s="32" customFormat="1" ht="15" customHeight="1">
      <c r="A74" s="37">
        <v>44085</v>
      </c>
      <c r="B74" s="57" t="s">
        <v>289</v>
      </c>
      <c r="C74" s="20" t="s">
        <v>47</v>
      </c>
      <c r="D74" s="20">
        <v>470</v>
      </c>
      <c r="E74" s="38">
        <v>1500</v>
      </c>
      <c r="F74" s="20" t="s">
        <v>8</v>
      </c>
      <c r="G74" s="43">
        <v>15</v>
      </c>
      <c r="H74" s="43">
        <v>15.9</v>
      </c>
      <c r="I74" s="43">
        <v>3.5</v>
      </c>
      <c r="J74" s="43">
        <v>0</v>
      </c>
      <c r="K74" s="1">
        <f t="shared" ref="K74" si="120">(IF(F74="SELL",G74-H74,IF(F74="BUY",H74-G74)))*E74</f>
        <v>1350.0000000000005</v>
      </c>
      <c r="L74" s="43">
        <v>0</v>
      </c>
      <c r="M74" s="43">
        <v>0</v>
      </c>
      <c r="N74" s="1">
        <f t="shared" si="103"/>
        <v>0.90000000000000036</v>
      </c>
      <c r="O74" s="1">
        <f t="shared" si="104"/>
        <v>1350.0000000000005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s="32" customFormat="1" ht="15" customHeight="1">
      <c r="A75" s="37">
        <v>44085</v>
      </c>
      <c r="B75" s="57" t="s">
        <v>28</v>
      </c>
      <c r="C75" s="20" t="s">
        <v>46</v>
      </c>
      <c r="D75" s="20">
        <v>480</v>
      </c>
      <c r="E75" s="38">
        <v>1851</v>
      </c>
      <c r="F75" s="20" t="s">
        <v>8</v>
      </c>
      <c r="G75" s="43">
        <v>8.5</v>
      </c>
      <c r="H75" s="43">
        <v>8.5</v>
      </c>
      <c r="I75" s="43">
        <v>3.5</v>
      </c>
      <c r="J75" s="43">
        <v>0</v>
      </c>
      <c r="K75" s="1">
        <f t="shared" ref="K75" si="121">(IF(F75="SELL",G75-H75,IF(F75="BUY",H75-G75)))*E75</f>
        <v>0</v>
      </c>
      <c r="L75" s="43">
        <v>0</v>
      </c>
      <c r="M75" s="43">
        <v>0</v>
      </c>
      <c r="N75" s="1">
        <f t="shared" si="103"/>
        <v>0</v>
      </c>
      <c r="O75" s="1">
        <f t="shared" si="104"/>
        <v>0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s="32" customFormat="1" ht="15" customHeight="1">
      <c r="A76" s="37">
        <v>44084</v>
      </c>
      <c r="B76" s="20" t="s">
        <v>466</v>
      </c>
      <c r="C76" s="20" t="s">
        <v>47</v>
      </c>
      <c r="D76" s="20">
        <v>480</v>
      </c>
      <c r="E76" s="38">
        <v>1375</v>
      </c>
      <c r="F76" s="20" t="s">
        <v>8</v>
      </c>
      <c r="G76" s="43">
        <v>11</v>
      </c>
      <c r="H76" s="43">
        <v>8.8000000000000007</v>
      </c>
      <c r="I76" s="43">
        <v>0</v>
      </c>
      <c r="J76" s="43">
        <v>0</v>
      </c>
      <c r="K76" s="1">
        <f t="shared" ref="K76:K77" si="122">(IF(F76="SELL",G76-H76,IF(F76="BUY",H76-G76)))*E76</f>
        <v>-3024.9999999999991</v>
      </c>
      <c r="L76" s="43">
        <v>0</v>
      </c>
      <c r="M76" s="43">
        <v>0</v>
      </c>
      <c r="N76" s="1">
        <f t="shared" si="103"/>
        <v>-2.1999999999999993</v>
      </c>
      <c r="O76" s="1">
        <f t="shared" si="104"/>
        <v>-3024.9999999999991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s="32" customFormat="1" ht="15" customHeight="1">
      <c r="A77" s="37">
        <v>44084</v>
      </c>
      <c r="B77" s="20" t="s">
        <v>395</v>
      </c>
      <c r="C77" s="20" t="s">
        <v>47</v>
      </c>
      <c r="D77" s="20">
        <v>440</v>
      </c>
      <c r="E77" s="38">
        <v>1800</v>
      </c>
      <c r="F77" s="20" t="s">
        <v>8</v>
      </c>
      <c r="G77" s="43">
        <v>11.5</v>
      </c>
      <c r="H77" s="43">
        <v>9.5</v>
      </c>
      <c r="I77" s="43">
        <v>0</v>
      </c>
      <c r="J77" s="43">
        <v>0</v>
      </c>
      <c r="K77" s="1">
        <f t="shared" si="122"/>
        <v>-3600</v>
      </c>
      <c r="L77" s="43">
        <v>0</v>
      </c>
      <c r="M77" s="43">
        <v>0</v>
      </c>
      <c r="N77" s="1">
        <f t="shared" si="103"/>
        <v>-2</v>
      </c>
      <c r="O77" s="1">
        <f t="shared" si="104"/>
        <v>-3600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s="32" customFormat="1" ht="15" customHeight="1">
      <c r="A78" s="37">
        <v>44084</v>
      </c>
      <c r="B78" s="57" t="s">
        <v>36</v>
      </c>
      <c r="C78" s="20" t="s">
        <v>47</v>
      </c>
      <c r="D78" s="20">
        <v>82</v>
      </c>
      <c r="E78" s="38">
        <v>5700</v>
      </c>
      <c r="F78" s="20" t="s">
        <v>8</v>
      </c>
      <c r="G78" s="43">
        <v>2.7</v>
      </c>
      <c r="H78" s="43">
        <v>3.25</v>
      </c>
      <c r="I78" s="43">
        <v>3.5</v>
      </c>
      <c r="J78" s="43">
        <v>0</v>
      </c>
      <c r="K78" s="1">
        <f t="shared" ref="K78" si="123">(IF(F78="SELL",G78-H78,IF(F78="BUY",H78-G78)))*E78</f>
        <v>3134.9999999999991</v>
      </c>
      <c r="L78" s="43">
        <f>E78*0.25</f>
        <v>1425</v>
      </c>
      <c r="M78" s="43">
        <v>0</v>
      </c>
      <c r="N78" s="1">
        <f t="shared" si="103"/>
        <v>0.79999999999999982</v>
      </c>
      <c r="O78" s="1">
        <f t="shared" si="104"/>
        <v>4559.9999999999991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s="32" customFormat="1" ht="15" customHeight="1">
      <c r="A79" s="37">
        <v>44083</v>
      </c>
      <c r="B79" s="20" t="s">
        <v>485</v>
      </c>
      <c r="C79" s="20" t="s">
        <v>47</v>
      </c>
      <c r="D79" s="20">
        <v>1500</v>
      </c>
      <c r="E79" s="38">
        <v>500</v>
      </c>
      <c r="F79" s="20" t="s">
        <v>8</v>
      </c>
      <c r="G79" s="43">
        <v>28</v>
      </c>
      <c r="H79" s="43">
        <v>27.5</v>
      </c>
      <c r="I79" s="43">
        <v>0</v>
      </c>
      <c r="J79" s="43">
        <v>0</v>
      </c>
      <c r="K79" s="1">
        <f t="shared" ref="K79" si="124">(IF(F79="SELL",G79-H79,IF(F79="BUY",H79-G79)))*E79</f>
        <v>-250</v>
      </c>
      <c r="L79" s="43">
        <v>0</v>
      </c>
      <c r="M79" s="43">
        <v>0</v>
      </c>
      <c r="N79" s="1">
        <f t="shared" si="103"/>
        <v>-0.5</v>
      </c>
      <c r="O79" s="1">
        <f t="shared" si="104"/>
        <v>-250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s="32" customFormat="1" ht="15" customHeight="1">
      <c r="A80" s="37">
        <v>44083</v>
      </c>
      <c r="B80" s="57" t="s">
        <v>21</v>
      </c>
      <c r="C80" s="20" t="s">
        <v>46</v>
      </c>
      <c r="D80" s="20">
        <v>190</v>
      </c>
      <c r="E80" s="38">
        <v>3000</v>
      </c>
      <c r="F80" s="20" t="s">
        <v>8</v>
      </c>
      <c r="G80" s="43">
        <v>4.5</v>
      </c>
      <c r="H80" s="43">
        <v>5.5</v>
      </c>
      <c r="I80" s="43">
        <v>5.75</v>
      </c>
      <c r="J80" s="43">
        <v>0</v>
      </c>
      <c r="K80" s="1">
        <f t="shared" ref="K80" si="125">(IF(F80="SELL",G80-H80,IF(F80="BUY",H80-G80)))*E80</f>
        <v>3000</v>
      </c>
      <c r="L80" s="43">
        <f>E80*0.25</f>
        <v>750</v>
      </c>
      <c r="M80" s="43">
        <v>0</v>
      </c>
      <c r="N80" s="1">
        <f t="shared" si="103"/>
        <v>1.25</v>
      </c>
      <c r="O80" s="1">
        <f t="shared" si="104"/>
        <v>3750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s="32" customFormat="1" ht="15" customHeight="1">
      <c r="A81" s="37">
        <v>44083</v>
      </c>
      <c r="B81" s="57" t="s">
        <v>391</v>
      </c>
      <c r="C81" s="20" t="s">
        <v>47</v>
      </c>
      <c r="D81" s="20">
        <v>520</v>
      </c>
      <c r="E81" s="38">
        <v>1400</v>
      </c>
      <c r="F81" s="20" t="s">
        <v>8</v>
      </c>
      <c r="G81" s="43">
        <v>12</v>
      </c>
      <c r="H81" s="43">
        <v>13.6</v>
      </c>
      <c r="I81" s="43">
        <v>0</v>
      </c>
      <c r="J81" s="43">
        <v>0</v>
      </c>
      <c r="K81" s="1">
        <f t="shared" ref="K81" si="126">(IF(F81="SELL",G81-H81,IF(F81="BUY",H81-G81)))*E81</f>
        <v>2239.9999999999995</v>
      </c>
      <c r="L81" s="43">
        <v>0</v>
      </c>
      <c r="M81" s="43">
        <v>0</v>
      </c>
      <c r="N81" s="1">
        <f t="shared" si="103"/>
        <v>1.5999999999999996</v>
      </c>
      <c r="O81" s="1">
        <f t="shared" si="104"/>
        <v>2239.9999999999995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s="32" customFormat="1" ht="15" customHeight="1">
      <c r="A82" s="37">
        <v>44082</v>
      </c>
      <c r="B82" s="57" t="s">
        <v>28</v>
      </c>
      <c r="C82" s="20" t="s">
        <v>46</v>
      </c>
      <c r="D82" s="20">
        <v>500</v>
      </c>
      <c r="E82" s="38">
        <v>1851</v>
      </c>
      <c r="F82" s="20" t="s">
        <v>8</v>
      </c>
      <c r="G82" s="43">
        <v>11.5</v>
      </c>
      <c r="H82" s="43">
        <v>13.5</v>
      </c>
      <c r="I82" s="43">
        <v>16.5</v>
      </c>
      <c r="J82" s="43">
        <v>0</v>
      </c>
      <c r="K82" s="1">
        <f t="shared" ref="K82" si="127">(IF(F82="SELL",G82-H82,IF(F82="BUY",H82-G82)))*E82</f>
        <v>3702</v>
      </c>
      <c r="L82" s="43">
        <f>E82*3</f>
        <v>5553</v>
      </c>
      <c r="M82" s="43">
        <v>0</v>
      </c>
      <c r="N82" s="1">
        <f t="shared" si="103"/>
        <v>5</v>
      </c>
      <c r="O82" s="1">
        <f t="shared" si="104"/>
        <v>9255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s="32" customFormat="1" ht="15" customHeight="1">
      <c r="A83" s="37">
        <v>44082</v>
      </c>
      <c r="B83" s="57" t="s">
        <v>63</v>
      </c>
      <c r="C83" s="20" t="s">
        <v>47</v>
      </c>
      <c r="D83" s="20">
        <v>200</v>
      </c>
      <c r="E83" s="38">
        <v>2700</v>
      </c>
      <c r="F83" s="20" t="s">
        <v>8</v>
      </c>
      <c r="G83" s="43">
        <v>9.25</v>
      </c>
      <c r="H83" s="43">
        <v>9.5</v>
      </c>
      <c r="I83" s="43">
        <v>0</v>
      </c>
      <c r="J83" s="43">
        <v>0</v>
      </c>
      <c r="K83" s="1">
        <f t="shared" ref="K83" si="128">(IF(F83="SELL",G83-H83,IF(F83="BUY",H83-G83)))*E83</f>
        <v>675</v>
      </c>
      <c r="L83" s="43">
        <v>0</v>
      </c>
      <c r="M83" s="43">
        <v>0</v>
      </c>
      <c r="N83" s="1">
        <f t="shared" si="103"/>
        <v>0.25</v>
      </c>
      <c r="O83" s="1">
        <f t="shared" si="104"/>
        <v>675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s="32" customFormat="1" ht="15" customHeight="1">
      <c r="A84" s="37">
        <v>44081</v>
      </c>
      <c r="B84" s="20" t="s">
        <v>15</v>
      </c>
      <c r="C84" s="20" t="s">
        <v>46</v>
      </c>
      <c r="D84" s="20">
        <v>430</v>
      </c>
      <c r="E84" s="38">
        <v>1400</v>
      </c>
      <c r="F84" s="20" t="s">
        <v>8</v>
      </c>
      <c r="G84" s="43">
        <v>19</v>
      </c>
      <c r="H84" s="43">
        <v>16.75</v>
      </c>
      <c r="I84" s="43">
        <v>0</v>
      </c>
      <c r="J84" s="43">
        <v>0</v>
      </c>
      <c r="K84" s="1">
        <f t="shared" ref="K84" si="129">(IF(F84="SELL",G84-H84,IF(F84="BUY",H84-G84)))*E84</f>
        <v>-3150</v>
      </c>
      <c r="L84" s="43">
        <v>0</v>
      </c>
      <c r="M84" s="43">
        <v>0</v>
      </c>
      <c r="N84" s="1">
        <f t="shared" si="103"/>
        <v>-2.25</v>
      </c>
      <c r="O84" s="1">
        <f t="shared" si="104"/>
        <v>-3150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s="32" customFormat="1" ht="15" customHeight="1">
      <c r="A85" s="37">
        <v>44081</v>
      </c>
      <c r="B85" s="57" t="s">
        <v>63</v>
      </c>
      <c r="C85" s="20" t="s">
        <v>46</v>
      </c>
      <c r="D85" s="20">
        <v>200</v>
      </c>
      <c r="E85" s="38">
        <v>2100</v>
      </c>
      <c r="F85" s="20" t="s">
        <v>8</v>
      </c>
      <c r="G85" s="43">
        <v>9.6999999999999993</v>
      </c>
      <c r="H85" s="43">
        <v>10.9</v>
      </c>
      <c r="I85" s="43">
        <v>0</v>
      </c>
      <c r="J85" s="43">
        <v>0</v>
      </c>
      <c r="K85" s="1">
        <f t="shared" ref="K85" si="130">(IF(F85="SELL",G85-H85,IF(F85="BUY",H85-G85)))*E85</f>
        <v>2520.0000000000023</v>
      </c>
      <c r="L85" s="43">
        <v>0</v>
      </c>
      <c r="M85" s="43">
        <v>0</v>
      </c>
      <c r="N85" s="1">
        <f t="shared" si="103"/>
        <v>1.2000000000000011</v>
      </c>
      <c r="O85" s="1">
        <f t="shared" si="104"/>
        <v>2520.0000000000023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s="32" customFormat="1" ht="15" customHeight="1">
      <c r="A86" s="37">
        <v>44078</v>
      </c>
      <c r="B86" s="57" t="s">
        <v>395</v>
      </c>
      <c r="C86" s="20" t="s">
        <v>47</v>
      </c>
      <c r="D86" s="20">
        <v>410</v>
      </c>
      <c r="E86" s="38">
        <v>1800</v>
      </c>
      <c r="F86" s="20" t="s">
        <v>8</v>
      </c>
      <c r="G86" s="43">
        <v>19</v>
      </c>
      <c r="H86" s="43">
        <v>17.5</v>
      </c>
      <c r="I86" s="43">
        <v>0</v>
      </c>
      <c r="J86" s="43">
        <v>0</v>
      </c>
      <c r="K86" s="1">
        <f t="shared" ref="K86" si="131">(IF(F86="SELL",G86-H86,IF(F86="BUY",H86-G86)))*E86</f>
        <v>-2700</v>
      </c>
      <c r="L86" s="43">
        <v>0</v>
      </c>
      <c r="M86" s="43">
        <v>0</v>
      </c>
      <c r="N86" s="1">
        <f t="shared" si="103"/>
        <v>-1.5</v>
      </c>
      <c r="O86" s="1">
        <f t="shared" si="104"/>
        <v>-2700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s="32" customFormat="1" ht="15" customHeight="1">
      <c r="A87" s="37">
        <v>44077</v>
      </c>
      <c r="B87" s="57" t="s">
        <v>71</v>
      </c>
      <c r="C87" s="20" t="s">
        <v>47</v>
      </c>
      <c r="D87" s="20">
        <v>200</v>
      </c>
      <c r="E87" s="38">
        <v>2700</v>
      </c>
      <c r="F87" s="20" t="s">
        <v>8</v>
      </c>
      <c r="G87" s="43">
        <v>11.75</v>
      </c>
      <c r="H87" s="43">
        <v>11.25</v>
      </c>
      <c r="I87" s="43">
        <v>0</v>
      </c>
      <c r="J87" s="43">
        <v>0</v>
      </c>
      <c r="K87" s="1">
        <f t="shared" ref="K87" si="132">(IF(F87="SELL",G87-H87,IF(F87="BUY",H87-G87)))*E87</f>
        <v>-1350</v>
      </c>
      <c r="L87" s="43">
        <v>0</v>
      </c>
      <c r="M87" s="43">
        <v>0</v>
      </c>
      <c r="N87" s="1">
        <f t="shared" si="103"/>
        <v>-0.5</v>
      </c>
      <c r="O87" s="1">
        <f t="shared" si="104"/>
        <v>-1350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s="32" customFormat="1" ht="15" customHeight="1">
      <c r="A88" s="37">
        <v>44077</v>
      </c>
      <c r="B88" s="57" t="s">
        <v>391</v>
      </c>
      <c r="C88" s="20" t="s">
        <v>46</v>
      </c>
      <c r="D88" s="20">
        <v>500</v>
      </c>
      <c r="E88" s="38">
        <v>1400</v>
      </c>
      <c r="F88" s="20" t="s">
        <v>8</v>
      </c>
      <c r="G88" s="43">
        <v>16</v>
      </c>
      <c r="H88" s="43">
        <v>13.25</v>
      </c>
      <c r="I88" s="43">
        <v>0</v>
      </c>
      <c r="J88" s="43">
        <v>0</v>
      </c>
      <c r="K88" s="1">
        <f t="shared" ref="K88" si="133">(IF(F88="SELL",G88-H88,IF(F88="BUY",H88-G88)))*E88</f>
        <v>-3850</v>
      </c>
      <c r="L88" s="43">
        <v>0</v>
      </c>
      <c r="M88" s="43">
        <v>0</v>
      </c>
      <c r="N88" s="1">
        <f t="shared" si="103"/>
        <v>-2.75</v>
      </c>
      <c r="O88" s="1">
        <f t="shared" si="104"/>
        <v>-3850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s="32" customFormat="1" ht="15" customHeight="1">
      <c r="A89" s="37">
        <v>44075</v>
      </c>
      <c r="B89" s="57" t="s">
        <v>300</v>
      </c>
      <c r="C89" s="20" t="s">
        <v>46</v>
      </c>
      <c r="D89" s="20">
        <v>120</v>
      </c>
      <c r="E89" s="38">
        <v>3444</v>
      </c>
      <c r="F89" s="20" t="s">
        <v>8</v>
      </c>
      <c r="G89" s="43">
        <v>3</v>
      </c>
      <c r="H89" s="43">
        <v>3.65</v>
      </c>
      <c r="I89" s="43">
        <v>0</v>
      </c>
      <c r="J89" s="43">
        <v>0</v>
      </c>
      <c r="K89" s="1">
        <f t="shared" ref="K89" si="134">(IF(F89="SELL",G89-H89,IF(F89="BUY",H89-G89)))*E89</f>
        <v>2238.6</v>
      </c>
      <c r="L89" s="43">
        <v>0</v>
      </c>
      <c r="M89" s="43">
        <v>0</v>
      </c>
      <c r="N89" s="1">
        <f t="shared" si="103"/>
        <v>0.65</v>
      </c>
      <c r="O89" s="1">
        <f t="shared" si="104"/>
        <v>2238.6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s="32" customFormat="1" ht="15" customHeight="1">
      <c r="A90" s="37">
        <v>44075</v>
      </c>
      <c r="B90" s="57" t="s">
        <v>37</v>
      </c>
      <c r="C90" s="20" t="s">
        <v>47</v>
      </c>
      <c r="D90" s="20">
        <v>2320</v>
      </c>
      <c r="E90" s="38">
        <v>250</v>
      </c>
      <c r="F90" s="20" t="s">
        <v>8</v>
      </c>
      <c r="G90" s="43">
        <v>56</v>
      </c>
      <c r="H90" s="43">
        <v>47</v>
      </c>
      <c r="I90" s="43">
        <v>0</v>
      </c>
      <c r="J90" s="43">
        <v>0</v>
      </c>
      <c r="K90" s="1">
        <f t="shared" ref="K90" si="135">(IF(F90="SELL",G90-H90,IF(F90="BUY",H90-G90)))*E90</f>
        <v>-2250</v>
      </c>
      <c r="L90" s="43">
        <v>0</v>
      </c>
      <c r="M90" s="43">
        <v>0</v>
      </c>
      <c r="N90" s="1">
        <f t="shared" si="103"/>
        <v>-9</v>
      </c>
      <c r="O90" s="1">
        <f t="shared" si="104"/>
        <v>-2250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s="32" customFormat="1" ht="15" customHeight="1">
      <c r="A91" s="37">
        <v>44074</v>
      </c>
      <c r="B91" s="57" t="s">
        <v>300</v>
      </c>
      <c r="C91" s="20" t="s">
        <v>46</v>
      </c>
      <c r="D91" s="20">
        <v>135</v>
      </c>
      <c r="E91" s="38">
        <v>3444</v>
      </c>
      <c r="F91" s="20" t="s">
        <v>8</v>
      </c>
      <c r="G91" s="43">
        <v>4.7</v>
      </c>
      <c r="H91" s="43">
        <v>5.5</v>
      </c>
      <c r="I91" s="43">
        <v>6.5</v>
      </c>
      <c r="J91" s="43">
        <v>8.5</v>
      </c>
      <c r="K91" s="1">
        <f t="shared" ref="K91" si="136">(IF(F91="SELL",G91-H91,IF(F91="BUY",H91-G91)))*E91</f>
        <v>2755.1999999999994</v>
      </c>
      <c r="L91" s="43">
        <v>3444</v>
      </c>
      <c r="M91" s="43">
        <f>3444*2</f>
        <v>6888</v>
      </c>
      <c r="N91" s="1">
        <f t="shared" si="103"/>
        <v>3.8</v>
      </c>
      <c r="O91" s="1">
        <f t="shared" si="104"/>
        <v>13087.199999999999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s="32" customFormat="1" ht="15" customHeight="1">
      <c r="A92" s="37">
        <v>44074</v>
      </c>
      <c r="B92" s="57" t="s">
        <v>26</v>
      </c>
      <c r="C92" s="20" t="s">
        <v>46</v>
      </c>
      <c r="D92" s="20">
        <v>370</v>
      </c>
      <c r="E92" s="38">
        <v>1700</v>
      </c>
      <c r="F92" s="20" t="s">
        <v>8</v>
      </c>
      <c r="G92" s="43">
        <v>3.2</v>
      </c>
      <c r="H92" s="43">
        <v>4.2</v>
      </c>
      <c r="I92" s="43">
        <v>5.5</v>
      </c>
      <c r="J92" s="43">
        <v>0</v>
      </c>
      <c r="K92" s="1">
        <f t="shared" ref="K92" si="137">(IF(F92="SELL",G92-H92,IF(F92="BUY",H92-G92)))*E92</f>
        <v>1700</v>
      </c>
      <c r="L92" s="43">
        <f>1.3*1700</f>
        <v>2210</v>
      </c>
      <c r="M92" s="43">
        <v>0</v>
      </c>
      <c r="N92" s="1">
        <f t="shared" si="103"/>
        <v>2.2999999999999998</v>
      </c>
      <c r="O92" s="1">
        <f t="shared" si="104"/>
        <v>3909.9999999999995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s="32" customFormat="1" ht="15" customHeight="1">
      <c r="A93" s="37">
        <v>44074</v>
      </c>
      <c r="B93" s="57" t="s">
        <v>13</v>
      </c>
      <c r="C93" s="20" t="s">
        <v>47</v>
      </c>
      <c r="D93" s="20">
        <v>800</v>
      </c>
      <c r="E93" s="38">
        <v>1400</v>
      </c>
      <c r="F93" s="20" t="s">
        <v>8</v>
      </c>
      <c r="G93" s="43">
        <v>4.8</v>
      </c>
      <c r="H93" s="43">
        <v>3.3</v>
      </c>
      <c r="I93" s="43">
        <v>0</v>
      </c>
      <c r="J93" s="43">
        <v>0</v>
      </c>
      <c r="K93" s="1">
        <f t="shared" ref="K93" si="138">(IF(F93="SELL",G93-H93,IF(F93="BUY",H93-G93)))*E93</f>
        <v>-2100</v>
      </c>
      <c r="L93" s="43">
        <v>0</v>
      </c>
      <c r="M93" s="43">
        <v>0</v>
      </c>
      <c r="N93" s="1">
        <f t="shared" si="103"/>
        <v>-1.5</v>
      </c>
      <c r="O93" s="1">
        <f t="shared" si="104"/>
        <v>-2100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s="32" customFormat="1" ht="15" customHeight="1">
      <c r="A94" s="37">
        <v>44071</v>
      </c>
      <c r="B94" s="57" t="s">
        <v>467</v>
      </c>
      <c r="C94" s="20" t="s">
        <v>47</v>
      </c>
      <c r="D94" s="20">
        <v>1200</v>
      </c>
      <c r="E94" s="38">
        <v>550</v>
      </c>
      <c r="F94" s="20" t="s">
        <v>8</v>
      </c>
      <c r="G94" s="43">
        <v>9.5</v>
      </c>
      <c r="H94" s="43">
        <v>12.4</v>
      </c>
      <c r="I94" s="43">
        <v>10</v>
      </c>
      <c r="J94" s="43">
        <v>0</v>
      </c>
      <c r="K94" s="1">
        <f t="shared" ref="K94" si="139">(IF(F94="SELL",G94-H94,IF(F94="BUY",H94-G94)))*E94</f>
        <v>1595.0000000000002</v>
      </c>
      <c r="L94" s="43">
        <v>3000</v>
      </c>
      <c r="M94" s="43">
        <v>0</v>
      </c>
      <c r="N94" s="1">
        <f t="shared" si="103"/>
        <v>8.3545454545454554</v>
      </c>
      <c r="O94" s="1">
        <f t="shared" si="104"/>
        <v>4595.0000000000009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s="32" customFormat="1" ht="15" customHeight="1">
      <c r="A95" s="37">
        <v>44071</v>
      </c>
      <c r="B95" s="57" t="s">
        <v>175</v>
      </c>
      <c r="C95" s="20" t="s">
        <v>47</v>
      </c>
      <c r="D95" s="20">
        <v>4150</v>
      </c>
      <c r="E95" s="38">
        <v>250</v>
      </c>
      <c r="F95" s="20" t="s">
        <v>8</v>
      </c>
      <c r="G95" s="43">
        <v>25</v>
      </c>
      <c r="H95" s="43">
        <v>29.9</v>
      </c>
      <c r="I95" s="43">
        <v>10</v>
      </c>
      <c r="J95" s="43">
        <v>0</v>
      </c>
      <c r="K95" s="1">
        <f t="shared" ref="K95" si="140">(IF(F95="SELL",G95-H95,IF(F95="BUY",H95-G95)))*E95</f>
        <v>1224.9999999999995</v>
      </c>
      <c r="L95" s="43">
        <v>0</v>
      </c>
      <c r="M95" s="43">
        <v>0</v>
      </c>
      <c r="N95" s="1">
        <f t="shared" si="103"/>
        <v>4.8999999999999986</v>
      </c>
      <c r="O95" s="1">
        <f t="shared" si="104"/>
        <v>1224.9999999999995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s="32" customFormat="1" ht="15" customHeight="1">
      <c r="A96" s="37">
        <v>44071</v>
      </c>
      <c r="B96" s="57" t="s">
        <v>336</v>
      </c>
      <c r="C96" s="20" t="s">
        <v>47</v>
      </c>
      <c r="D96" s="20">
        <v>1500</v>
      </c>
      <c r="E96" s="38">
        <v>800</v>
      </c>
      <c r="F96" s="20" t="s">
        <v>8</v>
      </c>
      <c r="G96" s="43">
        <v>24</v>
      </c>
      <c r="H96" s="43">
        <v>20.5</v>
      </c>
      <c r="I96" s="43">
        <v>0</v>
      </c>
      <c r="J96" s="43">
        <v>0</v>
      </c>
      <c r="K96" s="1">
        <f t="shared" ref="K96" si="141">(IF(F96="SELL",G96-H96,IF(F96="BUY",H96-G96)))*E96</f>
        <v>-2800</v>
      </c>
      <c r="L96" s="43">
        <v>0</v>
      </c>
      <c r="M96" s="43">
        <v>0</v>
      </c>
      <c r="N96" s="1">
        <f t="shared" si="103"/>
        <v>-3.5</v>
      </c>
      <c r="O96" s="1">
        <f t="shared" si="104"/>
        <v>-2800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s="32" customFormat="1" ht="15" customHeight="1">
      <c r="A97" s="37">
        <v>44070</v>
      </c>
      <c r="B97" s="57" t="s">
        <v>289</v>
      </c>
      <c r="C97" s="20" t="s">
        <v>47</v>
      </c>
      <c r="D97" s="20">
        <v>510</v>
      </c>
      <c r="E97" s="38">
        <v>1500</v>
      </c>
      <c r="F97" s="20" t="s">
        <v>8</v>
      </c>
      <c r="G97" s="43">
        <v>6</v>
      </c>
      <c r="H97" s="43">
        <v>8</v>
      </c>
      <c r="I97" s="43">
        <v>10</v>
      </c>
      <c r="J97" s="43">
        <v>0</v>
      </c>
      <c r="K97" s="1">
        <f t="shared" ref="K97" si="142">(IF(F97="SELL",G97-H97,IF(F97="BUY",H97-G97)))*E97</f>
        <v>3000</v>
      </c>
      <c r="L97" s="43">
        <v>3000</v>
      </c>
      <c r="M97" s="43">
        <v>0</v>
      </c>
      <c r="N97" s="1">
        <f t="shared" si="103"/>
        <v>4</v>
      </c>
      <c r="O97" s="1">
        <f t="shared" si="104"/>
        <v>6000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s="32" customFormat="1" ht="15" customHeight="1">
      <c r="A98" s="37">
        <v>44070</v>
      </c>
      <c r="B98" s="57" t="s">
        <v>106</v>
      </c>
      <c r="C98" s="20" t="s">
        <v>47</v>
      </c>
      <c r="D98" s="20">
        <v>4700</v>
      </c>
      <c r="E98" s="38">
        <v>250</v>
      </c>
      <c r="F98" s="20" t="s">
        <v>8</v>
      </c>
      <c r="G98" s="43">
        <v>78</v>
      </c>
      <c r="H98" s="43">
        <v>72</v>
      </c>
      <c r="I98" s="43">
        <v>0</v>
      </c>
      <c r="J98" s="43">
        <v>0</v>
      </c>
      <c r="K98" s="1">
        <f t="shared" ref="K98" si="143">(IF(F98="SELL",G98-H98,IF(F98="BUY",H98-G98)))*E98</f>
        <v>-1500</v>
      </c>
      <c r="L98" s="43">
        <v>0</v>
      </c>
      <c r="M98" s="43">
        <v>0</v>
      </c>
      <c r="N98" s="1">
        <f t="shared" si="103"/>
        <v>-6</v>
      </c>
      <c r="O98" s="1">
        <f t="shared" si="104"/>
        <v>-1500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s="32" customFormat="1" ht="15" customHeight="1">
      <c r="A99" s="37">
        <v>44069</v>
      </c>
      <c r="B99" s="57" t="s">
        <v>336</v>
      </c>
      <c r="C99" s="20" t="s">
        <v>47</v>
      </c>
      <c r="D99" s="20">
        <v>1420</v>
      </c>
      <c r="E99" s="38">
        <v>800</v>
      </c>
      <c r="F99" s="20" t="s">
        <v>8</v>
      </c>
      <c r="G99" s="43">
        <v>4.5</v>
      </c>
      <c r="H99" s="43">
        <v>7.5</v>
      </c>
      <c r="I99" s="43">
        <v>0</v>
      </c>
      <c r="J99" s="43">
        <v>0</v>
      </c>
      <c r="K99" s="1">
        <f t="shared" ref="K99" si="144">(IF(F99="SELL",G99-H99,IF(F99="BUY",H99-G99)))*E99</f>
        <v>2400</v>
      </c>
      <c r="L99" s="43">
        <v>0</v>
      </c>
      <c r="M99" s="43">
        <v>0</v>
      </c>
      <c r="N99" s="1">
        <f t="shared" si="103"/>
        <v>3</v>
      </c>
      <c r="O99" s="1">
        <f t="shared" si="104"/>
        <v>2400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s="32" customFormat="1" ht="15" customHeight="1">
      <c r="A100" s="37">
        <v>44069</v>
      </c>
      <c r="B100" s="57" t="s">
        <v>494</v>
      </c>
      <c r="C100" s="20" t="s">
        <v>47</v>
      </c>
      <c r="D100" s="20">
        <v>460</v>
      </c>
      <c r="E100" s="38">
        <v>1200</v>
      </c>
      <c r="F100" s="20" t="s">
        <v>8</v>
      </c>
      <c r="G100" s="43">
        <v>4.3</v>
      </c>
      <c r="H100" s="43">
        <v>6.3</v>
      </c>
      <c r="I100" s="43">
        <v>0</v>
      </c>
      <c r="J100" s="43">
        <v>0</v>
      </c>
      <c r="K100" s="1">
        <f t="shared" ref="K100" si="145">(IF(F100="SELL",G100-H100,IF(F100="BUY",H100-G100)))*E100</f>
        <v>2400</v>
      </c>
      <c r="L100" s="43">
        <v>0</v>
      </c>
      <c r="M100" s="43">
        <v>0</v>
      </c>
      <c r="N100" s="1">
        <f t="shared" si="103"/>
        <v>2</v>
      </c>
      <c r="O100" s="1">
        <f t="shared" si="104"/>
        <v>2400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s="32" customFormat="1" ht="15" customHeight="1">
      <c r="A101" s="37">
        <v>44068</v>
      </c>
      <c r="B101" s="57" t="s">
        <v>289</v>
      </c>
      <c r="C101" s="20" t="s">
        <v>47</v>
      </c>
      <c r="D101" s="20">
        <v>520</v>
      </c>
      <c r="E101" s="38">
        <v>1500</v>
      </c>
      <c r="F101" s="20" t="s">
        <v>8</v>
      </c>
      <c r="G101" s="43">
        <v>3.5</v>
      </c>
      <c r="H101" s="43">
        <v>5</v>
      </c>
      <c r="I101" s="43">
        <v>0</v>
      </c>
      <c r="J101" s="43">
        <v>0</v>
      </c>
      <c r="K101" s="1">
        <f t="shared" ref="K101" si="146">(IF(F101="SELL",G101-H101,IF(F101="BUY",H101-G101)))*E101</f>
        <v>2250</v>
      </c>
      <c r="L101" s="43">
        <v>0</v>
      </c>
      <c r="M101" s="43">
        <v>0</v>
      </c>
      <c r="N101" s="1">
        <f t="shared" si="103"/>
        <v>1.5</v>
      </c>
      <c r="O101" s="1">
        <f t="shared" si="104"/>
        <v>2250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s="32" customFormat="1" ht="15" customHeight="1">
      <c r="A102" s="37">
        <v>44068</v>
      </c>
      <c r="B102" s="57" t="s">
        <v>420</v>
      </c>
      <c r="C102" s="20" t="s">
        <v>47</v>
      </c>
      <c r="D102" s="20">
        <v>2000</v>
      </c>
      <c r="E102" s="38">
        <v>300</v>
      </c>
      <c r="F102" s="20" t="s">
        <v>8</v>
      </c>
      <c r="G102" s="43">
        <v>19</v>
      </c>
      <c r="H102" s="43">
        <v>25</v>
      </c>
      <c r="I102" s="43">
        <v>0</v>
      </c>
      <c r="J102" s="43">
        <v>0</v>
      </c>
      <c r="K102" s="1">
        <f t="shared" ref="K102" si="147">(IF(F102="SELL",G102-H102,IF(F102="BUY",H102-G102)))*E102</f>
        <v>1800</v>
      </c>
      <c r="L102" s="43">
        <v>0</v>
      </c>
      <c r="M102" s="43">
        <v>0</v>
      </c>
      <c r="N102" s="1">
        <f t="shared" si="103"/>
        <v>6</v>
      </c>
      <c r="O102" s="1">
        <f t="shared" si="104"/>
        <v>1800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s="32" customFormat="1" ht="15" customHeight="1">
      <c r="A103" s="37">
        <v>44068</v>
      </c>
      <c r="B103" s="57" t="s">
        <v>496</v>
      </c>
      <c r="C103" s="20" t="s">
        <v>47</v>
      </c>
      <c r="D103" s="20">
        <v>460</v>
      </c>
      <c r="E103" s="38">
        <v>1200</v>
      </c>
      <c r="F103" s="20" t="s">
        <v>8</v>
      </c>
      <c r="G103" s="43">
        <v>5</v>
      </c>
      <c r="H103" s="43">
        <v>5</v>
      </c>
      <c r="I103" s="43">
        <v>0</v>
      </c>
      <c r="J103" s="43">
        <v>0</v>
      </c>
      <c r="K103" s="1">
        <f t="shared" ref="K103" si="148">(IF(F103="SELL",G103-H103,IF(F103="BUY",H103-G103)))*E103</f>
        <v>0</v>
      </c>
      <c r="L103" s="43">
        <v>0</v>
      </c>
      <c r="M103" s="43">
        <v>0</v>
      </c>
      <c r="N103" s="1">
        <f t="shared" si="103"/>
        <v>0</v>
      </c>
      <c r="O103" s="1">
        <f t="shared" si="104"/>
        <v>0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s="32" customFormat="1" ht="15" customHeight="1">
      <c r="A104" s="37">
        <v>44067</v>
      </c>
      <c r="B104" s="57" t="s">
        <v>420</v>
      </c>
      <c r="C104" s="20" t="s">
        <v>47</v>
      </c>
      <c r="D104" s="20">
        <v>1500</v>
      </c>
      <c r="E104" s="38">
        <v>300</v>
      </c>
      <c r="F104" s="20" t="s">
        <v>8</v>
      </c>
      <c r="G104" s="43">
        <v>32</v>
      </c>
      <c r="H104" s="43">
        <v>23</v>
      </c>
      <c r="I104" s="43">
        <v>0</v>
      </c>
      <c r="J104" s="43">
        <v>0</v>
      </c>
      <c r="K104" s="1">
        <f t="shared" ref="K104" si="149">(IF(F104="SELL",G104-H104,IF(F104="BUY",H104-G104)))*E104</f>
        <v>-2700</v>
      </c>
      <c r="L104" s="43">
        <v>0</v>
      </c>
      <c r="M104" s="43">
        <v>0</v>
      </c>
      <c r="N104" s="1">
        <f t="shared" si="103"/>
        <v>-9</v>
      </c>
      <c r="O104" s="1">
        <f t="shared" si="104"/>
        <v>-2700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s="32" customFormat="1" ht="15" customHeight="1">
      <c r="A105" s="37">
        <v>44067</v>
      </c>
      <c r="B105" s="57" t="s">
        <v>39</v>
      </c>
      <c r="C105" s="20" t="s">
        <v>47</v>
      </c>
      <c r="D105" s="20">
        <v>2120</v>
      </c>
      <c r="E105" s="38">
        <v>500</v>
      </c>
      <c r="F105" s="20" t="s">
        <v>8</v>
      </c>
      <c r="G105" s="43">
        <v>22</v>
      </c>
      <c r="H105" s="43">
        <v>20</v>
      </c>
      <c r="I105" s="43">
        <v>0</v>
      </c>
      <c r="J105" s="43">
        <v>0</v>
      </c>
      <c r="K105" s="1">
        <f t="shared" ref="K105" si="150">(IF(F105="SELL",G105-H105,IF(F105="BUY",H105-G105)))*E105</f>
        <v>-1000</v>
      </c>
      <c r="L105" s="43">
        <v>0</v>
      </c>
      <c r="M105" s="43">
        <v>0</v>
      </c>
      <c r="N105" s="1">
        <f t="shared" si="103"/>
        <v>-2</v>
      </c>
      <c r="O105" s="1">
        <f t="shared" si="104"/>
        <v>-1000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s="32" customFormat="1" ht="15" customHeight="1">
      <c r="A106" s="37">
        <v>44067</v>
      </c>
      <c r="B106" s="57" t="s">
        <v>428</v>
      </c>
      <c r="C106" s="20" t="s">
        <v>47</v>
      </c>
      <c r="D106" s="20">
        <v>530</v>
      </c>
      <c r="E106" s="38">
        <v>800</v>
      </c>
      <c r="F106" s="20" t="s">
        <v>8</v>
      </c>
      <c r="G106" s="43">
        <v>9</v>
      </c>
      <c r="H106" s="43">
        <v>11</v>
      </c>
      <c r="I106" s="43">
        <v>13</v>
      </c>
      <c r="J106" s="43">
        <v>17</v>
      </c>
      <c r="K106" s="1">
        <f t="shared" ref="K106" si="151">(IF(F106="SELL",G106-H106,IF(F106="BUY",H106-G106)))*E106</f>
        <v>1600</v>
      </c>
      <c r="L106" s="43">
        <f>800*2</f>
        <v>1600</v>
      </c>
      <c r="M106" s="43">
        <f>800*4</f>
        <v>3200</v>
      </c>
      <c r="N106" s="1">
        <f t="shared" si="103"/>
        <v>8</v>
      </c>
      <c r="O106" s="1">
        <f t="shared" si="104"/>
        <v>6400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s="32" customFormat="1" ht="15" customHeight="1">
      <c r="A107" s="37">
        <v>44064</v>
      </c>
      <c r="B107" s="57" t="s">
        <v>485</v>
      </c>
      <c r="C107" s="20" t="s">
        <v>47</v>
      </c>
      <c r="D107" s="20">
        <v>1500</v>
      </c>
      <c r="E107" s="38">
        <v>500</v>
      </c>
      <c r="F107" s="20" t="s">
        <v>8</v>
      </c>
      <c r="G107" s="43">
        <v>14</v>
      </c>
      <c r="H107" s="43">
        <v>9</v>
      </c>
      <c r="I107" s="43">
        <v>0</v>
      </c>
      <c r="J107" s="43">
        <v>0</v>
      </c>
      <c r="K107" s="1">
        <f t="shared" ref="K107" si="152">(IF(F107="SELL",G107-H107,IF(F107="BUY",H107-G107)))*E107</f>
        <v>-2500</v>
      </c>
      <c r="L107" s="43">
        <v>0</v>
      </c>
      <c r="M107" s="43">
        <v>0</v>
      </c>
      <c r="N107" s="1">
        <f t="shared" si="103"/>
        <v>-5</v>
      </c>
      <c r="O107" s="1">
        <f t="shared" si="104"/>
        <v>-2500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s="32" customFormat="1" ht="15" customHeight="1">
      <c r="A108" s="37">
        <v>44064</v>
      </c>
      <c r="B108" s="57" t="s">
        <v>13</v>
      </c>
      <c r="C108" s="20" t="s">
        <v>46</v>
      </c>
      <c r="D108" s="20">
        <v>690</v>
      </c>
      <c r="E108" s="38">
        <v>1400</v>
      </c>
      <c r="F108" s="20" t="s">
        <v>8</v>
      </c>
      <c r="G108" s="43">
        <v>5.0999999999999996</v>
      </c>
      <c r="H108" s="43">
        <v>4.5</v>
      </c>
      <c r="I108" s="43">
        <v>0</v>
      </c>
      <c r="J108" s="43">
        <v>0</v>
      </c>
      <c r="K108" s="1">
        <f t="shared" ref="K108" si="153">(IF(F108="SELL",G108-H108,IF(F108="BUY",H108-G108)))*E108</f>
        <v>-839.99999999999955</v>
      </c>
      <c r="L108" s="43">
        <v>0</v>
      </c>
      <c r="M108" s="43">
        <v>0</v>
      </c>
      <c r="N108" s="1">
        <f t="shared" si="103"/>
        <v>-0.59999999999999964</v>
      </c>
      <c r="O108" s="1">
        <f t="shared" si="104"/>
        <v>-839.99999999999955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s="32" customFormat="1" ht="15" customHeight="1">
      <c r="A109" s="37">
        <v>44064</v>
      </c>
      <c r="B109" s="57" t="s">
        <v>420</v>
      </c>
      <c r="C109" s="20" t="s">
        <v>47</v>
      </c>
      <c r="D109" s="20">
        <v>1900</v>
      </c>
      <c r="E109" s="38">
        <v>300</v>
      </c>
      <c r="F109" s="20" t="s">
        <v>8</v>
      </c>
      <c r="G109" s="43">
        <v>26</v>
      </c>
      <c r="H109" s="43">
        <v>32</v>
      </c>
      <c r="I109" s="43">
        <v>40</v>
      </c>
      <c r="J109" s="43">
        <v>55</v>
      </c>
      <c r="K109" s="1">
        <f t="shared" ref="K109" si="154">(IF(F109="SELL",G109-H109,IF(F109="BUY",H109-G109)))*E109</f>
        <v>1800</v>
      </c>
      <c r="L109" s="43">
        <f>300*8</f>
        <v>2400</v>
      </c>
      <c r="M109" s="43">
        <f>300*15</f>
        <v>4500</v>
      </c>
      <c r="N109" s="1">
        <f t="shared" si="103"/>
        <v>29</v>
      </c>
      <c r="O109" s="1">
        <f t="shared" si="104"/>
        <v>8700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s="32" customFormat="1" ht="15" customHeight="1">
      <c r="A110" s="37">
        <v>44063</v>
      </c>
      <c r="B110" s="57" t="s">
        <v>162</v>
      </c>
      <c r="C110" s="20" t="s">
        <v>47</v>
      </c>
      <c r="D110" s="20">
        <v>2100</v>
      </c>
      <c r="E110" s="38">
        <v>500</v>
      </c>
      <c r="F110" s="20" t="s">
        <v>8</v>
      </c>
      <c r="G110" s="43">
        <v>8.5</v>
      </c>
      <c r="H110" s="43">
        <v>8.5</v>
      </c>
      <c r="I110" s="43">
        <v>0</v>
      </c>
      <c r="J110" s="43">
        <v>0</v>
      </c>
      <c r="K110" s="1">
        <f t="shared" ref="K110" si="155">(IF(F110="SELL",G110-H110,IF(F110="BUY",H110-G110)))*E110</f>
        <v>0</v>
      </c>
      <c r="L110" s="43">
        <v>0</v>
      </c>
      <c r="M110" s="43">
        <v>0</v>
      </c>
      <c r="N110" s="1">
        <f t="shared" si="103"/>
        <v>0</v>
      </c>
      <c r="O110" s="1">
        <f t="shared" si="104"/>
        <v>0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s="32" customFormat="1" ht="15" customHeight="1">
      <c r="A111" s="37">
        <v>44063</v>
      </c>
      <c r="B111" s="57" t="s">
        <v>100</v>
      </c>
      <c r="C111" s="20" t="s">
        <v>47</v>
      </c>
      <c r="D111" s="20">
        <v>4500</v>
      </c>
      <c r="E111" s="38">
        <v>250</v>
      </c>
      <c r="F111" s="20" t="s">
        <v>8</v>
      </c>
      <c r="G111" s="43">
        <v>43</v>
      </c>
      <c r="H111" s="43">
        <v>51</v>
      </c>
      <c r="I111" s="43">
        <v>0</v>
      </c>
      <c r="J111" s="43">
        <v>0</v>
      </c>
      <c r="K111" s="1">
        <f t="shared" ref="K111" si="156">(IF(F111="SELL",G111-H111,IF(F111="BUY",H111-G111)))*E111</f>
        <v>2000</v>
      </c>
      <c r="L111" s="43">
        <v>0</v>
      </c>
      <c r="M111" s="43">
        <v>0</v>
      </c>
      <c r="N111" s="1">
        <f t="shared" si="103"/>
        <v>8</v>
      </c>
      <c r="O111" s="1">
        <f t="shared" si="104"/>
        <v>2000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s="32" customFormat="1" ht="15" customHeight="1">
      <c r="A112" s="37">
        <v>44062</v>
      </c>
      <c r="B112" s="57" t="s">
        <v>357</v>
      </c>
      <c r="C112" s="20" t="s">
        <v>47</v>
      </c>
      <c r="D112" s="20">
        <v>1200</v>
      </c>
      <c r="E112" s="38">
        <v>800</v>
      </c>
      <c r="F112" s="20" t="s">
        <v>8</v>
      </c>
      <c r="G112" s="43">
        <v>21</v>
      </c>
      <c r="H112" s="43">
        <v>16.5</v>
      </c>
      <c r="I112" s="43">
        <v>0</v>
      </c>
      <c r="J112" s="43">
        <v>0</v>
      </c>
      <c r="K112" s="1">
        <f t="shared" ref="K112" si="157">(IF(F112="SELL",G112-H112,IF(F112="BUY",H112-G112)))*E112</f>
        <v>-3600</v>
      </c>
      <c r="L112" s="43">
        <v>2500</v>
      </c>
      <c r="M112" s="43">
        <v>0</v>
      </c>
      <c r="N112" s="1">
        <f t="shared" si="103"/>
        <v>-1.375</v>
      </c>
      <c r="O112" s="1">
        <f t="shared" si="104"/>
        <v>-1100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s="32" customFormat="1" ht="15" customHeight="1">
      <c r="A113" s="37">
        <v>44062</v>
      </c>
      <c r="B113" s="57" t="s">
        <v>428</v>
      </c>
      <c r="C113" s="20" t="s">
        <v>47</v>
      </c>
      <c r="D113" s="20">
        <v>560</v>
      </c>
      <c r="E113" s="38">
        <v>800</v>
      </c>
      <c r="F113" s="20" t="s">
        <v>8</v>
      </c>
      <c r="G113" s="43">
        <v>10.4</v>
      </c>
      <c r="H113" s="43">
        <v>9</v>
      </c>
      <c r="I113" s="43">
        <v>0</v>
      </c>
      <c r="J113" s="43">
        <v>0</v>
      </c>
      <c r="K113" s="1">
        <f t="shared" ref="K113" si="158">(IF(F113="SELL",G113-H113,IF(F113="BUY",H113-G113)))*E113</f>
        <v>-1120.0000000000002</v>
      </c>
      <c r="L113" s="43">
        <v>0</v>
      </c>
      <c r="M113" s="43">
        <v>0</v>
      </c>
      <c r="N113" s="1">
        <f t="shared" ref="N113:N176" si="159">(L113+K113+M113)/E113</f>
        <v>-1.4000000000000004</v>
      </c>
      <c r="O113" s="1">
        <f t="shared" ref="O113:O176" si="160">N113*E113</f>
        <v>-1120.0000000000002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s="32" customFormat="1" ht="15" customHeight="1">
      <c r="A114" s="37">
        <v>44062</v>
      </c>
      <c r="B114" s="57" t="s">
        <v>410</v>
      </c>
      <c r="C114" s="20" t="s">
        <v>47</v>
      </c>
      <c r="D114" s="20">
        <v>1380</v>
      </c>
      <c r="E114" s="38">
        <v>500</v>
      </c>
      <c r="F114" s="20" t="s">
        <v>8</v>
      </c>
      <c r="G114" s="43">
        <v>10.5</v>
      </c>
      <c r="H114" s="43">
        <v>6</v>
      </c>
      <c r="I114" s="43">
        <v>0</v>
      </c>
      <c r="J114" s="43">
        <v>0</v>
      </c>
      <c r="K114" s="1">
        <f t="shared" ref="K114" si="161">(IF(F114="SELL",G114-H114,IF(F114="BUY",H114-G114)))*E114</f>
        <v>-2250</v>
      </c>
      <c r="L114" s="43">
        <v>0</v>
      </c>
      <c r="M114" s="43">
        <v>0</v>
      </c>
      <c r="N114" s="1">
        <f t="shared" si="159"/>
        <v>-4.5</v>
      </c>
      <c r="O114" s="1">
        <f t="shared" si="160"/>
        <v>-2250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s="32" customFormat="1" ht="15" customHeight="1">
      <c r="A115" s="37">
        <v>44061</v>
      </c>
      <c r="B115" s="57" t="s">
        <v>100</v>
      </c>
      <c r="C115" s="20" t="s">
        <v>47</v>
      </c>
      <c r="D115" s="20">
        <v>4500</v>
      </c>
      <c r="E115" s="38">
        <v>250</v>
      </c>
      <c r="F115" s="20" t="s">
        <v>8</v>
      </c>
      <c r="G115" s="43">
        <v>35</v>
      </c>
      <c r="H115" s="43">
        <v>45</v>
      </c>
      <c r="I115" s="43">
        <v>55</v>
      </c>
      <c r="J115" s="43">
        <v>0</v>
      </c>
      <c r="K115" s="1">
        <f t="shared" ref="K115" si="162">(IF(F115="SELL",G115-H115,IF(F115="BUY",H115-G115)))*E115</f>
        <v>2500</v>
      </c>
      <c r="L115" s="43">
        <v>2500</v>
      </c>
      <c r="M115" s="43">
        <v>0</v>
      </c>
      <c r="N115" s="1">
        <f t="shared" si="159"/>
        <v>20</v>
      </c>
      <c r="O115" s="1">
        <f t="shared" si="160"/>
        <v>5000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s="32" customFormat="1" ht="15" customHeight="1">
      <c r="A116" s="37">
        <v>44061</v>
      </c>
      <c r="B116" s="57" t="s">
        <v>461</v>
      </c>
      <c r="C116" s="20" t="s">
        <v>47</v>
      </c>
      <c r="D116" s="20">
        <v>3200</v>
      </c>
      <c r="E116" s="38">
        <v>250</v>
      </c>
      <c r="F116" s="20" t="s">
        <v>8</v>
      </c>
      <c r="G116" s="43">
        <v>46</v>
      </c>
      <c r="H116" s="43">
        <v>34</v>
      </c>
      <c r="I116" s="43">
        <v>0</v>
      </c>
      <c r="J116" s="43">
        <v>0</v>
      </c>
      <c r="K116" s="1">
        <f t="shared" ref="K116" si="163">(IF(F116="SELL",G116-H116,IF(F116="BUY",H116-G116)))*E116</f>
        <v>-3000</v>
      </c>
      <c r="L116" s="43">
        <v>0</v>
      </c>
      <c r="M116" s="43">
        <v>0</v>
      </c>
      <c r="N116" s="1">
        <f t="shared" si="159"/>
        <v>-12</v>
      </c>
      <c r="O116" s="1">
        <f t="shared" si="160"/>
        <v>-3000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s="32" customFormat="1" ht="15" customHeight="1">
      <c r="A117" s="37">
        <v>44061</v>
      </c>
      <c r="B117" s="57" t="s">
        <v>162</v>
      </c>
      <c r="C117" s="20" t="s">
        <v>47</v>
      </c>
      <c r="D117" s="20">
        <v>2100</v>
      </c>
      <c r="E117" s="38">
        <v>500</v>
      </c>
      <c r="F117" s="20" t="s">
        <v>8</v>
      </c>
      <c r="G117" s="43">
        <v>12</v>
      </c>
      <c r="H117" s="43">
        <v>9</v>
      </c>
      <c r="I117" s="43">
        <v>0</v>
      </c>
      <c r="J117" s="43">
        <v>0</v>
      </c>
      <c r="K117" s="1">
        <f t="shared" ref="K117" si="164">(IF(F117="SELL",G117-H117,IF(F117="BUY",H117-G117)))*E117</f>
        <v>-1500</v>
      </c>
      <c r="L117" s="43">
        <v>0</v>
      </c>
      <c r="M117" s="43">
        <v>0</v>
      </c>
      <c r="N117" s="1">
        <f t="shared" si="159"/>
        <v>-3</v>
      </c>
      <c r="O117" s="1">
        <f t="shared" si="160"/>
        <v>-1500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s="32" customFormat="1" ht="15" customHeight="1">
      <c r="A118" s="37">
        <v>44060</v>
      </c>
      <c r="B118" s="57" t="s">
        <v>487</v>
      </c>
      <c r="C118" s="20" t="s">
        <v>47</v>
      </c>
      <c r="D118" s="20">
        <v>570</v>
      </c>
      <c r="E118" s="38">
        <v>2700</v>
      </c>
      <c r="F118" s="20" t="s">
        <v>8</v>
      </c>
      <c r="G118" s="43">
        <v>5.8</v>
      </c>
      <c r="H118" s="43">
        <v>6.75</v>
      </c>
      <c r="I118" s="43">
        <v>0</v>
      </c>
      <c r="J118" s="43">
        <v>0</v>
      </c>
      <c r="K118" s="1">
        <f t="shared" ref="K118" si="165">(IF(F118="SELL",G118-H118,IF(F118="BUY",H118-G118)))*E118</f>
        <v>2565.0000000000005</v>
      </c>
      <c r="L118" s="43">
        <v>0</v>
      </c>
      <c r="M118" s="43">
        <v>0</v>
      </c>
      <c r="N118" s="1">
        <f t="shared" si="159"/>
        <v>0.95000000000000018</v>
      </c>
      <c r="O118" s="1">
        <f t="shared" si="160"/>
        <v>2565.0000000000005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s="32" customFormat="1" ht="15" customHeight="1">
      <c r="A119" s="37">
        <v>44060</v>
      </c>
      <c r="B119" s="57" t="s">
        <v>415</v>
      </c>
      <c r="C119" s="20" t="s">
        <v>47</v>
      </c>
      <c r="D119" s="20">
        <v>2900</v>
      </c>
      <c r="E119" s="38">
        <v>300</v>
      </c>
      <c r="F119" s="20" t="s">
        <v>8</v>
      </c>
      <c r="G119" s="43">
        <v>56</v>
      </c>
      <c r="H119" s="43">
        <v>64</v>
      </c>
      <c r="I119" s="43">
        <v>75</v>
      </c>
      <c r="J119" s="43">
        <v>90</v>
      </c>
      <c r="K119" s="1">
        <f t="shared" ref="K119" si="166">(IF(F119="SELL",G119-H119,IF(F119="BUY",H119-G119)))*E119</f>
        <v>2400</v>
      </c>
      <c r="L119" s="43">
        <f>E119*11</f>
        <v>3300</v>
      </c>
      <c r="M119" s="43">
        <f>E119*15</f>
        <v>4500</v>
      </c>
      <c r="N119" s="1">
        <f t="shared" si="159"/>
        <v>34</v>
      </c>
      <c r="O119" s="1">
        <f t="shared" si="160"/>
        <v>10200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s="32" customFormat="1" ht="15" customHeight="1">
      <c r="A120" s="37">
        <v>44057</v>
      </c>
      <c r="B120" s="57" t="s">
        <v>34</v>
      </c>
      <c r="C120" s="20" t="s">
        <v>47</v>
      </c>
      <c r="D120" s="20">
        <v>200</v>
      </c>
      <c r="E120" s="38">
        <v>4300</v>
      </c>
      <c r="F120" s="20" t="s">
        <v>8</v>
      </c>
      <c r="G120" s="43">
        <v>2.8</v>
      </c>
      <c r="H120" s="43">
        <v>3.3</v>
      </c>
      <c r="I120" s="43">
        <v>0</v>
      </c>
      <c r="J120" s="43">
        <v>0</v>
      </c>
      <c r="K120" s="1">
        <f t="shared" ref="K120" si="167">(IF(F120="SELL",G120-H120,IF(F120="BUY",H120-G120)))*E120</f>
        <v>2150</v>
      </c>
      <c r="L120" s="43">
        <v>0</v>
      </c>
      <c r="M120" s="43">
        <v>0</v>
      </c>
      <c r="N120" s="1">
        <f t="shared" si="159"/>
        <v>0.5</v>
      </c>
      <c r="O120" s="1">
        <f t="shared" si="160"/>
        <v>2150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s="32" customFormat="1" ht="15" customHeight="1">
      <c r="A121" s="37">
        <v>44057</v>
      </c>
      <c r="B121" s="57" t="s">
        <v>98</v>
      </c>
      <c r="C121" s="20" t="s">
        <v>47</v>
      </c>
      <c r="D121" s="20">
        <v>440</v>
      </c>
      <c r="E121" s="38">
        <v>2700</v>
      </c>
      <c r="F121" s="20" t="s">
        <v>8</v>
      </c>
      <c r="G121" s="43">
        <v>6.1</v>
      </c>
      <c r="H121" s="43">
        <v>4.7</v>
      </c>
      <c r="I121" s="43">
        <v>0</v>
      </c>
      <c r="J121" s="43">
        <v>0</v>
      </c>
      <c r="K121" s="1">
        <f t="shared" ref="K121" si="168">(IF(F121="SELL",G121-H121,IF(F121="BUY",H121-G121)))*E121</f>
        <v>-3779.9999999999986</v>
      </c>
      <c r="L121" s="43">
        <v>0</v>
      </c>
      <c r="M121" s="43">
        <v>0</v>
      </c>
      <c r="N121" s="1">
        <f t="shared" si="159"/>
        <v>-1.3999999999999995</v>
      </c>
      <c r="O121" s="1">
        <f t="shared" si="160"/>
        <v>-3779.9999999999986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s="32" customFormat="1" ht="15" customHeight="1">
      <c r="A122" s="37">
        <v>44057</v>
      </c>
      <c r="B122" s="57" t="s">
        <v>467</v>
      </c>
      <c r="C122" s="20" t="s">
        <v>46</v>
      </c>
      <c r="D122" s="20">
        <v>1060</v>
      </c>
      <c r="E122" s="38">
        <v>550</v>
      </c>
      <c r="F122" s="20" t="s">
        <v>8</v>
      </c>
      <c r="G122" s="43">
        <v>27</v>
      </c>
      <c r="H122" s="43">
        <v>24</v>
      </c>
      <c r="I122" s="43">
        <v>0</v>
      </c>
      <c r="J122" s="43">
        <v>0</v>
      </c>
      <c r="K122" s="1">
        <f t="shared" ref="K122" si="169">(IF(F122="SELL",G122-H122,IF(F122="BUY",H122-G122)))*E122</f>
        <v>-1650</v>
      </c>
      <c r="L122" s="43">
        <v>0</v>
      </c>
      <c r="M122" s="43">
        <v>0</v>
      </c>
      <c r="N122" s="1">
        <f t="shared" si="159"/>
        <v>-3</v>
      </c>
      <c r="O122" s="1">
        <f t="shared" si="160"/>
        <v>-1650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s="32" customFormat="1" ht="15" customHeight="1">
      <c r="A123" s="37">
        <v>44056</v>
      </c>
      <c r="B123" s="57" t="s">
        <v>487</v>
      </c>
      <c r="C123" s="20" t="s">
        <v>47</v>
      </c>
      <c r="D123" s="20">
        <v>570</v>
      </c>
      <c r="E123" s="38">
        <v>2700</v>
      </c>
      <c r="F123" s="20" t="s">
        <v>8</v>
      </c>
      <c r="G123" s="43">
        <v>4.8</v>
      </c>
      <c r="H123" s="43">
        <v>5.8</v>
      </c>
      <c r="I123" s="43">
        <v>7</v>
      </c>
      <c r="J123" s="43">
        <v>0</v>
      </c>
      <c r="K123" s="1">
        <f t="shared" ref="K123" si="170">(IF(F123="SELL",G123-H123,IF(F123="BUY",H123-G123)))*E123</f>
        <v>2700</v>
      </c>
      <c r="L123" s="43">
        <f>2700*1.2</f>
        <v>3240</v>
      </c>
      <c r="M123" s="43">
        <v>0</v>
      </c>
      <c r="N123" s="1">
        <f t="shared" si="159"/>
        <v>2.2000000000000002</v>
      </c>
      <c r="O123" s="1">
        <f t="shared" si="160"/>
        <v>5940.0000000000009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s="32" customFormat="1" ht="15" customHeight="1">
      <c r="A124" s="37">
        <v>44056</v>
      </c>
      <c r="B124" s="57" t="s">
        <v>420</v>
      </c>
      <c r="C124" s="20" t="s">
        <v>47</v>
      </c>
      <c r="D124" s="20">
        <v>1800</v>
      </c>
      <c r="E124" s="38">
        <v>300</v>
      </c>
      <c r="F124" s="20" t="s">
        <v>8</v>
      </c>
      <c r="G124" s="43">
        <v>53.5</v>
      </c>
      <c r="H124" s="43">
        <v>58</v>
      </c>
      <c r="I124" s="43">
        <v>0</v>
      </c>
      <c r="J124" s="43">
        <v>0</v>
      </c>
      <c r="K124" s="1">
        <f t="shared" ref="K124" si="171">(IF(F124="SELL",G124-H124,IF(F124="BUY",H124-G124)))*E124</f>
        <v>1350</v>
      </c>
      <c r="L124" s="43">
        <v>0</v>
      </c>
      <c r="M124" s="43">
        <v>0</v>
      </c>
      <c r="N124" s="1">
        <f t="shared" si="159"/>
        <v>4.5</v>
      </c>
      <c r="O124" s="1">
        <f t="shared" si="160"/>
        <v>1350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s="32" customFormat="1" ht="15" customHeight="1">
      <c r="A125" s="37">
        <v>44056</v>
      </c>
      <c r="B125" s="57" t="s">
        <v>96</v>
      </c>
      <c r="C125" s="20" t="s">
        <v>47</v>
      </c>
      <c r="D125" s="20">
        <v>660</v>
      </c>
      <c r="E125" s="38">
        <v>1400</v>
      </c>
      <c r="F125" s="20" t="s">
        <v>8</v>
      </c>
      <c r="G125" s="43">
        <v>12</v>
      </c>
      <c r="H125" s="43">
        <v>9</v>
      </c>
      <c r="I125" s="43">
        <v>0</v>
      </c>
      <c r="J125" s="43">
        <v>0</v>
      </c>
      <c r="K125" s="1">
        <f t="shared" ref="K125" si="172">(IF(F125="SELL",G125-H125,IF(F125="BUY",H125-G125)))*E125</f>
        <v>-4200</v>
      </c>
      <c r="L125" s="43">
        <v>0</v>
      </c>
      <c r="M125" s="43">
        <v>0</v>
      </c>
      <c r="N125" s="1">
        <f t="shared" si="159"/>
        <v>-3</v>
      </c>
      <c r="O125" s="1">
        <f t="shared" si="160"/>
        <v>-4200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s="32" customFormat="1" ht="15" customHeight="1">
      <c r="A126" s="37">
        <v>44056</v>
      </c>
      <c r="B126" s="57" t="s">
        <v>100</v>
      </c>
      <c r="C126" s="20" t="s">
        <v>47</v>
      </c>
      <c r="D126" s="20">
        <v>4500</v>
      </c>
      <c r="E126" s="38">
        <v>250</v>
      </c>
      <c r="F126" s="20" t="s">
        <v>8</v>
      </c>
      <c r="G126" s="43">
        <v>55</v>
      </c>
      <c r="H126" s="43">
        <v>55</v>
      </c>
      <c r="I126" s="43">
        <v>0</v>
      </c>
      <c r="J126" s="43">
        <v>0</v>
      </c>
      <c r="K126" s="1">
        <f t="shared" ref="K126" si="173">(IF(F126="SELL",G126-H126,IF(F126="BUY",H126-G126)))*E126</f>
        <v>0</v>
      </c>
      <c r="L126" s="43">
        <v>0</v>
      </c>
      <c r="M126" s="43">
        <v>0</v>
      </c>
      <c r="N126" s="1">
        <f t="shared" si="159"/>
        <v>0</v>
      </c>
      <c r="O126" s="1">
        <f t="shared" si="160"/>
        <v>0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s="32" customFormat="1" ht="15" customHeight="1">
      <c r="A127" s="37">
        <v>44055</v>
      </c>
      <c r="B127" s="57" t="s">
        <v>96</v>
      </c>
      <c r="C127" s="20" t="s">
        <v>47</v>
      </c>
      <c r="D127" s="20">
        <v>660</v>
      </c>
      <c r="E127" s="38">
        <v>1400</v>
      </c>
      <c r="F127" s="20" t="s">
        <v>8</v>
      </c>
      <c r="G127" s="43">
        <v>10.6</v>
      </c>
      <c r="H127" s="43">
        <v>12.6</v>
      </c>
      <c r="I127" s="43">
        <v>15</v>
      </c>
      <c r="J127" s="43">
        <v>0</v>
      </c>
      <c r="K127" s="1">
        <f t="shared" ref="K127:K128" si="174">(IF(F127="SELL",G127-H127,IF(F127="BUY",H127-G127)))*E127</f>
        <v>2800</v>
      </c>
      <c r="L127" s="43">
        <f>1400*2.4</f>
        <v>3360</v>
      </c>
      <c r="M127" s="43">
        <v>0</v>
      </c>
      <c r="N127" s="1">
        <f t="shared" si="159"/>
        <v>4.4000000000000004</v>
      </c>
      <c r="O127" s="1">
        <f t="shared" si="160"/>
        <v>6160.0000000000009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s="32" customFormat="1" ht="15" customHeight="1">
      <c r="A128" s="37">
        <v>44055</v>
      </c>
      <c r="B128" s="57" t="s">
        <v>495</v>
      </c>
      <c r="C128" s="20" t="s">
        <v>47</v>
      </c>
      <c r="D128" s="20">
        <v>25000</v>
      </c>
      <c r="E128" s="38">
        <v>35</v>
      </c>
      <c r="F128" s="20" t="s">
        <v>8</v>
      </c>
      <c r="G128" s="43">
        <v>102</v>
      </c>
      <c r="H128" s="43">
        <v>140</v>
      </c>
      <c r="I128" s="43">
        <v>0</v>
      </c>
      <c r="J128" s="43">
        <v>0</v>
      </c>
      <c r="K128" s="1">
        <f t="shared" si="174"/>
        <v>1330</v>
      </c>
      <c r="L128" s="43">
        <v>0</v>
      </c>
      <c r="M128" s="43">
        <v>0</v>
      </c>
      <c r="N128" s="1">
        <f t="shared" si="159"/>
        <v>38</v>
      </c>
      <c r="O128" s="1">
        <f t="shared" si="160"/>
        <v>1330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s="32" customFormat="1" ht="15" customHeight="1">
      <c r="A129" s="37">
        <v>44055</v>
      </c>
      <c r="B129" s="57" t="s">
        <v>494</v>
      </c>
      <c r="C129" s="20" t="s">
        <v>47</v>
      </c>
      <c r="D129" s="20">
        <v>470</v>
      </c>
      <c r="E129" s="38">
        <v>1200</v>
      </c>
      <c r="F129" s="20" t="s">
        <v>8</v>
      </c>
      <c r="G129" s="43">
        <v>10.7</v>
      </c>
      <c r="H129" s="43">
        <v>11.7</v>
      </c>
      <c r="I129" s="43">
        <v>0</v>
      </c>
      <c r="J129" s="43">
        <v>0</v>
      </c>
      <c r="K129" s="1">
        <f t="shared" ref="K129" si="175">(IF(F129="SELL",G129-H129,IF(F129="BUY",H129-G129)))*E129</f>
        <v>1200</v>
      </c>
      <c r="L129" s="43">
        <v>0</v>
      </c>
      <c r="M129" s="43">
        <v>0</v>
      </c>
      <c r="N129" s="1">
        <f t="shared" si="159"/>
        <v>1</v>
      </c>
      <c r="O129" s="1">
        <f t="shared" si="160"/>
        <v>1200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s="32" customFormat="1" ht="15" customHeight="1">
      <c r="A130" s="37">
        <v>44054</v>
      </c>
      <c r="B130" s="57" t="s">
        <v>420</v>
      </c>
      <c r="C130" s="20" t="s">
        <v>47</v>
      </c>
      <c r="D130" s="20">
        <v>1840</v>
      </c>
      <c r="E130" s="38">
        <v>300</v>
      </c>
      <c r="F130" s="20" t="s">
        <v>8</v>
      </c>
      <c r="G130" s="43">
        <v>41</v>
      </c>
      <c r="H130" s="43">
        <v>50.7</v>
      </c>
      <c r="I130" s="43">
        <v>0</v>
      </c>
      <c r="J130" s="43">
        <v>0</v>
      </c>
      <c r="K130" s="1">
        <f t="shared" ref="K130" si="176">(IF(F130="SELL",G130-H130,IF(F130="BUY",H130-G130)))*E130</f>
        <v>2910.0000000000009</v>
      </c>
      <c r="L130" s="43">
        <v>0</v>
      </c>
      <c r="M130" s="43">
        <v>0</v>
      </c>
      <c r="N130" s="1">
        <f t="shared" si="159"/>
        <v>9.7000000000000028</v>
      </c>
      <c r="O130" s="1">
        <f t="shared" si="160"/>
        <v>2910.0000000000009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s="32" customFormat="1" ht="15" customHeight="1">
      <c r="A131" s="37">
        <v>44054</v>
      </c>
      <c r="B131" s="57" t="s">
        <v>100</v>
      </c>
      <c r="C131" s="20" t="s">
        <v>47</v>
      </c>
      <c r="D131" s="20">
        <v>4500</v>
      </c>
      <c r="E131" s="38">
        <v>250</v>
      </c>
      <c r="F131" s="20" t="s">
        <v>8</v>
      </c>
      <c r="G131" s="43">
        <v>80</v>
      </c>
      <c r="H131" s="43">
        <v>90</v>
      </c>
      <c r="I131" s="43">
        <v>0</v>
      </c>
      <c r="J131" s="43">
        <v>0</v>
      </c>
      <c r="K131" s="1">
        <f t="shared" ref="K131" si="177">(IF(F131="SELL",G131-H131,IF(F131="BUY",H131-G131)))*E131</f>
        <v>2500</v>
      </c>
      <c r="L131" s="43">
        <v>0</v>
      </c>
      <c r="M131" s="43">
        <v>0</v>
      </c>
      <c r="N131" s="1">
        <f t="shared" si="159"/>
        <v>10</v>
      </c>
      <c r="O131" s="1">
        <f t="shared" si="160"/>
        <v>2500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s="32" customFormat="1" ht="15" customHeight="1">
      <c r="A132" s="37">
        <v>44054</v>
      </c>
      <c r="B132" s="57" t="s">
        <v>20</v>
      </c>
      <c r="C132" s="20" t="s">
        <v>47</v>
      </c>
      <c r="D132" s="20">
        <v>1020</v>
      </c>
      <c r="E132" s="38">
        <v>1200</v>
      </c>
      <c r="F132" s="20" t="s">
        <v>8</v>
      </c>
      <c r="G132" s="43">
        <v>8.5</v>
      </c>
      <c r="H132" s="43">
        <v>7.5</v>
      </c>
      <c r="I132" s="43">
        <v>0</v>
      </c>
      <c r="J132" s="43">
        <v>0</v>
      </c>
      <c r="K132" s="1">
        <f t="shared" ref="K132:K133" si="178">(IF(F132="SELL",G132-H132,IF(F132="BUY",H132-G132)))*E132</f>
        <v>-1200</v>
      </c>
      <c r="L132" s="43">
        <v>0</v>
      </c>
      <c r="M132" s="43">
        <v>0</v>
      </c>
      <c r="N132" s="1">
        <f t="shared" si="159"/>
        <v>-1</v>
      </c>
      <c r="O132" s="1">
        <f t="shared" si="160"/>
        <v>-1200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s="32" customFormat="1" ht="15" customHeight="1">
      <c r="A133" s="37">
        <v>44053</v>
      </c>
      <c r="B133" s="57" t="s">
        <v>106</v>
      </c>
      <c r="C133" s="20" t="s">
        <v>47</v>
      </c>
      <c r="D133" s="20">
        <v>5200</v>
      </c>
      <c r="E133" s="38">
        <v>250</v>
      </c>
      <c r="F133" s="20" t="s">
        <v>8</v>
      </c>
      <c r="G133" s="43">
        <v>26.5</v>
      </c>
      <c r="H133" s="43">
        <v>29.5</v>
      </c>
      <c r="I133" s="43">
        <v>0</v>
      </c>
      <c r="J133" s="43">
        <v>0</v>
      </c>
      <c r="K133" s="1">
        <f t="shared" si="178"/>
        <v>750</v>
      </c>
      <c r="L133" s="43">
        <v>0</v>
      </c>
      <c r="M133" s="43">
        <v>0</v>
      </c>
      <c r="N133" s="1">
        <f t="shared" si="159"/>
        <v>3</v>
      </c>
      <c r="O133" s="1">
        <f t="shared" si="160"/>
        <v>750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s="32" customFormat="1" ht="15" customHeight="1">
      <c r="A134" s="37">
        <v>44050</v>
      </c>
      <c r="B134" s="57" t="s">
        <v>106</v>
      </c>
      <c r="C134" s="20" t="s">
        <v>47</v>
      </c>
      <c r="D134" s="20">
        <v>5100</v>
      </c>
      <c r="E134" s="38">
        <v>250</v>
      </c>
      <c r="F134" s="20" t="s">
        <v>8</v>
      </c>
      <c r="G134" s="43">
        <v>34</v>
      </c>
      <c r="H134" s="43">
        <v>44</v>
      </c>
      <c r="I134" s="43">
        <v>0</v>
      </c>
      <c r="J134" s="43">
        <v>0</v>
      </c>
      <c r="K134" s="1">
        <f t="shared" ref="K134" si="179">(IF(F134="SELL",G134-H134,IF(F134="BUY",H134-G134)))*E134</f>
        <v>2500</v>
      </c>
      <c r="L134" s="43">
        <v>0</v>
      </c>
      <c r="M134" s="43">
        <v>0</v>
      </c>
      <c r="N134" s="1">
        <f t="shared" si="159"/>
        <v>10</v>
      </c>
      <c r="O134" s="1">
        <f t="shared" si="160"/>
        <v>2500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s="32" customFormat="1" ht="15" customHeight="1">
      <c r="A135" s="37">
        <v>44050</v>
      </c>
      <c r="B135" s="57" t="s">
        <v>420</v>
      </c>
      <c r="C135" s="20" t="s">
        <v>47</v>
      </c>
      <c r="D135" s="20">
        <v>1760</v>
      </c>
      <c r="E135" s="38">
        <v>300</v>
      </c>
      <c r="F135" s="20" t="s">
        <v>8</v>
      </c>
      <c r="G135" s="43">
        <v>47.5</v>
      </c>
      <c r="H135" s="43">
        <v>55</v>
      </c>
      <c r="I135" s="43">
        <v>65</v>
      </c>
      <c r="J135" s="43">
        <v>80</v>
      </c>
      <c r="K135" s="1">
        <f t="shared" ref="K135" si="180">(IF(F135="SELL",G135-H135,IF(F135="BUY",H135-G135)))*E135</f>
        <v>2250</v>
      </c>
      <c r="L135" s="43">
        <f>300*10</f>
        <v>3000</v>
      </c>
      <c r="M135" s="43">
        <f>300*15</f>
        <v>4500</v>
      </c>
      <c r="N135" s="1">
        <f t="shared" si="159"/>
        <v>32.5</v>
      </c>
      <c r="O135" s="1">
        <f t="shared" si="160"/>
        <v>9750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s="32" customFormat="1" ht="15" customHeight="1">
      <c r="A136" s="37">
        <v>44049</v>
      </c>
      <c r="B136" s="57" t="s">
        <v>32</v>
      </c>
      <c r="C136" s="20" t="s">
        <v>47</v>
      </c>
      <c r="D136" s="20">
        <v>1000</v>
      </c>
      <c r="E136" s="38">
        <v>1300</v>
      </c>
      <c r="F136" s="20" t="s">
        <v>8</v>
      </c>
      <c r="G136" s="43">
        <v>9.8000000000000007</v>
      </c>
      <c r="H136" s="43">
        <v>11.5</v>
      </c>
      <c r="I136" s="43">
        <v>13.5</v>
      </c>
      <c r="J136" s="43">
        <v>21</v>
      </c>
      <c r="K136" s="1">
        <f t="shared" ref="K136" si="181">(IF(F136="SELL",G136-H136,IF(F136="BUY",H136-G136)))*E136</f>
        <v>2209.9999999999991</v>
      </c>
      <c r="L136" s="43">
        <f>1300*2</f>
        <v>2600</v>
      </c>
      <c r="M136" s="43">
        <f>1300*7.5</f>
        <v>9750</v>
      </c>
      <c r="N136" s="1">
        <f t="shared" si="159"/>
        <v>11.2</v>
      </c>
      <c r="O136" s="1">
        <f t="shared" si="160"/>
        <v>14559.999999999998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s="32" customFormat="1" ht="15" customHeight="1">
      <c r="A137" s="37">
        <v>44049</v>
      </c>
      <c r="B137" s="57" t="s">
        <v>475</v>
      </c>
      <c r="C137" s="20" t="s">
        <v>47</v>
      </c>
      <c r="D137" s="20">
        <v>2180</v>
      </c>
      <c r="E137" s="38">
        <v>375</v>
      </c>
      <c r="F137" s="20" t="s">
        <v>8</v>
      </c>
      <c r="G137" s="43">
        <v>44</v>
      </c>
      <c r="H137" s="43">
        <v>50</v>
      </c>
      <c r="I137" s="43">
        <v>0</v>
      </c>
      <c r="J137" s="43">
        <v>0</v>
      </c>
      <c r="K137" s="1">
        <f t="shared" ref="K137" si="182">(IF(F137="SELL",G137-H137,IF(F137="BUY",H137-G137)))*E137</f>
        <v>2250</v>
      </c>
      <c r="L137" s="43">
        <v>0</v>
      </c>
      <c r="M137" s="43">
        <v>0</v>
      </c>
      <c r="N137" s="1">
        <f t="shared" si="159"/>
        <v>6</v>
      </c>
      <c r="O137" s="1">
        <f t="shared" si="160"/>
        <v>2250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s="32" customFormat="1" ht="15" customHeight="1">
      <c r="A138" s="37">
        <v>44049</v>
      </c>
      <c r="B138" s="57" t="s">
        <v>391</v>
      </c>
      <c r="C138" s="20" t="s">
        <v>47</v>
      </c>
      <c r="D138" s="20">
        <v>580</v>
      </c>
      <c r="E138" s="38">
        <v>1400</v>
      </c>
      <c r="F138" s="20" t="s">
        <v>8</v>
      </c>
      <c r="G138" s="43">
        <v>8</v>
      </c>
      <c r="H138" s="43">
        <v>7</v>
      </c>
      <c r="I138" s="43">
        <v>0</v>
      </c>
      <c r="J138" s="43">
        <v>0</v>
      </c>
      <c r="K138" s="1">
        <f t="shared" ref="K138" si="183">(IF(F138="SELL",G138-H138,IF(F138="BUY",H138-G138)))*E138</f>
        <v>-1400</v>
      </c>
      <c r="L138" s="43">
        <v>0</v>
      </c>
      <c r="M138" s="43">
        <v>0</v>
      </c>
      <c r="N138" s="1">
        <f t="shared" si="159"/>
        <v>-1</v>
      </c>
      <c r="O138" s="1">
        <f t="shared" si="160"/>
        <v>-1400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s="32" customFormat="1" ht="15" customHeight="1">
      <c r="A139" s="37">
        <v>44048</v>
      </c>
      <c r="B139" s="57" t="s">
        <v>473</v>
      </c>
      <c r="C139" s="20" t="s">
        <v>47</v>
      </c>
      <c r="D139" s="20">
        <v>190</v>
      </c>
      <c r="E139" s="38">
        <v>3200</v>
      </c>
      <c r="F139" s="20" t="s">
        <v>8</v>
      </c>
      <c r="G139" s="43">
        <v>4.0999999999999996</v>
      </c>
      <c r="H139" s="43">
        <v>4.0999999999999996</v>
      </c>
      <c r="I139" s="43">
        <v>0</v>
      </c>
      <c r="J139" s="43">
        <v>0</v>
      </c>
      <c r="K139" s="1">
        <f t="shared" ref="K139" si="184">(IF(F139="SELL",G139-H139,IF(F139="BUY",H139-G139)))*E139</f>
        <v>0</v>
      </c>
      <c r="L139" s="43">
        <v>0</v>
      </c>
      <c r="M139" s="43">
        <v>0</v>
      </c>
      <c r="N139" s="1">
        <f t="shared" si="159"/>
        <v>0</v>
      </c>
      <c r="O139" s="1">
        <f t="shared" si="160"/>
        <v>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s="32" customFormat="1" ht="15" customHeight="1">
      <c r="A140" s="37">
        <v>44048</v>
      </c>
      <c r="B140" s="57" t="s">
        <v>357</v>
      </c>
      <c r="C140" s="20" t="s">
        <v>47</v>
      </c>
      <c r="D140" s="20">
        <v>1280</v>
      </c>
      <c r="E140" s="38">
        <v>800</v>
      </c>
      <c r="F140" s="20" t="s">
        <v>8</v>
      </c>
      <c r="G140" s="43">
        <v>9</v>
      </c>
      <c r="H140" s="43">
        <v>9</v>
      </c>
      <c r="I140" s="43">
        <v>0</v>
      </c>
      <c r="J140" s="43">
        <v>0</v>
      </c>
      <c r="K140" s="1">
        <f t="shared" ref="K140" si="185">(IF(F140="SELL",G140-H140,IF(F140="BUY",H140-G140)))*E140</f>
        <v>0</v>
      </c>
      <c r="L140" s="43">
        <v>0</v>
      </c>
      <c r="M140" s="43">
        <v>0</v>
      </c>
      <c r="N140" s="1">
        <f t="shared" si="159"/>
        <v>0</v>
      </c>
      <c r="O140" s="1">
        <f t="shared" si="160"/>
        <v>0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s="32" customFormat="1" ht="15" customHeight="1">
      <c r="A141" s="37">
        <v>44047</v>
      </c>
      <c r="B141" s="57" t="s">
        <v>39</v>
      </c>
      <c r="C141" s="20" t="s">
        <v>47</v>
      </c>
      <c r="D141" s="20">
        <v>2200</v>
      </c>
      <c r="E141" s="38">
        <v>500</v>
      </c>
      <c r="F141" s="20" t="s">
        <v>8</v>
      </c>
      <c r="G141" s="43">
        <v>11</v>
      </c>
      <c r="H141" s="43">
        <v>15</v>
      </c>
      <c r="I141" s="43">
        <v>20</v>
      </c>
      <c r="J141" s="43">
        <v>25.8</v>
      </c>
      <c r="K141" s="1">
        <f t="shared" ref="K141" si="186">(IF(F141="SELL",G141-H141,IF(F141="BUY",H141-G141)))*E141</f>
        <v>2000</v>
      </c>
      <c r="L141" s="43">
        <v>2500</v>
      </c>
      <c r="M141" s="43">
        <f>5.8*500</f>
        <v>2900</v>
      </c>
      <c r="N141" s="1">
        <f t="shared" si="159"/>
        <v>14.8</v>
      </c>
      <c r="O141" s="1">
        <f t="shared" si="160"/>
        <v>7400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s="32" customFormat="1" ht="15" customHeight="1">
      <c r="A142" s="37">
        <v>44047</v>
      </c>
      <c r="B142" s="57" t="s">
        <v>466</v>
      </c>
      <c r="C142" s="20" t="s">
        <v>47</v>
      </c>
      <c r="D142" s="20">
        <v>370</v>
      </c>
      <c r="E142" s="38">
        <v>1375</v>
      </c>
      <c r="F142" s="20" t="s">
        <v>8</v>
      </c>
      <c r="G142" s="43">
        <v>11.1</v>
      </c>
      <c r="H142" s="43">
        <v>11.85</v>
      </c>
      <c r="I142" s="43">
        <v>0</v>
      </c>
      <c r="J142" s="43">
        <v>0</v>
      </c>
      <c r="K142" s="1">
        <f t="shared" ref="K142" si="187">(IF(F142="SELL",G142-H142,IF(F142="BUY",H142-G142)))*E142</f>
        <v>1031.25</v>
      </c>
      <c r="L142" s="43">
        <v>0</v>
      </c>
      <c r="M142" s="43">
        <v>0</v>
      </c>
      <c r="N142" s="1">
        <f t="shared" si="159"/>
        <v>0.75</v>
      </c>
      <c r="O142" s="1">
        <f t="shared" si="160"/>
        <v>1031.25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s="32" customFormat="1" ht="15" customHeight="1">
      <c r="A143" s="37">
        <v>44047</v>
      </c>
      <c r="B143" s="57" t="s">
        <v>122</v>
      </c>
      <c r="C143" s="20" t="s">
        <v>47</v>
      </c>
      <c r="D143" s="20">
        <v>1900</v>
      </c>
      <c r="E143" s="38">
        <v>300</v>
      </c>
      <c r="F143" s="20" t="s">
        <v>8</v>
      </c>
      <c r="G143" s="43">
        <v>32</v>
      </c>
      <c r="H143" s="43">
        <v>32</v>
      </c>
      <c r="I143" s="43">
        <v>0</v>
      </c>
      <c r="J143" s="43">
        <v>0</v>
      </c>
      <c r="K143" s="1">
        <f t="shared" ref="K143" si="188">(IF(F143="SELL",G143-H143,IF(F143="BUY",H143-G143)))*E143</f>
        <v>0</v>
      </c>
      <c r="L143" s="43">
        <v>0</v>
      </c>
      <c r="M143" s="43">
        <v>0</v>
      </c>
      <c r="N143" s="1">
        <f t="shared" si="159"/>
        <v>0</v>
      </c>
      <c r="O143" s="1">
        <f t="shared" si="160"/>
        <v>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 s="32" customFormat="1" ht="15" customHeight="1">
      <c r="A144" s="37">
        <v>44046</v>
      </c>
      <c r="B144" s="57" t="s">
        <v>106</v>
      </c>
      <c r="C144" s="20" t="s">
        <v>47</v>
      </c>
      <c r="D144" s="20">
        <v>5100</v>
      </c>
      <c r="E144" s="38">
        <v>250</v>
      </c>
      <c r="F144" s="20" t="s">
        <v>8</v>
      </c>
      <c r="G144" s="43">
        <v>35</v>
      </c>
      <c r="H144" s="43">
        <v>43</v>
      </c>
      <c r="I144" s="43">
        <v>53</v>
      </c>
      <c r="J144" s="43">
        <v>0</v>
      </c>
      <c r="K144" s="1">
        <f t="shared" ref="K144" si="189">(IF(F144="SELL",G144-H144,IF(F144="BUY",H144-G144)))*E144</f>
        <v>2000</v>
      </c>
      <c r="L144" s="43">
        <v>2500</v>
      </c>
      <c r="M144" s="43">
        <v>0</v>
      </c>
      <c r="N144" s="1">
        <f t="shared" si="159"/>
        <v>18</v>
      </c>
      <c r="O144" s="1">
        <f t="shared" si="160"/>
        <v>4500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 s="32" customFormat="1" ht="15" customHeight="1">
      <c r="A145" s="37">
        <v>44046</v>
      </c>
      <c r="B145" s="57" t="s">
        <v>26</v>
      </c>
      <c r="C145" s="20" t="s">
        <v>47</v>
      </c>
      <c r="D145" s="20">
        <v>400</v>
      </c>
      <c r="E145" s="38">
        <v>1700</v>
      </c>
      <c r="F145" s="20" t="s">
        <v>8</v>
      </c>
      <c r="G145" s="43">
        <v>7.5</v>
      </c>
      <c r="H145" s="43">
        <v>7.5</v>
      </c>
      <c r="I145" s="43">
        <v>0</v>
      </c>
      <c r="J145" s="43">
        <v>0</v>
      </c>
      <c r="K145" s="1">
        <f t="shared" ref="K145" si="190">(IF(F145="SELL",G145-H145,IF(F145="BUY",H145-G145)))*E145</f>
        <v>0</v>
      </c>
      <c r="L145" s="43">
        <v>0</v>
      </c>
      <c r="M145" s="43">
        <v>0</v>
      </c>
      <c r="N145" s="1">
        <f t="shared" si="159"/>
        <v>0</v>
      </c>
      <c r="O145" s="1">
        <f t="shared" si="160"/>
        <v>0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 s="32" customFormat="1" ht="15" customHeight="1">
      <c r="A146" s="37">
        <v>44046</v>
      </c>
      <c r="B146" s="57" t="s">
        <v>32</v>
      </c>
      <c r="C146" s="20" t="s">
        <v>47</v>
      </c>
      <c r="D146" s="20">
        <v>1000</v>
      </c>
      <c r="E146" s="38">
        <v>1300</v>
      </c>
      <c r="F146" s="20" t="s">
        <v>8</v>
      </c>
      <c r="G146" s="43">
        <v>14.3</v>
      </c>
      <c r="H146" s="43">
        <v>13.2</v>
      </c>
      <c r="I146" s="43">
        <v>0</v>
      </c>
      <c r="J146" s="43">
        <v>0</v>
      </c>
      <c r="K146" s="1">
        <f t="shared" ref="K146" si="191">(IF(F146="SELL",G146-H146,IF(F146="BUY",H146-G146)))*E146</f>
        <v>-1430.0000000000018</v>
      </c>
      <c r="L146" s="43">
        <v>0</v>
      </c>
      <c r="M146" s="43">
        <v>0</v>
      </c>
      <c r="N146" s="1">
        <f t="shared" si="159"/>
        <v>-1.1000000000000014</v>
      </c>
      <c r="O146" s="1">
        <f t="shared" si="160"/>
        <v>-1430.0000000000018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 s="32" customFormat="1" ht="15" customHeight="1">
      <c r="A147" s="37">
        <v>44046</v>
      </c>
      <c r="B147" s="57" t="s">
        <v>417</v>
      </c>
      <c r="C147" s="20" t="s">
        <v>47</v>
      </c>
      <c r="D147" s="20">
        <v>530</v>
      </c>
      <c r="E147" s="38">
        <v>2300</v>
      </c>
      <c r="F147" s="20" t="s">
        <v>8</v>
      </c>
      <c r="G147" s="43">
        <v>11.5</v>
      </c>
      <c r="H147" s="43">
        <v>11</v>
      </c>
      <c r="I147" s="43">
        <v>0</v>
      </c>
      <c r="J147" s="43">
        <v>0</v>
      </c>
      <c r="K147" s="1">
        <f t="shared" ref="K147" si="192">(IF(F147="SELL",G147-H147,IF(F147="BUY",H147-G147)))*E147</f>
        <v>-1150</v>
      </c>
      <c r="L147" s="43">
        <v>0</v>
      </c>
      <c r="M147" s="43">
        <v>0</v>
      </c>
      <c r="N147" s="1">
        <f t="shared" si="159"/>
        <v>-0.5</v>
      </c>
      <c r="O147" s="1">
        <f t="shared" si="160"/>
        <v>-1150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 s="32" customFormat="1" ht="15" customHeight="1">
      <c r="A148" s="37">
        <v>44043</v>
      </c>
      <c r="B148" s="57" t="s">
        <v>391</v>
      </c>
      <c r="C148" s="20" t="s">
        <v>47</v>
      </c>
      <c r="D148" s="20">
        <v>600</v>
      </c>
      <c r="E148" s="38">
        <v>1400</v>
      </c>
      <c r="F148" s="20" t="s">
        <v>8</v>
      </c>
      <c r="G148" s="43">
        <v>7.5</v>
      </c>
      <c r="H148" s="43">
        <v>9.5</v>
      </c>
      <c r="I148" s="43">
        <v>0</v>
      </c>
      <c r="J148" s="43">
        <v>0</v>
      </c>
      <c r="K148" s="1">
        <f t="shared" ref="K148" si="193">(IF(F148="SELL",G148-H148,IF(F148="BUY",H148-G148)))*E148</f>
        <v>2800</v>
      </c>
      <c r="L148" s="43">
        <v>0</v>
      </c>
      <c r="M148" s="43">
        <v>0</v>
      </c>
      <c r="N148" s="1">
        <f t="shared" si="159"/>
        <v>2</v>
      </c>
      <c r="O148" s="1">
        <f t="shared" si="160"/>
        <v>2800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 s="32" customFormat="1" ht="15" customHeight="1">
      <c r="A149" s="37">
        <v>44043</v>
      </c>
      <c r="B149" s="57" t="s">
        <v>32</v>
      </c>
      <c r="C149" s="20" t="s">
        <v>47</v>
      </c>
      <c r="D149" s="20">
        <v>1000</v>
      </c>
      <c r="E149" s="38">
        <v>1300</v>
      </c>
      <c r="F149" s="20" t="s">
        <v>8</v>
      </c>
      <c r="G149" s="43">
        <v>7.5</v>
      </c>
      <c r="H149" s="43">
        <v>9.5</v>
      </c>
      <c r="I149" s="43">
        <v>12.5</v>
      </c>
      <c r="J149" s="43">
        <v>17</v>
      </c>
      <c r="K149" s="1">
        <f t="shared" ref="K149" si="194">(IF(F149="SELL",G149-H149,IF(F149="BUY",H149-G149)))*E149</f>
        <v>2600</v>
      </c>
      <c r="L149" s="43">
        <v>3900</v>
      </c>
      <c r="M149" s="43">
        <f>1300*4.5</f>
        <v>5850</v>
      </c>
      <c r="N149" s="1">
        <f t="shared" si="159"/>
        <v>9.5</v>
      </c>
      <c r="O149" s="1">
        <f t="shared" si="160"/>
        <v>12350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 s="32" customFormat="1" ht="15" customHeight="1">
      <c r="A150" s="37">
        <v>44043</v>
      </c>
      <c r="B150" s="57" t="s">
        <v>13</v>
      </c>
      <c r="C150" s="20" t="s">
        <v>47</v>
      </c>
      <c r="D150" s="20">
        <v>770</v>
      </c>
      <c r="E150" s="38">
        <v>1400</v>
      </c>
      <c r="F150" s="20" t="s">
        <v>8</v>
      </c>
      <c r="G150" s="43">
        <v>11</v>
      </c>
      <c r="H150" s="43">
        <v>9</v>
      </c>
      <c r="I150" s="43">
        <v>0</v>
      </c>
      <c r="J150" s="43">
        <v>0</v>
      </c>
      <c r="K150" s="1">
        <f t="shared" ref="K150" si="195">(IF(F150="SELL",G150-H150,IF(F150="BUY",H150-G150)))*E150</f>
        <v>-2800</v>
      </c>
      <c r="L150" s="43">
        <v>0</v>
      </c>
      <c r="M150" s="43">
        <v>0</v>
      </c>
      <c r="N150" s="1">
        <f t="shared" si="159"/>
        <v>-2</v>
      </c>
      <c r="O150" s="1">
        <f t="shared" si="160"/>
        <v>-2800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s="32" customFormat="1" ht="15" customHeight="1">
      <c r="A151" s="37">
        <v>44042</v>
      </c>
      <c r="B151" s="57" t="s">
        <v>458</v>
      </c>
      <c r="C151" s="20" t="s">
        <v>47</v>
      </c>
      <c r="D151" s="20">
        <v>3870</v>
      </c>
      <c r="E151" s="38">
        <v>200</v>
      </c>
      <c r="F151" s="20" t="s">
        <v>8</v>
      </c>
      <c r="G151" s="43">
        <v>18</v>
      </c>
      <c r="H151" s="43">
        <v>28</v>
      </c>
      <c r="I151" s="43">
        <v>0</v>
      </c>
      <c r="J151" s="43">
        <v>0</v>
      </c>
      <c r="K151" s="1">
        <f t="shared" ref="K151" si="196">(IF(F151="SELL",G151-H151,IF(F151="BUY",H151-G151)))*E151</f>
        <v>2000</v>
      </c>
      <c r="L151" s="43">
        <v>0</v>
      </c>
      <c r="M151" s="43">
        <v>0</v>
      </c>
      <c r="N151" s="1">
        <f t="shared" si="159"/>
        <v>10</v>
      </c>
      <c r="O151" s="1">
        <f t="shared" si="160"/>
        <v>2000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s="32" customFormat="1" ht="15" customHeight="1">
      <c r="A152" s="37">
        <v>44042</v>
      </c>
      <c r="B152" s="57" t="s">
        <v>37</v>
      </c>
      <c r="C152" s="20" t="s">
        <v>47</v>
      </c>
      <c r="D152" s="20">
        <v>2320</v>
      </c>
      <c r="E152" s="38">
        <v>300</v>
      </c>
      <c r="F152" s="20" t="s">
        <v>8</v>
      </c>
      <c r="G152" s="43">
        <v>25</v>
      </c>
      <c r="H152" s="43">
        <v>35</v>
      </c>
      <c r="I152" s="43">
        <v>0</v>
      </c>
      <c r="J152" s="43">
        <v>0</v>
      </c>
      <c r="K152" s="1">
        <f t="shared" ref="K152" si="197">(IF(F152="SELL",G152-H152,IF(F152="BUY",H152-G152)))*E152</f>
        <v>3000</v>
      </c>
      <c r="L152" s="43">
        <v>0</v>
      </c>
      <c r="M152" s="43">
        <v>0</v>
      </c>
      <c r="N152" s="1">
        <f t="shared" si="159"/>
        <v>10</v>
      </c>
      <c r="O152" s="1">
        <f t="shared" si="160"/>
        <v>3000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s="32" customFormat="1" ht="15" customHeight="1">
      <c r="A153" s="37">
        <v>44041</v>
      </c>
      <c r="B153" s="57" t="s">
        <v>458</v>
      </c>
      <c r="C153" s="20" t="s">
        <v>47</v>
      </c>
      <c r="D153" s="20">
        <v>3800</v>
      </c>
      <c r="E153" s="38">
        <v>250</v>
      </c>
      <c r="F153" s="20" t="s">
        <v>8</v>
      </c>
      <c r="G153" s="43">
        <v>58</v>
      </c>
      <c r="H153" s="43">
        <v>68</v>
      </c>
      <c r="I153" s="43">
        <v>0</v>
      </c>
      <c r="J153" s="43">
        <v>0</v>
      </c>
      <c r="K153" s="1">
        <f t="shared" ref="K153" si="198">(IF(F153="SELL",G153-H153,IF(F153="BUY",H153-G153)))*E153</f>
        <v>2500</v>
      </c>
      <c r="L153" s="43">
        <v>0</v>
      </c>
      <c r="M153" s="43">
        <v>0</v>
      </c>
      <c r="N153" s="1">
        <f t="shared" si="159"/>
        <v>10</v>
      </c>
      <c r="O153" s="1">
        <f t="shared" si="160"/>
        <v>2500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 s="32" customFormat="1" ht="15" customHeight="1">
      <c r="A154" s="37">
        <v>44041</v>
      </c>
      <c r="B154" s="57" t="s">
        <v>18</v>
      </c>
      <c r="C154" s="20" t="s">
        <v>47</v>
      </c>
      <c r="D154" s="20">
        <v>660</v>
      </c>
      <c r="E154" s="38">
        <v>1300</v>
      </c>
      <c r="F154" s="20" t="s">
        <v>8</v>
      </c>
      <c r="G154" s="43">
        <v>12</v>
      </c>
      <c r="H154" s="43">
        <v>14</v>
      </c>
      <c r="I154" s="43">
        <v>16</v>
      </c>
      <c r="J154" s="43">
        <v>20</v>
      </c>
      <c r="K154" s="1">
        <f t="shared" ref="K154" si="199">(IF(F154="SELL",G154-H154,IF(F154="BUY",H154-G154)))*E154</f>
        <v>2600</v>
      </c>
      <c r="L154" s="43">
        <f>2*1300</f>
        <v>2600</v>
      </c>
      <c r="M154" s="43">
        <f>1300*4</f>
        <v>5200</v>
      </c>
      <c r="N154" s="1">
        <f t="shared" si="159"/>
        <v>8</v>
      </c>
      <c r="O154" s="1">
        <f t="shared" si="160"/>
        <v>10400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 s="32" customFormat="1" ht="15" customHeight="1">
      <c r="A155" s="37">
        <v>44040</v>
      </c>
      <c r="B155" s="57" t="s">
        <v>487</v>
      </c>
      <c r="C155" s="20" t="s">
        <v>47</v>
      </c>
      <c r="D155" s="20">
        <v>420</v>
      </c>
      <c r="E155" s="38">
        <v>2700</v>
      </c>
      <c r="F155" s="20" t="s">
        <v>8</v>
      </c>
      <c r="G155" s="43">
        <v>4.3</v>
      </c>
      <c r="H155" s="43">
        <v>5.3</v>
      </c>
      <c r="I155" s="43">
        <v>0</v>
      </c>
      <c r="J155" s="43">
        <v>0</v>
      </c>
      <c r="K155" s="1">
        <f t="shared" ref="K155:K156" si="200">(IF(F155="SELL",G155-H155,IF(F155="BUY",H155-G155)))*E155</f>
        <v>2700</v>
      </c>
      <c r="L155" s="43">
        <v>0</v>
      </c>
      <c r="M155" s="43">
        <v>0</v>
      </c>
      <c r="N155" s="1">
        <f t="shared" si="159"/>
        <v>1</v>
      </c>
      <c r="O155" s="1">
        <f t="shared" si="160"/>
        <v>2700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 s="32" customFormat="1" ht="15" customHeight="1">
      <c r="A156" s="37">
        <v>44040</v>
      </c>
      <c r="B156" s="57" t="s">
        <v>20</v>
      </c>
      <c r="C156" s="20" t="s">
        <v>47</v>
      </c>
      <c r="D156" s="20">
        <v>970</v>
      </c>
      <c r="E156" s="38">
        <v>1200</v>
      </c>
      <c r="F156" s="20" t="s">
        <v>8</v>
      </c>
      <c r="G156" s="43">
        <v>6.5</v>
      </c>
      <c r="H156" s="43">
        <v>5</v>
      </c>
      <c r="I156" s="43">
        <v>0</v>
      </c>
      <c r="J156" s="43">
        <v>0</v>
      </c>
      <c r="K156" s="1">
        <f t="shared" si="200"/>
        <v>-1800</v>
      </c>
      <c r="L156" s="43">
        <v>0</v>
      </c>
      <c r="M156" s="43">
        <v>0</v>
      </c>
      <c r="N156" s="1">
        <f t="shared" si="159"/>
        <v>-1.5</v>
      </c>
      <c r="O156" s="1">
        <f t="shared" si="160"/>
        <v>-1800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 s="32" customFormat="1" ht="15" customHeight="1">
      <c r="A157" s="37">
        <v>44040</v>
      </c>
      <c r="B157" s="57" t="s">
        <v>128</v>
      </c>
      <c r="C157" s="20" t="s">
        <v>47</v>
      </c>
      <c r="D157" s="20">
        <v>1350</v>
      </c>
      <c r="E157" s="38">
        <v>400</v>
      </c>
      <c r="F157" s="20" t="s">
        <v>8</v>
      </c>
      <c r="G157" s="43">
        <v>33</v>
      </c>
      <c r="H157" s="43">
        <v>40</v>
      </c>
      <c r="I157" s="43">
        <v>48</v>
      </c>
      <c r="J157" s="43">
        <v>0</v>
      </c>
      <c r="K157" s="1">
        <f t="shared" ref="K157" si="201">(IF(F157="SELL",G157-H157,IF(F157="BUY",H157-G157)))*E157</f>
        <v>2800</v>
      </c>
      <c r="L157" s="43">
        <f>8*400</f>
        <v>3200</v>
      </c>
      <c r="M157" s="43">
        <v>0</v>
      </c>
      <c r="N157" s="1">
        <f t="shared" si="159"/>
        <v>15</v>
      </c>
      <c r="O157" s="1">
        <f t="shared" si="160"/>
        <v>6000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 s="32" customFormat="1" ht="15" customHeight="1">
      <c r="A158" s="37">
        <v>44039</v>
      </c>
      <c r="B158" s="57" t="s">
        <v>363</v>
      </c>
      <c r="C158" s="20" t="s">
        <v>47</v>
      </c>
      <c r="D158" s="20">
        <v>1500</v>
      </c>
      <c r="E158" s="38">
        <v>750</v>
      </c>
      <c r="F158" s="20" t="s">
        <v>8</v>
      </c>
      <c r="G158" s="43">
        <v>4.5</v>
      </c>
      <c r="H158" s="43">
        <v>7.5</v>
      </c>
      <c r="I158" s="43">
        <v>0</v>
      </c>
      <c r="J158" s="43">
        <v>0</v>
      </c>
      <c r="K158" s="1">
        <f t="shared" ref="K158" si="202">(IF(F158="SELL",G158-H158,IF(F158="BUY",H158-G158)))*E158</f>
        <v>2250</v>
      </c>
      <c r="L158" s="43">
        <v>0</v>
      </c>
      <c r="M158" s="43">
        <v>0</v>
      </c>
      <c r="N158" s="1">
        <f t="shared" si="159"/>
        <v>3</v>
      </c>
      <c r="O158" s="1">
        <f t="shared" si="160"/>
        <v>2250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s="32" customFormat="1" ht="15" customHeight="1">
      <c r="A159" s="37">
        <v>44039</v>
      </c>
      <c r="B159" s="57" t="s">
        <v>386</v>
      </c>
      <c r="C159" s="20" t="s">
        <v>47</v>
      </c>
      <c r="D159" s="20">
        <v>1100</v>
      </c>
      <c r="E159" s="38">
        <v>750</v>
      </c>
      <c r="F159" s="20" t="s">
        <v>8</v>
      </c>
      <c r="G159" s="43">
        <v>10.199999999999999</v>
      </c>
      <c r="H159" s="43">
        <v>6.5</v>
      </c>
      <c r="I159" s="43">
        <v>0</v>
      </c>
      <c r="J159" s="43">
        <v>0</v>
      </c>
      <c r="K159" s="1">
        <f t="shared" ref="K159" si="203">(IF(F159="SELL",G159-H159,IF(F159="BUY",H159-G159)))*E159</f>
        <v>-2774.9999999999995</v>
      </c>
      <c r="L159" s="43">
        <v>0</v>
      </c>
      <c r="M159" s="43">
        <v>0</v>
      </c>
      <c r="N159" s="1">
        <f t="shared" si="159"/>
        <v>-3.6999999999999993</v>
      </c>
      <c r="O159" s="1">
        <f t="shared" si="160"/>
        <v>-2774.9999999999995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 s="32" customFormat="1" ht="15" customHeight="1">
      <c r="A160" s="37">
        <v>44039</v>
      </c>
      <c r="B160" s="57" t="s">
        <v>332</v>
      </c>
      <c r="C160" s="20" t="s">
        <v>47</v>
      </c>
      <c r="D160" s="20">
        <v>700</v>
      </c>
      <c r="E160" s="38">
        <v>1200</v>
      </c>
      <c r="F160" s="20" t="s">
        <v>8</v>
      </c>
      <c r="G160" s="43">
        <v>9.5</v>
      </c>
      <c r="H160" s="43">
        <v>9.5</v>
      </c>
      <c r="I160" s="43">
        <v>0</v>
      </c>
      <c r="J160" s="43">
        <v>0</v>
      </c>
      <c r="K160" s="1">
        <f t="shared" ref="K160" si="204">(IF(F160="SELL",G160-H160,IF(F160="BUY",H160-G160)))*E160</f>
        <v>0</v>
      </c>
      <c r="L160" s="43">
        <v>0</v>
      </c>
      <c r="M160" s="43">
        <v>0</v>
      </c>
      <c r="N160" s="1">
        <f t="shared" si="159"/>
        <v>0</v>
      </c>
      <c r="O160" s="1">
        <f t="shared" si="160"/>
        <v>0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 s="32" customFormat="1" ht="15" customHeight="1">
      <c r="A161" s="37">
        <v>44036</v>
      </c>
      <c r="B161" s="57" t="s">
        <v>17</v>
      </c>
      <c r="C161" s="20" t="s">
        <v>46</v>
      </c>
      <c r="D161" s="20">
        <v>440</v>
      </c>
      <c r="E161" s="38">
        <v>1200</v>
      </c>
      <c r="F161" s="20" t="s">
        <v>8</v>
      </c>
      <c r="G161" s="43">
        <v>9.5</v>
      </c>
      <c r="H161" s="43">
        <v>11.5</v>
      </c>
      <c r="I161" s="43">
        <v>0</v>
      </c>
      <c r="J161" s="43">
        <v>0</v>
      </c>
      <c r="K161" s="1">
        <f t="shared" ref="K161" si="205">(IF(F161="SELL",G161-H161,IF(F161="BUY",H161-G161)))*E161</f>
        <v>2400</v>
      </c>
      <c r="L161" s="43">
        <v>0</v>
      </c>
      <c r="M161" s="43">
        <v>0</v>
      </c>
      <c r="N161" s="1">
        <f t="shared" si="159"/>
        <v>2</v>
      </c>
      <c r="O161" s="1">
        <f t="shared" si="160"/>
        <v>2400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 s="32" customFormat="1" ht="15" customHeight="1">
      <c r="A162" s="37">
        <v>44036</v>
      </c>
      <c r="B162" s="57" t="s">
        <v>466</v>
      </c>
      <c r="C162" s="20" t="s">
        <v>46</v>
      </c>
      <c r="D162" s="20">
        <v>370</v>
      </c>
      <c r="E162" s="38">
        <v>1375</v>
      </c>
      <c r="F162" s="20" t="s">
        <v>8</v>
      </c>
      <c r="G162" s="43">
        <v>8.8000000000000007</v>
      </c>
      <c r="H162" s="43">
        <v>10.8</v>
      </c>
      <c r="I162" s="43">
        <v>0</v>
      </c>
      <c r="J162" s="43">
        <v>0</v>
      </c>
      <c r="K162" s="1">
        <f t="shared" ref="K162" si="206">(IF(F162="SELL",G162-H162,IF(F162="BUY",H162-G162)))*E162</f>
        <v>2750</v>
      </c>
      <c r="L162" s="43">
        <v>0</v>
      </c>
      <c r="M162" s="43">
        <v>0</v>
      </c>
      <c r="N162" s="1">
        <f t="shared" si="159"/>
        <v>2</v>
      </c>
      <c r="O162" s="1">
        <f t="shared" si="160"/>
        <v>2750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 s="32" customFormat="1" ht="15" customHeight="1">
      <c r="A163" s="37">
        <v>44036</v>
      </c>
      <c r="B163" s="57" t="s">
        <v>20</v>
      </c>
      <c r="C163" s="20" t="s">
        <v>47</v>
      </c>
      <c r="D163" s="20">
        <v>950</v>
      </c>
      <c r="E163" s="38">
        <v>1200</v>
      </c>
      <c r="F163" s="20" t="s">
        <v>8</v>
      </c>
      <c r="G163" s="43">
        <v>8.8000000000000007</v>
      </c>
      <c r="H163" s="43">
        <v>8.8000000000000007</v>
      </c>
      <c r="I163" s="43">
        <v>0</v>
      </c>
      <c r="J163" s="43">
        <v>0</v>
      </c>
      <c r="K163" s="1">
        <f t="shared" ref="K163" si="207">(IF(F163="SELL",G163-H163,IF(F163="BUY",H163-G163)))*E163</f>
        <v>0</v>
      </c>
      <c r="L163" s="43">
        <v>0</v>
      </c>
      <c r="M163" s="43">
        <v>0</v>
      </c>
      <c r="N163" s="1">
        <f t="shared" si="159"/>
        <v>0</v>
      </c>
      <c r="O163" s="1">
        <f t="shared" si="160"/>
        <v>0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 s="32" customFormat="1" ht="15" customHeight="1">
      <c r="A164" s="37">
        <v>44035</v>
      </c>
      <c r="B164" s="57" t="s">
        <v>493</v>
      </c>
      <c r="C164" s="20" t="s">
        <v>47</v>
      </c>
      <c r="D164" s="20">
        <v>1060</v>
      </c>
      <c r="E164" s="38">
        <v>600</v>
      </c>
      <c r="F164" s="20" t="s">
        <v>8</v>
      </c>
      <c r="G164" s="43">
        <v>15.5</v>
      </c>
      <c r="H164" s="43">
        <v>19.5</v>
      </c>
      <c r="I164" s="43">
        <v>25</v>
      </c>
      <c r="J164" s="43">
        <v>0</v>
      </c>
      <c r="K164" s="1">
        <f t="shared" ref="K164" si="208">(IF(F164="SELL",G164-H164,IF(F164="BUY",H164-G164)))*E164</f>
        <v>2400</v>
      </c>
      <c r="L164" s="43">
        <f>4.5*600</f>
        <v>2700</v>
      </c>
      <c r="M164" s="43">
        <v>0</v>
      </c>
      <c r="N164" s="1">
        <f t="shared" si="159"/>
        <v>8.5</v>
      </c>
      <c r="O164" s="1">
        <f t="shared" si="160"/>
        <v>5100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s="32" customFormat="1" ht="15" customHeight="1">
      <c r="A165" s="37">
        <v>44035</v>
      </c>
      <c r="B165" s="57" t="s">
        <v>208</v>
      </c>
      <c r="C165" s="20" t="s">
        <v>47</v>
      </c>
      <c r="D165" s="20">
        <v>2400</v>
      </c>
      <c r="E165" s="38">
        <v>400</v>
      </c>
      <c r="F165" s="20" t="s">
        <v>8</v>
      </c>
      <c r="G165" s="43">
        <v>24</v>
      </c>
      <c r="H165" s="43">
        <v>32</v>
      </c>
      <c r="I165" s="43">
        <v>42</v>
      </c>
      <c r="J165" s="43">
        <v>55</v>
      </c>
      <c r="K165" s="1">
        <f t="shared" ref="K165" si="209">(IF(F165="SELL",G165-H165,IF(F165="BUY",H165-G165)))*E165</f>
        <v>3200</v>
      </c>
      <c r="L165" s="43">
        <v>4000</v>
      </c>
      <c r="M165" s="43">
        <f>13*400</f>
        <v>5200</v>
      </c>
      <c r="N165" s="1">
        <f t="shared" si="159"/>
        <v>31</v>
      </c>
      <c r="O165" s="1">
        <f t="shared" si="160"/>
        <v>12400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s="32" customFormat="1" ht="15" customHeight="1">
      <c r="A166" s="37">
        <v>44034</v>
      </c>
      <c r="B166" s="57" t="s">
        <v>96</v>
      </c>
      <c r="C166" s="20" t="s">
        <v>47</v>
      </c>
      <c r="D166" s="20">
        <v>630</v>
      </c>
      <c r="E166" s="38">
        <v>1400</v>
      </c>
      <c r="F166" s="20" t="s">
        <v>8</v>
      </c>
      <c r="G166" s="43">
        <v>5</v>
      </c>
      <c r="H166" s="43">
        <v>7</v>
      </c>
      <c r="I166" s="43">
        <v>0</v>
      </c>
      <c r="J166" s="43">
        <v>0</v>
      </c>
      <c r="K166" s="1">
        <f t="shared" ref="K166" si="210">(IF(F166="SELL",G166-H166,IF(F166="BUY",H166-G166)))*E166</f>
        <v>2800</v>
      </c>
      <c r="L166" s="43">
        <f>300*14</f>
        <v>4200</v>
      </c>
      <c r="M166" s="43">
        <v>0</v>
      </c>
      <c r="N166" s="1">
        <f t="shared" si="159"/>
        <v>5</v>
      </c>
      <c r="O166" s="1">
        <f t="shared" si="160"/>
        <v>7000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 s="32" customFormat="1" ht="15" customHeight="1">
      <c r="A167" s="37">
        <v>44034</v>
      </c>
      <c r="B167" s="57" t="s">
        <v>26</v>
      </c>
      <c r="C167" s="20" t="s">
        <v>47</v>
      </c>
      <c r="D167" s="20">
        <v>390</v>
      </c>
      <c r="E167" s="38">
        <v>1700</v>
      </c>
      <c r="F167" s="20" t="s">
        <v>8</v>
      </c>
      <c r="G167" s="43">
        <v>3.4</v>
      </c>
      <c r="H167" s="43">
        <v>2.2999999999999998</v>
      </c>
      <c r="I167" s="43">
        <v>0</v>
      </c>
      <c r="J167" s="43">
        <v>0</v>
      </c>
      <c r="K167" s="1">
        <f t="shared" ref="K167" si="211">(IF(F167="SELL",G167-H167,IF(F167="BUY",H167-G167)))*E167</f>
        <v>-1870.0000000000002</v>
      </c>
      <c r="L167" s="43">
        <v>0</v>
      </c>
      <c r="M167" s="43">
        <v>0</v>
      </c>
      <c r="N167" s="1">
        <f t="shared" si="159"/>
        <v>-1.1000000000000001</v>
      </c>
      <c r="O167" s="1">
        <f t="shared" si="160"/>
        <v>-1870.0000000000002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:33" s="32" customFormat="1" ht="15" customHeight="1">
      <c r="A168" s="37">
        <v>44034</v>
      </c>
      <c r="B168" s="57" t="s">
        <v>415</v>
      </c>
      <c r="C168" s="20" t="s">
        <v>46</v>
      </c>
      <c r="D168" s="20">
        <v>2700</v>
      </c>
      <c r="E168" s="38">
        <v>300</v>
      </c>
      <c r="F168" s="20" t="s">
        <v>8</v>
      </c>
      <c r="G168" s="43">
        <v>38</v>
      </c>
      <c r="H168" s="43">
        <v>46</v>
      </c>
      <c r="I168" s="43">
        <v>0</v>
      </c>
      <c r="J168" s="43">
        <v>0</v>
      </c>
      <c r="K168" s="1">
        <f t="shared" ref="K168" si="212">(IF(F168="SELL",G168-H168,IF(F168="BUY",H168-G168)))*E168</f>
        <v>2400</v>
      </c>
      <c r="L168" s="43">
        <v>0</v>
      </c>
      <c r="M168" s="43">
        <v>0</v>
      </c>
      <c r="N168" s="1">
        <f t="shared" si="159"/>
        <v>8</v>
      </c>
      <c r="O168" s="1">
        <f t="shared" si="160"/>
        <v>2400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:33" s="32" customFormat="1" ht="15" customHeight="1">
      <c r="A169" s="37">
        <v>44033</v>
      </c>
      <c r="B169" s="57" t="s">
        <v>122</v>
      </c>
      <c r="C169" s="20" t="s">
        <v>47</v>
      </c>
      <c r="D169" s="20">
        <v>1850</v>
      </c>
      <c r="E169" s="38">
        <v>300</v>
      </c>
      <c r="F169" s="20" t="s">
        <v>8</v>
      </c>
      <c r="G169" s="43">
        <v>53</v>
      </c>
      <c r="H169" s="43">
        <v>61</v>
      </c>
      <c r="I169" s="43">
        <v>75</v>
      </c>
      <c r="J169" s="43">
        <v>0</v>
      </c>
      <c r="K169" s="1">
        <f t="shared" ref="K169" si="213">(IF(F169="SELL",G169-H169,IF(F169="BUY",H169-G169)))*E169</f>
        <v>2400</v>
      </c>
      <c r="L169" s="43">
        <f>300*14</f>
        <v>4200</v>
      </c>
      <c r="M169" s="43">
        <v>0</v>
      </c>
      <c r="N169" s="1">
        <f t="shared" si="159"/>
        <v>22</v>
      </c>
      <c r="O169" s="1">
        <f t="shared" si="160"/>
        <v>6600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s="32" customFormat="1" ht="15" customHeight="1">
      <c r="A170" s="37">
        <v>44033</v>
      </c>
      <c r="B170" s="57" t="s">
        <v>423</v>
      </c>
      <c r="C170" s="20" t="s">
        <v>46</v>
      </c>
      <c r="D170" s="20">
        <v>780</v>
      </c>
      <c r="E170" s="38">
        <v>1300</v>
      </c>
      <c r="F170" s="20" t="s">
        <v>8</v>
      </c>
      <c r="G170" s="43">
        <v>9.5</v>
      </c>
      <c r="H170" s="43">
        <v>12</v>
      </c>
      <c r="I170" s="43">
        <v>0</v>
      </c>
      <c r="J170" s="43">
        <v>0</v>
      </c>
      <c r="K170" s="1">
        <f t="shared" ref="K170" si="214">(IF(F170="SELL",G170-H170,IF(F170="BUY",H170-G170)))*E170</f>
        <v>3250</v>
      </c>
      <c r="L170" s="43">
        <v>0</v>
      </c>
      <c r="M170" s="43">
        <v>0</v>
      </c>
      <c r="N170" s="1">
        <f t="shared" si="159"/>
        <v>2.5</v>
      </c>
      <c r="O170" s="1">
        <f t="shared" si="160"/>
        <v>3250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:33" s="32" customFormat="1" ht="15" customHeight="1">
      <c r="A171" s="37">
        <v>44032</v>
      </c>
      <c r="B171" s="57" t="s">
        <v>415</v>
      </c>
      <c r="C171" s="20" t="s">
        <v>47</v>
      </c>
      <c r="D171" s="20">
        <v>2800</v>
      </c>
      <c r="E171" s="38">
        <v>300</v>
      </c>
      <c r="F171" s="20" t="s">
        <v>8</v>
      </c>
      <c r="G171" s="43">
        <v>62</v>
      </c>
      <c r="H171" s="43">
        <v>72</v>
      </c>
      <c r="I171" s="43">
        <v>85</v>
      </c>
      <c r="J171" s="43">
        <v>0</v>
      </c>
      <c r="K171" s="1">
        <f t="shared" ref="K171" si="215">(IF(F171="SELL",G171-H171,IF(F171="BUY",H171-G171)))*E171</f>
        <v>3000</v>
      </c>
      <c r="L171" s="43">
        <f>15*300</f>
        <v>4500</v>
      </c>
      <c r="M171" s="43">
        <v>0</v>
      </c>
      <c r="N171" s="1">
        <f t="shared" si="159"/>
        <v>25</v>
      </c>
      <c r="O171" s="1">
        <f t="shared" si="160"/>
        <v>7500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:33" s="32" customFormat="1" ht="15" customHeight="1">
      <c r="A172" s="37">
        <v>44032</v>
      </c>
      <c r="B172" s="57" t="s">
        <v>428</v>
      </c>
      <c r="C172" s="20" t="s">
        <v>47</v>
      </c>
      <c r="D172" s="20">
        <v>380</v>
      </c>
      <c r="E172" s="38">
        <v>800</v>
      </c>
      <c r="F172" s="20" t="s">
        <v>8</v>
      </c>
      <c r="G172" s="43">
        <v>12</v>
      </c>
      <c r="H172" s="43">
        <v>14.95</v>
      </c>
      <c r="I172" s="43">
        <v>0</v>
      </c>
      <c r="J172" s="43">
        <v>0</v>
      </c>
      <c r="K172" s="1">
        <f t="shared" ref="K172" si="216">(IF(F172="SELL",G172-H172,IF(F172="BUY",H172-G172)))*E172</f>
        <v>2359.9999999999995</v>
      </c>
      <c r="L172" s="43">
        <v>0</v>
      </c>
      <c r="M172" s="43">
        <v>0</v>
      </c>
      <c r="N172" s="1">
        <f t="shared" si="159"/>
        <v>2.9499999999999993</v>
      </c>
      <c r="O172" s="1">
        <f t="shared" si="160"/>
        <v>2359.9999999999995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:33" s="32" customFormat="1" ht="15" customHeight="1">
      <c r="A173" s="37">
        <v>44029</v>
      </c>
      <c r="B173" s="57" t="s">
        <v>26</v>
      </c>
      <c r="C173" s="20" t="s">
        <v>47</v>
      </c>
      <c r="D173" s="20">
        <v>380</v>
      </c>
      <c r="E173" s="38">
        <v>1700</v>
      </c>
      <c r="F173" s="20" t="s">
        <v>8</v>
      </c>
      <c r="G173" s="43">
        <v>6.3</v>
      </c>
      <c r="H173" s="43">
        <v>4.8</v>
      </c>
      <c r="I173" s="43">
        <v>0</v>
      </c>
      <c r="J173" s="43">
        <v>0</v>
      </c>
      <c r="K173" s="1">
        <f t="shared" ref="K173" si="217">(IF(F173="SELL",G173-H173,IF(F173="BUY",H173-G173)))*E173</f>
        <v>-2550</v>
      </c>
      <c r="L173" s="43">
        <v>0</v>
      </c>
      <c r="M173" s="43">
        <v>0</v>
      </c>
      <c r="N173" s="1">
        <f t="shared" si="159"/>
        <v>-1.5</v>
      </c>
      <c r="O173" s="1">
        <f t="shared" si="160"/>
        <v>-2550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:33" s="32" customFormat="1" ht="15" customHeight="1">
      <c r="A174" s="37">
        <v>44029</v>
      </c>
      <c r="B174" s="57" t="s">
        <v>20</v>
      </c>
      <c r="C174" s="20" t="s">
        <v>46</v>
      </c>
      <c r="D174" s="20">
        <v>860</v>
      </c>
      <c r="E174" s="38">
        <v>1200</v>
      </c>
      <c r="F174" s="20" t="s">
        <v>8</v>
      </c>
      <c r="G174" s="43">
        <v>11.8</v>
      </c>
      <c r="H174" s="43">
        <v>9.5</v>
      </c>
      <c r="I174" s="43">
        <v>0</v>
      </c>
      <c r="J174" s="43">
        <v>0</v>
      </c>
      <c r="K174" s="1">
        <f t="shared" ref="K174" si="218">(IF(F174="SELL",G174-H174,IF(F174="BUY",H174-G174)))*E174</f>
        <v>-2760.0000000000009</v>
      </c>
      <c r="L174" s="43">
        <v>0</v>
      </c>
      <c r="M174" s="43">
        <v>0</v>
      </c>
      <c r="N174" s="1">
        <f t="shared" si="159"/>
        <v>-2.3000000000000007</v>
      </c>
      <c r="O174" s="1">
        <f t="shared" si="160"/>
        <v>-2760.0000000000009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:33" s="32" customFormat="1" ht="15" customHeight="1">
      <c r="A175" s="37">
        <v>44029</v>
      </c>
      <c r="B175" s="57" t="s">
        <v>492</v>
      </c>
      <c r="C175" s="20" t="s">
        <v>47</v>
      </c>
      <c r="D175" s="20">
        <v>600</v>
      </c>
      <c r="E175" s="38">
        <v>1100</v>
      </c>
      <c r="F175" s="20" t="s">
        <v>8</v>
      </c>
      <c r="G175" s="43">
        <v>21.5</v>
      </c>
      <c r="H175" s="43">
        <v>23.5</v>
      </c>
      <c r="I175" s="43">
        <v>25.5</v>
      </c>
      <c r="J175" s="43">
        <v>0</v>
      </c>
      <c r="K175" s="1">
        <f t="shared" ref="K175" si="219">(IF(F175="SELL",G175-H175,IF(F175="BUY",H175-G175)))*E175</f>
        <v>2200</v>
      </c>
      <c r="L175" s="43">
        <v>2200</v>
      </c>
      <c r="M175" s="43">
        <v>0</v>
      </c>
      <c r="N175" s="1">
        <f t="shared" si="159"/>
        <v>4</v>
      </c>
      <c r="O175" s="1">
        <f t="shared" si="160"/>
        <v>4400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:33" s="32" customFormat="1" ht="15" customHeight="1">
      <c r="A176" s="37">
        <v>44028</v>
      </c>
      <c r="B176" s="57" t="s">
        <v>75</v>
      </c>
      <c r="C176" s="20" t="s">
        <v>47</v>
      </c>
      <c r="D176" s="20">
        <v>1600</v>
      </c>
      <c r="E176" s="38">
        <v>500</v>
      </c>
      <c r="F176" s="20" t="s">
        <v>8</v>
      </c>
      <c r="G176" s="43">
        <v>17</v>
      </c>
      <c r="H176" s="43">
        <v>12</v>
      </c>
      <c r="I176" s="43">
        <v>0</v>
      </c>
      <c r="J176" s="43">
        <v>0</v>
      </c>
      <c r="K176" s="1">
        <f t="shared" ref="K176" si="220">(IF(F176="SELL",G176-H176,IF(F176="BUY",H176-G176)))*E176</f>
        <v>-2500</v>
      </c>
      <c r="L176" s="43">
        <v>0</v>
      </c>
      <c r="M176" s="43">
        <v>0</v>
      </c>
      <c r="N176" s="1">
        <f t="shared" si="159"/>
        <v>-5</v>
      </c>
      <c r="O176" s="1">
        <f t="shared" si="160"/>
        <v>-2500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:33" s="32" customFormat="1" ht="15" customHeight="1">
      <c r="A177" s="37">
        <v>44028</v>
      </c>
      <c r="B177" s="57" t="s">
        <v>38</v>
      </c>
      <c r="C177" s="20" t="s">
        <v>47</v>
      </c>
      <c r="D177" s="20">
        <v>6200</v>
      </c>
      <c r="E177" s="38">
        <v>100</v>
      </c>
      <c r="F177" s="20" t="s">
        <v>8</v>
      </c>
      <c r="G177" s="43">
        <v>98</v>
      </c>
      <c r="H177" s="43">
        <v>98</v>
      </c>
      <c r="I177" s="43">
        <v>0</v>
      </c>
      <c r="J177" s="43">
        <v>0</v>
      </c>
      <c r="K177" s="1">
        <f t="shared" ref="K177" si="221">(IF(F177="SELL",G177-H177,IF(F177="BUY",H177-G177)))*E177</f>
        <v>0</v>
      </c>
      <c r="L177" s="43">
        <v>0</v>
      </c>
      <c r="M177" s="43">
        <v>0</v>
      </c>
      <c r="N177" s="1">
        <f t="shared" ref="N177:N240" si="222">(L177+K177+M177)/E177</f>
        <v>0</v>
      </c>
      <c r="O177" s="1">
        <f t="shared" ref="O177:O240" si="223">N177*E177</f>
        <v>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:33" s="32" customFormat="1" ht="15" customHeight="1">
      <c r="A178" s="37">
        <v>44028</v>
      </c>
      <c r="B178" s="57" t="s">
        <v>391</v>
      </c>
      <c r="C178" s="20" t="s">
        <v>47</v>
      </c>
      <c r="D178" s="20">
        <v>520</v>
      </c>
      <c r="E178" s="38">
        <v>1400</v>
      </c>
      <c r="F178" s="20" t="s">
        <v>8</v>
      </c>
      <c r="G178" s="43">
        <v>11.8</v>
      </c>
      <c r="H178" s="43">
        <v>11.8</v>
      </c>
      <c r="I178" s="43">
        <v>0</v>
      </c>
      <c r="J178" s="43">
        <v>0</v>
      </c>
      <c r="K178" s="1">
        <f t="shared" ref="K178" si="224">(IF(F178="SELL",G178-H178,IF(F178="BUY",H178-G178)))*E178</f>
        <v>0</v>
      </c>
      <c r="L178" s="43">
        <v>0</v>
      </c>
      <c r="M178" s="43">
        <v>0</v>
      </c>
      <c r="N178" s="1">
        <f t="shared" si="222"/>
        <v>0</v>
      </c>
      <c r="O178" s="1">
        <f t="shared" si="223"/>
        <v>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:33" s="32" customFormat="1" ht="15" customHeight="1">
      <c r="A179" s="37">
        <v>44027</v>
      </c>
      <c r="B179" s="57" t="s">
        <v>37</v>
      </c>
      <c r="C179" s="20" t="s">
        <v>47</v>
      </c>
      <c r="D179" s="20">
        <v>2300</v>
      </c>
      <c r="E179" s="38">
        <v>250</v>
      </c>
      <c r="F179" s="20" t="s">
        <v>8</v>
      </c>
      <c r="G179" s="43">
        <v>31</v>
      </c>
      <c r="H179" s="43">
        <v>40</v>
      </c>
      <c r="I179" s="43">
        <v>0</v>
      </c>
      <c r="J179" s="43">
        <v>0</v>
      </c>
      <c r="K179" s="1">
        <f t="shared" ref="K179" si="225">(IF(F179="SELL",G179-H179,IF(F179="BUY",H179-G179)))*E179</f>
        <v>2250</v>
      </c>
      <c r="L179" s="43">
        <v>0</v>
      </c>
      <c r="M179" s="43">
        <v>0</v>
      </c>
      <c r="N179" s="1">
        <f t="shared" si="222"/>
        <v>9</v>
      </c>
      <c r="O179" s="1">
        <f t="shared" si="223"/>
        <v>2250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:33" s="32" customFormat="1" ht="15" customHeight="1">
      <c r="A180" s="37">
        <v>44027</v>
      </c>
      <c r="B180" s="57" t="s">
        <v>13</v>
      </c>
      <c r="C180" s="20" t="s">
        <v>47</v>
      </c>
      <c r="D180" s="20">
        <v>650</v>
      </c>
      <c r="E180" s="38">
        <v>1400</v>
      </c>
      <c r="F180" s="20" t="s">
        <v>8</v>
      </c>
      <c r="G180" s="43">
        <v>8</v>
      </c>
      <c r="H180" s="43">
        <v>10.5</v>
      </c>
      <c r="I180" s="43">
        <v>13</v>
      </c>
      <c r="J180" s="43">
        <v>0</v>
      </c>
      <c r="K180" s="1">
        <f t="shared" ref="K180" si="226">(IF(F180="SELL",G180-H180,IF(F180="BUY",H180-G180)))*E180</f>
        <v>3500</v>
      </c>
      <c r="L180" s="43">
        <f>E180*2.5</f>
        <v>3500</v>
      </c>
      <c r="M180" s="43">
        <v>0</v>
      </c>
      <c r="N180" s="1">
        <f t="shared" si="222"/>
        <v>5</v>
      </c>
      <c r="O180" s="1">
        <f t="shared" si="223"/>
        <v>7000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:33" s="32" customFormat="1" ht="15" customHeight="1">
      <c r="A181" s="37">
        <v>44027</v>
      </c>
      <c r="B181" s="57" t="s">
        <v>75</v>
      </c>
      <c r="C181" s="20" t="s">
        <v>47</v>
      </c>
      <c r="D181" s="20">
        <v>1600</v>
      </c>
      <c r="E181" s="38">
        <v>500</v>
      </c>
      <c r="F181" s="20" t="s">
        <v>8</v>
      </c>
      <c r="G181" s="43">
        <v>15.5</v>
      </c>
      <c r="H181" s="43">
        <v>15.5</v>
      </c>
      <c r="I181" s="43">
        <v>0</v>
      </c>
      <c r="J181" s="43">
        <v>0</v>
      </c>
      <c r="K181" s="1">
        <f t="shared" ref="K181" si="227">(IF(F181="SELL",G181-H181,IF(F181="BUY",H181-G181)))*E181</f>
        <v>0</v>
      </c>
      <c r="L181" s="43">
        <v>0</v>
      </c>
      <c r="M181" s="43">
        <v>0</v>
      </c>
      <c r="N181" s="1">
        <f t="shared" si="222"/>
        <v>0</v>
      </c>
      <c r="O181" s="1">
        <f t="shared" si="223"/>
        <v>0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:33" s="32" customFormat="1" ht="15" customHeight="1">
      <c r="A182" s="37">
        <v>44026</v>
      </c>
      <c r="B182" s="57" t="s">
        <v>98</v>
      </c>
      <c r="C182" s="20" t="s">
        <v>47</v>
      </c>
      <c r="D182" s="20">
        <v>490</v>
      </c>
      <c r="E182" s="38">
        <v>2300</v>
      </c>
      <c r="F182" s="20" t="s">
        <v>8</v>
      </c>
      <c r="G182" s="43">
        <v>5.3</v>
      </c>
      <c r="H182" s="43">
        <v>6.3</v>
      </c>
      <c r="I182" s="43">
        <v>0</v>
      </c>
      <c r="J182" s="43">
        <v>0</v>
      </c>
      <c r="K182" s="1">
        <f t="shared" ref="K182" si="228">(IF(F182="SELL",G182-H182,IF(F182="BUY",H182-G182)))*E182</f>
        <v>2300</v>
      </c>
      <c r="L182" s="43">
        <v>0</v>
      </c>
      <c r="M182" s="43">
        <v>0</v>
      </c>
      <c r="N182" s="1">
        <f t="shared" si="222"/>
        <v>1</v>
      </c>
      <c r="O182" s="1">
        <f t="shared" si="223"/>
        <v>2300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s="32" customFormat="1" ht="15" customHeight="1">
      <c r="A183" s="37">
        <v>44026</v>
      </c>
      <c r="B183" s="57" t="s">
        <v>104</v>
      </c>
      <c r="C183" s="20" t="s">
        <v>47</v>
      </c>
      <c r="D183" s="20">
        <v>920</v>
      </c>
      <c r="E183" s="38">
        <v>850</v>
      </c>
      <c r="F183" s="20" t="s">
        <v>8</v>
      </c>
      <c r="G183" s="43">
        <v>18.2</v>
      </c>
      <c r="H183" s="43">
        <v>20.2</v>
      </c>
      <c r="I183" s="43">
        <v>0</v>
      </c>
      <c r="J183" s="43">
        <v>0</v>
      </c>
      <c r="K183" s="1">
        <f t="shared" ref="K183" si="229">(IF(F183="SELL",G183-H183,IF(F183="BUY",H183-G183)))*E183</f>
        <v>1700</v>
      </c>
      <c r="L183" s="43">
        <v>0</v>
      </c>
      <c r="M183" s="43">
        <v>0</v>
      </c>
      <c r="N183" s="1">
        <f t="shared" si="222"/>
        <v>2</v>
      </c>
      <c r="O183" s="1">
        <f t="shared" si="223"/>
        <v>1700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:33" s="32" customFormat="1" ht="15" customHeight="1">
      <c r="A184" s="37">
        <v>44026</v>
      </c>
      <c r="B184" s="57" t="s">
        <v>492</v>
      </c>
      <c r="C184" s="20" t="s">
        <v>47</v>
      </c>
      <c r="D184" s="20">
        <v>650</v>
      </c>
      <c r="E184" s="38">
        <v>1100</v>
      </c>
      <c r="F184" s="20" t="s">
        <v>8</v>
      </c>
      <c r="G184" s="43">
        <v>6.2</v>
      </c>
      <c r="H184" s="43">
        <v>5.2</v>
      </c>
      <c r="I184" s="43">
        <v>0</v>
      </c>
      <c r="J184" s="43">
        <v>0</v>
      </c>
      <c r="K184" s="1">
        <f t="shared" ref="K184" si="230">(IF(F184="SELL",G184-H184,IF(F184="BUY",H184-G184)))*E184</f>
        <v>-1100</v>
      </c>
      <c r="L184" s="43">
        <v>0</v>
      </c>
      <c r="M184" s="43">
        <v>0</v>
      </c>
      <c r="N184" s="1">
        <f t="shared" si="222"/>
        <v>-1</v>
      </c>
      <c r="O184" s="1">
        <f t="shared" si="223"/>
        <v>-1100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:33" s="32" customFormat="1" ht="15" customHeight="1">
      <c r="A185" s="37">
        <v>44025</v>
      </c>
      <c r="B185" s="57" t="s">
        <v>75</v>
      </c>
      <c r="C185" s="20" t="s">
        <v>47</v>
      </c>
      <c r="D185" s="20">
        <v>1500</v>
      </c>
      <c r="E185" s="38">
        <v>500</v>
      </c>
      <c r="F185" s="20" t="s">
        <v>8</v>
      </c>
      <c r="G185" s="43">
        <v>36</v>
      </c>
      <c r="H185" s="43">
        <v>40</v>
      </c>
      <c r="I185" s="43">
        <v>0</v>
      </c>
      <c r="J185" s="43">
        <v>0</v>
      </c>
      <c r="K185" s="1">
        <f t="shared" ref="K185" si="231">(IF(F185="SELL",G185-H185,IF(F185="BUY",H185-G185)))*E185</f>
        <v>2000</v>
      </c>
      <c r="L185" s="43">
        <v>0</v>
      </c>
      <c r="M185" s="43">
        <v>0</v>
      </c>
      <c r="N185" s="1">
        <f t="shared" si="222"/>
        <v>4</v>
      </c>
      <c r="O185" s="1">
        <f t="shared" si="223"/>
        <v>2000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:33" s="32" customFormat="1" ht="15" customHeight="1">
      <c r="A186" s="37">
        <v>44025</v>
      </c>
      <c r="B186" s="57" t="s">
        <v>336</v>
      </c>
      <c r="C186" s="20" t="s">
        <v>47</v>
      </c>
      <c r="D186" s="20">
        <v>660</v>
      </c>
      <c r="E186" s="38">
        <v>1250</v>
      </c>
      <c r="F186" s="20" t="s">
        <v>8</v>
      </c>
      <c r="G186" s="43">
        <v>18.5</v>
      </c>
      <c r="H186" s="43">
        <v>20.7</v>
      </c>
      <c r="I186" s="43">
        <v>0</v>
      </c>
      <c r="J186" s="43">
        <v>0</v>
      </c>
      <c r="K186" s="1">
        <f t="shared" ref="K186" si="232">(IF(F186="SELL",G186-H186,IF(F186="BUY",H186-G186)))*E186</f>
        <v>2749.9999999999991</v>
      </c>
      <c r="L186" s="43">
        <v>0</v>
      </c>
      <c r="M186" s="43">
        <v>0</v>
      </c>
      <c r="N186" s="1">
        <f t="shared" si="222"/>
        <v>2.1999999999999993</v>
      </c>
      <c r="O186" s="1">
        <f t="shared" si="223"/>
        <v>2749.9999999999991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 s="32" customFormat="1" ht="15" customHeight="1">
      <c r="A187" s="37">
        <v>44025</v>
      </c>
      <c r="B187" s="57" t="s">
        <v>39</v>
      </c>
      <c r="C187" s="20" t="s">
        <v>47</v>
      </c>
      <c r="D187" s="20">
        <v>2120</v>
      </c>
      <c r="E187" s="38">
        <v>550</v>
      </c>
      <c r="F187" s="20" t="s">
        <v>8</v>
      </c>
      <c r="G187" s="43">
        <v>30</v>
      </c>
      <c r="H187" s="43">
        <v>23</v>
      </c>
      <c r="I187" s="43">
        <v>0</v>
      </c>
      <c r="J187" s="43">
        <v>0</v>
      </c>
      <c r="K187" s="1">
        <f t="shared" ref="K187" si="233">(IF(F187="SELL",G187-H187,IF(F187="BUY",H187-G187)))*E187</f>
        <v>-3850</v>
      </c>
      <c r="L187" s="43">
        <v>0</v>
      </c>
      <c r="M187" s="43">
        <v>0</v>
      </c>
      <c r="N187" s="1">
        <f t="shared" si="222"/>
        <v>-7</v>
      </c>
      <c r="O187" s="1">
        <f t="shared" si="223"/>
        <v>-3850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s="32" customFormat="1" ht="15" customHeight="1">
      <c r="A188" s="37">
        <v>44022</v>
      </c>
      <c r="B188" s="57" t="s">
        <v>491</v>
      </c>
      <c r="C188" s="20" t="s">
        <v>47</v>
      </c>
      <c r="D188" s="20">
        <v>660</v>
      </c>
      <c r="E188" s="38">
        <v>1250</v>
      </c>
      <c r="F188" s="20" t="s">
        <v>8</v>
      </c>
      <c r="G188" s="43">
        <v>18.5</v>
      </c>
      <c r="H188" s="43">
        <v>20.7</v>
      </c>
      <c r="I188" s="43">
        <v>0</v>
      </c>
      <c r="J188" s="43">
        <v>0</v>
      </c>
      <c r="K188" s="1">
        <f t="shared" ref="K188" si="234">(IF(F188="SELL",G188-H188,IF(F188="BUY",H188-G188)))*E188</f>
        <v>2749.9999999999991</v>
      </c>
      <c r="L188" s="43">
        <v>0</v>
      </c>
      <c r="M188" s="43">
        <v>0</v>
      </c>
      <c r="N188" s="1">
        <f t="shared" si="222"/>
        <v>2.1999999999999993</v>
      </c>
      <c r="O188" s="1">
        <f t="shared" si="223"/>
        <v>2749.9999999999991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 s="32" customFormat="1" ht="15" customHeight="1">
      <c r="A189" s="37">
        <v>44022</v>
      </c>
      <c r="B189" s="57" t="s">
        <v>270</v>
      </c>
      <c r="C189" s="20" t="s">
        <v>47</v>
      </c>
      <c r="D189" s="20">
        <v>190</v>
      </c>
      <c r="E189" s="38">
        <v>5000</v>
      </c>
      <c r="F189" s="20" t="s">
        <v>8</v>
      </c>
      <c r="G189" s="43">
        <v>3.2</v>
      </c>
      <c r="H189" s="43">
        <v>3.95</v>
      </c>
      <c r="I189" s="43">
        <v>0</v>
      </c>
      <c r="J189" s="43">
        <v>0</v>
      </c>
      <c r="K189" s="1">
        <f t="shared" ref="K189:K194" si="235">(IF(F189="SELL",G189-H189,IF(F189="BUY",H189-G189)))*E189</f>
        <v>3750</v>
      </c>
      <c r="L189" s="43">
        <v>0</v>
      </c>
      <c r="M189" s="43">
        <v>0</v>
      </c>
      <c r="N189" s="1">
        <f t="shared" si="222"/>
        <v>0.75</v>
      </c>
      <c r="O189" s="1">
        <f t="shared" si="223"/>
        <v>3750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 s="32" customFormat="1" ht="15" customHeight="1">
      <c r="A190" s="37">
        <v>44021</v>
      </c>
      <c r="B190" s="57" t="s">
        <v>446</v>
      </c>
      <c r="C190" s="20" t="s">
        <v>47</v>
      </c>
      <c r="D190" s="20">
        <v>2240</v>
      </c>
      <c r="E190" s="38">
        <v>300</v>
      </c>
      <c r="F190" s="20" t="s">
        <v>8</v>
      </c>
      <c r="G190" s="43">
        <v>58</v>
      </c>
      <c r="H190" s="43">
        <v>45</v>
      </c>
      <c r="I190" s="43">
        <v>0</v>
      </c>
      <c r="J190" s="43">
        <v>0</v>
      </c>
      <c r="K190" s="1">
        <f t="shared" si="235"/>
        <v>-3900</v>
      </c>
      <c r="L190" s="43">
        <v>0</v>
      </c>
      <c r="M190" s="43">
        <v>0</v>
      </c>
      <c r="N190" s="1">
        <f t="shared" si="222"/>
        <v>-13</v>
      </c>
      <c r="O190" s="1">
        <f t="shared" si="223"/>
        <v>-3900</v>
      </c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 s="32" customFormat="1" ht="15" customHeight="1">
      <c r="A191" s="37">
        <v>44021</v>
      </c>
      <c r="B191" s="57" t="s">
        <v>122</v>
      </c>
      <c r="C191" s="20" t="s">
        <v>47</v>
      </c>
      <c r="D191" s="20">
        <v>1940</v>
      </c>
      <c r="E191" s="38">
        <v>300</v>
      </c>
      <c r="F191" s="20" t="s">
        <v>8</v>
      </c>
      <c r="G191" s="43">
        <v>53</v>
      </c>
      <c r="H191" s="43">
        <v>63</v>
      </c>
      <c r="I191" s="43">
        <v>79</v>
      </c>
      <c r="J191" s="43">
        <v>0</v>
      </c>
      <c r="K191" s="1">
        <f t="shared" ref="K191" si="236">(IF(F191="SELL",G191-H191,IF(F191="BUY",H191-G191)))*E191</f>
        <v>3000</v>
      </c>
      <c r="L191" s="43">
        <f>16*300</f>
        <v>4800</v>
      </c>
      <c r="M191" s="43">
        <v>0</v>
      </c>
      <c r="N191" s="1">
        <f t="shared" si="222"/>
        <v>26</v>
      </c>
      <c r="O191" s="1">
        <f t="shared" si="223"/>
        <v>7800</v>
      </c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 s="32" customFormat="1" ht="15" customHeight="1">
      <c r="A192" s="37">
        <v>44021</v>
      </c>
      <c r="B192" s="57" t="s">
        <v>39</v>
      </c>
      <c r="C192" s="20" t="s">
        <v>47</v>
      </c>
      <c r="D192" s="20">
        <v>1900</v>
      </c>
      <c r="E192" s="38">
        <v>550</v>
      </c>
      <c r="F192" s="20" t="s">
        <v>8</v>
      </c>
      <c r="G192" s="43">
        <v>42</v>
      </c>
      <c r="H192" s="43">
        <v>50</v>
      </c>
      <c r="I192" s="43">
        <v>0</v>
      </c>
      <c r="J192" s="43">
        <v>0</v>
      </c>
      <c r="K192" s="1">
        <f t="shared" si="235"/>
        <v>4400</v>
      </c>
      <c r="L192" s="43">
        <v>0</v>
      </c>
      <c r="M192" s="43">
        <v>0</v>
      </c>
      <c r="N192" s="1">
        <f t="shared" si="222"/>
        <v>8</v>
      </c>
      <c r="O192" s="1">
        <f t="shared" si="223"/>
        <v>4400</v>
      </c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 s="32" customFormat="1" ht="15" customHeight="1">
      <c r="A193" s="37">
        <v>44020</v>
      </c>
      <c r="B193" s="57" t="s">
        <v>458</v>
      </c>
      <c r="C193" s="20" t="s">
        <v>47</v>
      </c>
      <c r="D193" s="20">
        <v>300</v>
      </c>
      <c r="E193" s="38">
        <v>200</v>
      </c>
      <c r="F193" s="20" t="s">
        <v>8</v>
      </c>
      <c r="G193" s="43">
        <v>112</v>
      </c>
      <c r="H193" s="43">
        <v>125</v>
      </c>
      <c r="I193" s="43">
        <v>0</v>
      </c>
      <c r="J193" s="43">
        <v>0</v>
      </c>
      <c r="K193" s="1">
        <f t="shared" ref="K193" si="237">(IF(F193="SELL",G193-H193,IF(F193="BUY",H193-G193)))*E193</f>
        <v>2600</v>
      </c>
      <c r="L193" s="43">
        <v>0</v>
      </c>
      <c r="M193" s="43">
        <v>0</v>
      </c>
      <c r="N193" s="1">
        <f t="shared" si="222"/>
        <v>13</v>
      </c>
      <c r="O193" s="1">
        <f t="shared" si="223"/>
        <v>2600</v>
      </c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 s="32" customFormat="1" ht="15" customHeight="1">
      <c r="A194" s="37">
        <v>44020</v>
      </c>
      <c r="B194" s="57" t="s">
        <v>456</v>
      </c>
      <c r="C194" s="20" t="s">
        <v>47</v>
      </c>
      <c r="D194" s="20">
        <v>1450</v>
      </c>
      <c r="E194" s="38">
        <v>400</v>
      </c>
      <c r="F194" s="20" t="s">
        <v>8</v>
      </c>
      <c r="G194" s="43">
        <v>24.5</v>
      </c>
      <c r="H194" s="43">
        <v>21</v>
      </c>
      <c r="I194" s="43">
        <v>0</v>
      </c>
      <c r="J194" s="43">
        <v>0</v>
      </c>
      <c r="K194" s="1">
        <f t="shared" si="235"/>
        <v>-1400</v>
      </c>
      <c r="L194" s="43">
        <v>0</v>
      </c>
      <c r="M194" s="43">
        <v>0</v>
      </c>
      <c r="N194" s="1">
        <f t="shared" si="222"/>
        <v>-3.5</v>
      </c>
      <c r="O194" s="1">
        <f t="shared" si="223"/>
        <v>-1400</v>
      </c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 s="32" customFormat="1" ht="15" customHeight="1">
      <c r="A195" s="37">
        <v>44019</v>
      </c>
      <c r="B195" s="57" t="s">
        <v>466</v>
      </c>
      <c r="C195" s="20" t="s">
        <v>47</v>
      </c>
      <c r="D195" s="20">
        <v>390</v>
      </c>
      <c r="E195" s="38">
        <v>1375</v>
      </c>
      <c r="F195" s="20" t="s">
        <v>8</v>
      </c>
      <c r="G195" s="43">
        <v>10</v>
      </c>
      <c r="H195" s="43">
        <v>12</v>
      </c>
      <c r="I195" s="43">
        <v>0</v>
      </c>
      <c r="J195" s="43">
        <v>0</v>
      </c>
      <c r="K195" s="1">
        <f t="shared" ref="K195" si="238">(IF(F195="SELL",G195-H195,IF(F195="BUY",H195-G195)))*E195</f>
        <v>2750</v>
      </c>
      <c r="L195" s="43">
        <v>0</v>
      </c>
      <c r="M195" s="43">
        <v>0</v>
      </c>
      <c r="N195" s="1">
        <f t="shared" si="222"/>
        <v>2</v>
      </c>
      <c r="O195" s="1">
        <f t="shared" si="223"/>
        <v>2750</v>
      </c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 s="32" customFormat="1" ht="15" customHeight="1">
      <c r="A196" s="37">
        <v>44019</v>
      </c>
      <c r="B196" s="57" t="s">
        <v>458</v>
      </c>
      <c r="C196" s="20" t="s">
        <v>47</v>
      </c>
      <c r="D196" s="20">
        <v>3700</v>
      </c>
      <c r="E196" s="38">
        <v>200</v>
      </c>
      <c r="F196" s="20" t="s">
        <v>8</v>
      </c>
      <c r="G196" s="43">
        <v>98</v>
      </c>
      <c r="H196" s="43">
        <v>108</v>
      </c>
      <c r="I196" s="43">
        <v>0</v>
      </c>
      <c r="J196" s="43">
        <v>0</v>
      </c>
      <c r="K196" s="1">
        <f t="shared" ref="K196" si="239">(IF(F196="SELL",G196-H196,IF(F196="BUY",H196-G196)))*E196</f>
        <v>2000</v>
      </c>
      <c r="L196" s="43">
        <v>0</v>
      </c>
      <c r="M196" s="43">
        <v>0</v>
      </c>
      <c r="N196" s="1">
        <f t="shared" si="222"/>
        <v>10</v>
      </c>
      <c r="O196" s="1">
        <f t="shared" si="223"/>
        <v>2000</v>
      </c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 s="32" customFormat="1" ht="15" customHeight="1">
      <c r="A197" s="37">
        <v>44019</v>
      </c>
      <c r="B197" s="57" t="s">
        <v>428</v>
      </c>
      <c r="C197" s="20" t="s">
        <v>47</v>
      </c>
      <c r="D197" s="20">
        <v>2000</v>
      </c>
      <c r="E197" s="38">
        <v>800</v>
      </c>
      <c r="F197" s="20" t="s">
        <v>8</v>
      </c>
      <c r="G197" s="43">
        <v>14</v>
      </c>
      <c r="H197" s="43">
        <v>17.5</v>
      </c>
      <c r="I197" s="43">
        <v>0</v>
      </c>
      <c r="J197" s="43">
        <v>0</v>
      </c>
      <c r="K197" s="1">
        <f t="shared" ref="K197" si="240">(IF(F197="SELL",G197-H197,IF(F197="BUY",H197-G197)))*E197</f>
        <v>2800</v>
      </c>
      <c r="L197" s="43">
        <v>0</v>
      </c>
      <c r="M197" s="43">
        <v>0</v>
      </c>
      <c r="N197" s="1">
        <f t="shared" si="222"/>
        <v>3.5</v>
      </c>
      <c r="O197" s="1">
        <f t="shared" si="223"/>
        <v>2800</v>
      </c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 s="32" customFormat="1" ht="15" customHeight="1">
      <c r="A198" s="37">
        <v>44019</v>
      </c>
      <c r="B198" s="57" t="s">
        <v>487</v>
      </c>
      <c r="C198" s="20" t="s">
        <v>47</v>
      </c>
      <c r="D198" s="20">
        <v>440</v>
      </c>
      <c r="E198" s="38">
        <v>2700</v>
      </c>
      <c r="F198" s="20" t="s">
        <v>8</v>
      </c>
      <c r="G198" s="43">
        <v>4.8</v>
      </c>
      <c r="H198" s="43">
        <v>4.8</v>
      </c>
      <c r="I198" s="43">
        <v>0</v>
      </c>
      <c r="J198" s="43">
        <v>0</v>
      </c>
      <c r="K198" s="1">
        <f t="shared" ref="K198" si="241">(IF(F198="SELL",G198-H198,IF(F198="BUY",H198-G198)))*E198</f>
        <v>0</v>
      </c>
      <c r="L198" s="43">
        <v>0</v>
      </c>
      <c r="M198" s="43">
        <v>0</v>
      </c>
      <c r="N198" s="1">
        <f t="shared" si="222"/>
        <v>0</v>
      </c>
      <c r="O198" s="1">
        <f t="shared" si="223"/>
        <v>0</v>
      </c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 s="32" customFormat="1" ht="15" customHeight="1">
      <c r="A199" s="37">
        <v>44018</v>
      </c>
      <c r="B199" s="57" t="s">
        <v>39</v>
      </c>
      <c r="C199" s="20" t="s">
        <v>47</v>
      </c>
      <c r="D199" s="20">
        <v>2000</v>
      </c>
      <c r="E199" s="38">
        <v>550</v>
      </c>
      <c r="F199" s="20" t="s">
        <v>8</v>
      </c>
      <c r="G199" s="43">
        <v>13.5</v>
      </c>
      <c r="H199" s="43">
        <v>18</v>
      </c>
      <c r="I199" s="43">
        <v>0</v>
      </c>
      <c r="J199" s="43">
        <v>0</v>
      </c>
      <c r="K199" s="1">
        <f t="shared" ref="K199" si="242">(IF(F199="SELL",G199-H199,IF(F199="BUY",H199-G199)))*E199</f>
        <v>2475</v>
      </c>
      <c r="L199" s="43">
        <v>0</v>
      </c>
      <c r="M199" s="43">
        <v>0</v>
      </c>
      <c r="N199" s="1">
        <f t="shared" si="222"/>
        <v>4.5</v>
      </c>
      <c r="O199" s="1">
        <f t="shared" si="223"/>
        <v>2475</v>
      </c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:33" s="32" customFormat="1" ht="15" customHeight="1">
      <c r="A200" s="37">
        <v>44018</v>
      </c>
      <c r="B200" s="57" t="s">
        <v>37</v>
      </c>
      <c r="C200" s="20" t="s">
        <v>47</v>
      </c>
      <c r="D200" s="20">
        <v>2240</v>
      </c>
      <c r="E200" s="38">
        <v>300</v>
      </c>
      <c r="F200" s="20" t="s">
        <v>8</v>
      </c>
      <c r="G200" s="43">
        <v>66</v>
      </c>
      <c r="H200" s="43">
        <v>76</v>
      </c>
      <c r="I200" s="43">
        <v>0</v>
      </c>
      <c r="J200" s="43">
        <v>0</v>
      </c>
      <c r="K200" s="1">
        <f t="shared" ref="K200" si="243">(IF(F200="SELL",G200-H200,IF(F200="BUY",H200-G200)))*E200</f>
        <v>3000</v>
      </c>
      <c r="L200" s="43">
        <v>0</v>
      </c>
      <c r="M200" s="43">
        <v>0</v>
      </c>
      <c r="N200" s="1">
        <f t="shared" si="222"/>
        <v>10</v>
      </c>
      <c r="O200" s="1">
        <f t="shared" si="223"/>
        <v>3000</v>
      </c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:33" s="32" customFormat="1" ht="15" customHeight="1">
      <c r="A201" s="37">
        <v>44018</v>
      </c>
      <c r="B201" s="57" t="s">
        <v>17</v>
      </c>
      <c r="C201" s="20" t="s">
        <v>47</v>
      </c>
      <c r="D201" s="20">
        <v>1280</v>
      </c>
      <c r="E201" s="38">
        <v>1200</v>
      </c>
      <c r="F201" s="20" t="s">
        <v>8</v>
      </c>
      <c r="G201" s="43">
        <v>12.8</v>
      </c>
      <c r="H201" s="43">
        <v>12.8</v>
      </c>
      <c r="I201" s="43">
        <v>0</v>
      </c>
      <c r="J201" s="43">
        <v>0</v>
      </c>
      <c r="K201" s="1">
        <f t="shared" ref="K201" si="244">(IF(F201="SELL",G201-H201,IF(F201="BUY",H201-G201)))*E201</f>
        <v>0</v>
      </c>
      <c r="L201" s="43">
        <v>0</v>
      </c>
      <c r="M201" s="43">
        <v>0</v>
      </c>
      <c r="N201" s="1">
        <f t="shared" si="222"/>
        <v>0</v>
      </c>
      <c r="O201" s="1">
        <f t="shared" si="223"/>
        <v>0</v>
      </c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:33" s="32" customFormat="1" ht="15" customHeight="1">
      <c r="A202" s="37">
        <v>44015</v>
      </c>
      <c r="B202" s="57" t="s">
        <v>109</v>
      </c>
      <c r="C202" s="20" t="s">
        <v>47</v>
      </c>
      <c r="D202" s="20">
        <v>235</v>
      </c>
      <c r="E202" s="38">
        <v>3200</v>
      </c>
      <c r="F202" s="20" t="s">
        <v>8</v>
      </c>
      <c r="G202" s="43">
        <v>5.3</v>
      </c>
      <c r="H202" s="43">
        <v>6.3</v>
      </c>
      <c r="I202" s="43">
        <v>0</v>
      </c>
      <c r="J202" s="43">
        <v>0</v>
      </c>
      <c r="K202" s="1">
        <f t="shared" ref="K202" si="245">(IF(F202="SELL",G202-H202,IF(F202="BUY",H202-G202)))*E202</f>
        <v>3200</v>
      </c>
      <c r="L202" s="43">
        <v>0</v>
      </c>
      <c r="M202" s="43">
        <v>0</v>
      </c>
      <c r="N202" s="1">
        <f t="shared" si="222"/>
        <v>1</v>
      </c>
      <c r="O202" s="1">
        <f t="shared" si="223"/>
        <v>3200</v>
      </c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:33" s="32" customFormat="1" ht="15" customHeight="1">
      <c r="A203" s="37">
        <v>44015</v>
      </c>
      <c r="B203" s="57" t="s">
        <v>336</v>
      </c>
      <c r="C203" s="20" t="s">
        <v>47</v>
      </c>
      <c r="D203" s="20">
        <v>1400</v>
      </c>
      <c r="E203" s="38">
        <v>800</v>
      </c>
      <c r="F203" s="20" t="s">
        <v>8</v>
      </c>
      <c r="G203" s="43">
        <v>13.8</v>
      </c>
      <c r="H203" s="43">
        <v>16.8</v>
      </c>
      <c r="I203" s="43">
        <v>20.8</v>
      </c>
      <c r="J203" s="43">
        <v>0</v>
      </c>
      <c r="K203" s="1">
        <f t="shared" ref="K203" si="246">(IF(F203="SELL",G203-H203,IF(F203="BUY",H203-G203)))*E203</f>
        <v>2400</v>
      </c>
      <c r="L203" s="43">
        <v>2400</v>
      </c>
      <c r="M203" s="43">
        <v>0</v>
      </c>
      <c r="N203" s="1">
        <f t="shared" si="222"/>
        <v>6</v>
      </c>
      <c r="O203" s="1">
        <f t="shared" si="223"/>
        <v>4800</v>
      </c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:33" s="32" customFormat="1" ht="15" customHeight="1">
      <c r="A204" s="37">
        <v>44014</v>
      </c>
      <c r="B204" s="57" t="s">
        <v>39</v>
      </c>
      <c r="C204" s="20" t="s">
        <v>47</v>
      </c>
      <c r="D204" s="20">
        <v>1900</v>
      </c>
      <c r="E204" s="38">
        <v>550</v>
      </c>
      <c r="F204" s="20" t="s">
        <v>8</v>
      </c>
      <c r="G204" s="43">
        <v>25.5</v>
      </c>
      <c r="H204" s="43">
        <v>28.5</v>
      </c>
      <c r="I204" s="43">
        <v>0</v>
      </c>
      <c r="J204" s="43">
        <v>0</v>
      </c>
      <c r="K204" s="1">
        <f t="shared" ref="K204" si="247">(IF(F204="SELL",G204-H204,IF(F204="BUY",H204-G204)))*E204</f>
        <v>1650</v>
      </c>
      <c r="L204" s="43">
        <f>E204*4</f>
        <v>2200</v>
      </c>
      <c r="M204" s="43">
        <v>0</v>
      </c>
      <c r="N204" s="1">
        <f t="shared" si="222"/>
        <v>7</v>
      </c>
      <c r="O204" s="1">
        <f t="shared" si="223"/>
        <v>3850</v>
      </c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s="32" customFormat="1" ht="15" customHeight="1">
      <c r="A205" s="37">
        <v>44014</v>
      </c>
      <c r="B205" s="57" t="s">
        <v>20</v>
      </c>
      <c r="C205" s="20" t="s">
        <v>47</v>
      </c>
      <c r="D205" s="20">
        <v>820</v>
      </c>
      <c r="E205" s="38">
        <v>1200</v>
      </c>
      <c r="F205" s="20" t="s">
        <v>8</v>
      </c>
      <c r="G205" s="43">
        <v>5.5</v>
      </c>
      <c r="H205" s="43">
        <v>7.5</v>
      </c>
      <c r="I205" s="43">
        <v>0</v>
      </c>
      <c r="J205" s="43">
        <v>0</v>
      </c>
      <c r="K205" s="1">
        <f t="shared" ref="K205" si="248">(IF(F205="SELL",G205-H205,IF(F205="BUY",H205-G205)))*E205</f>
        <v>2400</v>
      </c>
      <c r="L205" s="43">
        <v>0</v>
      </c>
      <c r="M205" s="43">
        <v>0</v>
      </c>
      <c r="N205" s="1">
        <f t="shared" si="222"/>
        <v>2</v>
      </c>
      <c r="O205" s="1">
        <f t="shared" si="223"/>
        <v>2400</v>
      </c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:33" s="32" customFormat="1" ht="15" customHeight="1">
      <c r="A206" s="37">
        <v>44013</v>
      </c>
      <c r="B206" s="57" t="s">
        <v>43</v>
      </c>
      <c r="C206" s="20" t="s">
        <v>47</v>
      </c>
      <c r="D206" s="20">
        <v>1100</v>
      </c>
      <c r="E206" s="38">
        <v>550</v>
      </c>
      <c r="F206" s="20" t="s">
        <v>8</v>
      </c>
      <c r="G206" s="43">
        <v>32</v>
      </c>
      <c r="H206" s="43">
        <v>36</v>
      </c>
      <c r="I206" s="43">
        <v>40</v>
      </c>
      <c r="J206" s="43">
        <v>0</v>
      </c>
      <c r="K206" s="1">
        <f t="shared" ref="K206" si="249">(IF(F206="SELL",G206-H206,IF(F206="BUY",H206-G206)))*E206</f>
        <v>2200</v>
      </c>
      <c r="L206" s="43">
        <f>E206*4</f>
        <v>2200</v>
      </c>
      <c r="M206" s="43">
        <v>0</v>
      </c>
      <c r="N206" s="1">
        <f t="shared" si="222"/>
        <v>8</v>
      </c>
      <c r="O206" s="1">
        <f t="shared" si="223"/>
        <v>4400</v>
      </c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:33" s="32" customFormat="1" ht="15" customHeight="1">
      <c r="A207" s="37">
        <v>44013</v>
      </c>
      <c r="B207" s="57" t="s">
        <v>21</v>
      </c>
      <c r="C207" s="20" t="s">
        <v>47</v>
      </c>
      <c r="D207" s="20">
        <v>200</v>
      </c>
      <c r="E207" s="38">
        <v>3000</v>
      </c>
      <c r="F207" s="20" t="s">
        <v>8</v>
      </c>
      <c r="G207" s="43">
        <v>4.5</v>
      </c>
      <c r="H207" s="43">
        <v>5.0999999999999996</v>
      </c>
      <c r="I207" s="43">
        <v>0</v>
      </c>
      <c r="J207" s="43">
        <v>0</v>
      </c>
      <c r="K207" s="1">
        <f t="shared" ref="K207" si="250">(IF(F207="SELL",G207-H207,IF(F207="BUY",H207-G207)))*E207</f>
        <v>1799.9999999999989</v>
      </c>
      <c r="L207" s="43">
        <v>0</v>
      </c>
      <c r="M207" s="43">
        <v>0</v>
      </c>
      <c r="N207" s="1">
        <f t="shared" si="222"/>
        <v>0.59999999999999964</v>
      </c>
      <c r="O207" s="1">
        <f t="shared" si="223"/>
        <v>1799.9999999999989</v>
      </c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:33" s="32" customFormat="1" ht="15" customHeight="1">
      <c r="A208" s="37">
        <v>44013</v>
      </c>
      <c r="B208" s="57" t="s">
        <v>336</v>
      </c>
      <c r="C208" s="20" t="s">
        <v>47</v>
      </c>
      <c r="D208" s="20">
        <v>1340</v>
      </c>
      <c r="E208" s="38">
        <v>800</v>
      </c>
      <c r="F208" s="20" t="s">
        <v>8</v>
      </c>
      <c r="G208" s="43">
        <v>31</v>
      </c>
      <c r="H208" s="43">
        <v>25.5</v>
      </c>
      <c r="I208" s="43">
        <v>0</v>
      </c>
      <c r="J208" s="43">
        <v>0</v>
      </c>
      <c r="K208" s="1">
        <f t="shared" ref="K208" si="251">(IF(F208="SELL",G208-H208,IF(F208="BUY",H208-G208)))*E208</f>
        <v>-4400</v>
      </c>
      <c r="L208" s="43">
        <v>0</v>
      </c>
      <c r="M208" s="43">
        <v>0</v>
      </c>
      <c r="N208" s="1">
        <f t="shared" si="222"/>
        <v>-5.5</v>
      </c>
      <c r="O208" s="1">
        <f t="shared" si="223"/>
        <v>-4400</v>
      </c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:33" s="32" customFormat="1" ht="15" customHeight="1">
      <c r="A209" s="37">
        <v>44012</v>
      </c>
      <c r="B209" s="57" t="s">
        <v>34</v>
      </c>
      <c r="C209" s="20" t="s">
        <v>47</v>
      </c>
      <c r="D209" s="20">
        <v>175</v>
      </c>
      <c r="E209" s="38">
        <v>4300</v>
      </c>
      <c r="F209" s="20" t="s">
        <v>8</v>
      </c>
      <c r="G209" s="43">
        <v>1.8</v>
      </c>
      <c r="H209" s="43">
        <v>1.8</v>
      </c>
      <c r="I209" s="43">
        <v>0</v>
      </c>
      <c r="J209" s="43">
        <v>0</v>
      </c>
      <c r="K209" s="1">
        <f t="shared" ref="K209" si="252">(IF(F209="SELL",G209-H209,IF(F209="BUY",H209-G209)))*E209</f>
        <v>0</v>
      </c>
      <c r="L209" s="43">
        <v>0</v>
      </c>
      <c r="M209" s="43">
        <v>0</v>
      </c>
      <c r="N209" s="1">
        <f t="shared" si="222"/>
        <v>0</v>
      </c>
      <c r="O209" s="1">
        <f t="shared" si="223"/>
        <v>0</v>
      </c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:33" s="32" customFormat="1" ht="15" customHeight="1">
      <c r="A210" s="37">
        <v>44012</v>
      </c>
      <c r="B210" s="57" t="s">
        <v>453</v>
      </c>
      <c r="C210" s="20" t="s">
        <v>47</v>
      </c>
      <c r="D210" s="20">
        <v>1240</v>
      </c>
      <c r="E210" s="38">
        <v>1100</v>
      </c>
      <c r="F210" s="20" t="s">
        <v>8</v>
      </c>
      <c r="G210" s="43">
        <v>12.2</v>
      </c>
      <c r="H210" s="43">
        <v>13.8</v>
      </c>
      <c r="I210" s="43">
        <v>0</v>
      </c>
      <c r="J210" s="43">
        <v>0</v>
      </c>
      <c r="K210" s="1">
        <f t="shared" ref="K210" si="253">(IF(F210="SELL",G210-H210,IF(F210="BUY",H210-G210)))*E210</f>
        <v>1760.0000000000016</v>
      </c>
      <c r="L210" s="43">
        <v>0</v>
      </c>
      <c r="M210" s="43">
        <v>0</v>
      </c>
      <c r="N210" s="1">
        <f t="shared" si="222"/>
        <v>1.6000000000000014</v>
      </c>
      <c r="O210" s="1">
        <f t="shared" si="223"/>
        <v>1760.0000000000016</v>
      </c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 s="32" customFormat="1" ht="15" customHeight="1">
      <c r="A211" s="37">
        <v>44012</v>
      </c>
      <c r="B211" s="57" t="s">
        <v>473</v>
      </c>
      <c r="C211" s="20" t="s">
        <v>46</v>
      </c>
      <c r="D211" s="20">
        <v>187.5</v>
      </c>
      <c r="E211" s="38">
        <v>3200</v>
      </c>
      <c r="F211" s="20" t="s">
        <v>8</v>
      </c>
      <c r="G211" s="43">
        <v>5.0999999999999996</v>
      </c>
      <c r="H211" s="43">
        <v>5.45</v>
      </c>
      <c r="I211" s="43">
        <v>0</v>
      </c>
      <c r="J211" s="43">
        <v>0</v>
      </c>
      <c r="K211" s="1">
        <f t="shared" ref="K211" si="254">(IF(F211="SELL",G211-H211,IF(F211="BUY",H211-G211)))*E211</f>
        <v>1120.0000000000018</v>
      </c>
      <c r="L211" s="43">
        <v>0</v>
      </c>
      <c r="M211" s="43">
        <v>0</v>
      </c>
      <c r="N211" s="1">
        <f t="shared" si="222"/>
        <v>0.35000000000000059</v>
      </c>
      <c r="O211" s="1">
        <f t="shared" si="223"/>
        <v>1120.0000000000018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:33" s="32" customFormat="1" ht="15" customHeight="1">
      <c r="A212" s="37">
        <v>44011</v>
      </c>
      <c r="B212" s="57" t="s">
        <v>413</v>
      </c>
      <c r="C212" s="20" t="s">
        <v>46</v>
      </c>
      <c r="D212" s="20">
        <v>150</v>
      </c>
      <c r="E212" s="38">
        <v>3100</v>
      </c>
      <c r="F212" s="20" t="s">
        <v>8</v>
      </c>
      <c r="G212" s="43">
        <v>5.5</v>
      </c>
      <c r="H212" s="43">
        <v>6.5</v>
      </c>
      <c r="I212" s="43">
        <v>0</v>
      </c>
      <c r="J212" s="43">
        <v>0</v>
      </c>
      <c r="K212" s="1">
        <f t="shared" ref="K212" si="255">(IF(F212="SELL",G212-H212,IF(F212="BUY",H212-G212)))*E212</f>
        <v>3100</v>
      </c>
      <c r="L212" s="43">
        <v>0</v>
      </c>
      <c r="M212" s="43">
        <v>0</v>
      </c>
      <c r="N212" s="1">
        <f t="shared" si="222"/>
        <v>1</v>
      </c>
      <c r="O212" s="1">
        <f t="shared" si="223"/>
        <v>3100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 s="32" customFormat="1" ht="15" customHeight="1">
      <c r="A213" s="37">
        <v>44011</v>
      </c>
      <c r="B213" s="57" t="s">
        <v>446</v>
      </c>
      <c r="C213" s="20" t="s">
        <v>47</v>
      </c>
      <c r="D213" s="20">
        <v>2300</v>
      </c>
      <c r="E213" s="38">
        <v>300</v>
      </c>
      <c r="F213" s="20" t="s">
        <v>8</v>
      </c>
      <c r="G213" s="43">
        <v>37</v>
      </c>
      <c r="H213" s="43">
        <v>37</v>
      </c>
      <c r="I213" s="43">
        <v>0</v>
      </c>
      <c r="J213" s="43">
        <v>0</v>
      </c>
      <c r="K213" s="1">
        <f t="shared" ref="K213" si="256">(IF(F213="SELL",G213-H213,IF(F213="BUY",H213-G213)))*E213</f>
        <v>0</v>
      </c>
      <c r="L213" s="43">
        <v>0</v>
      </c>
      <c r="M213" s="43">
        <v>0</v>
      </c>
      <c r="N213" s="1">
        <f t="shared" si="222"/>
        <v>0</v>
      </c>
      <c r="O213" s="1">
        <f t="shared" si="223"/>
        <v>0</v>
      </c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33" s="32" customFormat="1" ht="15" customHeight="1">
      <c r="A214" s="37">
        <v>44011</v>
      </c>
      <c r="B214" s="57" t="s">
        <v>453</v>
      </c>
      <c r="C214" s="20" t="s">
        <v>47</v>
      </c>
      <c r="D214" s="20">
        <v>1240</v>
      </c>
      <c r="E214" s="38">
        <v>1100</v>
      </c>
      <c r="F214" s="20" t="s">
        <v>8</v>
      </c>
      <c r="G214" s="43">
        <v>10</v>
      </c>
      <c r="H214" s="43">
        <v>10</v>
      </c>
      <c r="I214" s="43">
        <v>0</v>
      </c>
      <c r="J214" s="43">
        <v>0</v>
      </c>
      <c r="K214" s="1">
        <f t="shared" ref="K214" si="257">(IF(F214="SELL",G214-H214,IF(F214="BUY",H214-G214)))*E214</f>
        <v>0</v>
      </c>
      <c r="L214" s="43">
        <v>0</v>
      </c>
      <c r="M214" s="43">
        <v>0</v>
      </c>
      <c r="N214" s="1">
        <f t="shared" si="222"/>
        <v>0</v>
      </c>
      <c r="O214" s="1">
        <f t="shared" si="223"/>
        <v>0</v>
      </c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:33" s="32" customFormat="1" ht="15" customHeight="1">
      <c r="A215" s="37">
        <v>44008</v>
      </c>
      <c r="B215" s="57" t="s">
        <v>122</v>
      </c>
      <c r="C215" s="20" t="s">
        <v>46</v>
      </c>
      <c r="D215" s="20">
        <v>1600</v>
      </c>
      <c r="E215" s="38">
        <v>550</v>
      </c>
      <c r="F215" s="20" t="s">
        <v>8</v>
      </c>
      <c r="G215" s="43">
        <v>34</v>
      </c>
      <c r="H215" s="43">
        <v>34</v>
      </c>
      <c r="I215" s="43">
        <v>0</v>
      </c>
      <c r="J215" s="43">
        <v>0</v>
      </c>
      <c r="K215" s="1">
        <f t="shared" ref="K215" si="258">(IF(F215="SELL",G215-H215,IF(F215="BUY",H215-G215)))*E215</f>
        <v>0</v>
      </c>
      <c r="L215" s="43">
        <v>0</v>
      </c>
      <c r="M215" s="43">
        <v>0</v>
      </c>
      <c r="N215" s="1">
        <f t="shared" si="222"/>
        <v>0</v>
      </c>
      <c r="O215" s="1">
        <f t="shared" si="223"/>
        <v>0</v>
      </c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:33" s="32" customFormat="1" ht="15" customHeight="1">
      <c r="A216" s="37">
        <v>44008</v>
      </c>
      <c r="B216" s="57" t="s">
        <v>37</v>
      </c>
      <c r="C216" s="20" t="s">
        <v>47</v>
      </c>
      <c r="D216" s="20">
        <v>2200</v>
      </c>
      <c r="E216" s="38">
        <v>250</v>
      </c>
      <c r="F216" s="20" t="s">
        <v>8</v>
      </c>
      <c r="G216" s="43">
        <v>38</v>
      </c>
      <c r="H216" s="43">
        <v>46</v>
      </c>
      <c r="I216" s="43">
        <v>56</v>
      </c>
      <c r="J216" s="43">
        <v>0</v>
      </c>
      <c r="K216" s="1">
        <f t="shared" ref="K216" si="259">(IF(F216="SELL",G216-H216,IF(F216="BUY",H216-G216)))*E216</f>
        <v>2000</v>
      </c>
      <c r="L216" s="43">
        <v>2500</v>
      </c>
      <c r="M216" s="43">
        <v>0</v>
      </c>
      <c r="N216" s="1">
        <f t="shared" si="222"/>
        <v>18</v>
      </c>
      <c r="O216" s="1">
        <f t="shared" si="223"/>
        <v>4500</v>
      </c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:33" s="32" customFormat="1" ht="15" customHeight="1">
      <c r="A217" s="37">
        <v>44008</v>
      </c>
      <c r="B217" s="57" t="s">
        <v>461</v>
      </c>
      <c r="C217" s="20" t="s">
        <v>47</v>
      </c>
      <c r="D217" s="20">
        <v>3200</v>
      </c>
      <c r="E217" s="38">
        <v>250</v>
      </c>
      <c r="F217" s="20" t="s">
        <v>8</v>
      </c>
      <c r="G217" s="43">
        <v>42</v>
      </c>
      <c r="H217" s="43">
        <v>35</v>
      </c>
      <c r="I217" s="43">
        <v>0</v>
      </c>
      <c r="J217" s="43">
        <v>0</v>
      </c>
      <c r="K217" s="1">
        <f t="shared" ref="K217" si="260">(IF(F217="SELL",G217-H217,IF(F217="BUY",H217-G217)))*E217</f>
        <v>-1750</v>
      </c>
      <c r="L217" s="43">
        <v>0</v>
      </c>
      <c r="M217" s="43">
        <v>0</v>
      </c>
      <c r="N217" s="1">
        <f t="shared" si="222"/>
        <v>-7</v>
      </c>
      <c r="O217" s="1">
        <f t="shared" si="223"/>
        <v>-1750</v>
      </c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:33" s="32" customFormat="1" ht="15" customHeight="1">
      <c r="A218" s="37">
        <v>44007</v>
      </c>
      <c r="B218" s="57" t="s">
        <v>98</v>
      </c>
      <c r="C218" s="20" t="s">
        <v>47</v>
      </c>
      <c r="D218" s="20">
        <v>450</v>
      </c>
      <c r="E218" s="38">
        <v>2300</v>
      </c>
      <c r="F218" s="20" t="s">
        <v>8</v>
      </c>
      <c r="G218" s="43">
        <v>9.8000000000000007</v>
      </c>
      <c r="H218" s="43">
        <v>10.8</v>
      </c>
      <c r="I218" s="43">
        <v>0</v>
      </c>
      <c r="J218" s="43">
        <v>0</v>
      </c>
      <c r="K218" s="1">
        <f t="shared" ref="K218" si="261">(IF(F218="SELL",G218-H218,IF(F218="BUY",H218-G218)))*E218</f>
        <v>2300</v>
      </c>
      <c r="L218" s="43">
        <v>0</v>
      </c>
      <c r="M218" s="43">
        <v>0</v>
      </c>
      <c r="N218" s="1">
        <f t="shared" si="222"/>
        <v>1</v>
      </c>
      <c r="O218" s="1">
        <f t="shared" si="223"/>
        <v>2300</v>
      </c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:33" s="32" customFormat="1" ht="15" customHeight="1">
      <c r="A219" s="37">
        <v>44007</v>
      </c>
      <c r="B219" s="57" t="s">
        <v>128</v>
      </c>
      <c r="C219" s="20" t="s">
        <v>47</v>
      </c>
      <c r="D219" s="20">
        <v>1500</v>
      </c>
      <c r="E219" s="38">
        <v>400</v>
      </c>
      <c r="F219" s="20" t="s">
        <v>8</v>
      </c>
      <c r="G219" s="43">
        <v>27</v>
      </c>
      <c r="H219" s="43">
        <v>35</v>
      </c>
      <c r="I219" s="43">
        <v>0</v>
      </c>
      <c r="J219" s="43">
        <v>0</v>
      </c>
      <c r="K219" s="1">
        <f t="shared" ref="K219" si="262">(IF(F219="SELL",G219-H219,IF(F219="BUY",H219-G219)))*E219</f>
        <v>3200</v>
      </c>
      <c r="L219" s="43">
        <v>0</v>
      </c>
      <c r="M219" s="43">
        <v>0</v>
      </c>
      <c r="N219" s="1">
        <f t="shared" si="222"/>
        <v>8</v>
      </c>
      <c r="O219" s="1">
        <f t="shared" si="223"/>
        <v>3200</v>
      </c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:33" s="32" customFormat="1" ht="15" customHeight="1">
      <c r="A220" s="37">
        <v>44006</v>
      </c>
      <c r="B220" s="57" t="s">
        <v>39</v>
      </c>
      <c r="C220" s="20" t="s">
        <v>47</v>
      </c>
      <c r="D220" s="20">
        <v>1780</v>
      </c>
      <c r="E220" s="38">
        <v>500</v>
      </c>
      <c r="F220" s="20" t="s">
        <v>8</v>
      </c>
      <c r="G220" s="43">
        <v>15</v>
      </c>
      <c r="H220" s="43">
        <v>8</v>
      </c>
      <c r="I220" s="43">
        <v>0</v>
      </c>
      <c r="J220" s="43">
        <v>0</v>
      </c>
      <c r="K220" s="1">
        <f t="shared" ref="K220" si="263">(IF(F220="SELL",G220-H220,IF(F220="BUY",H220-G220)))*E220</f>
        <v>-3500</v>
      </c>
      <c r="L220" s="43">
        <v>0</v>
      </c>
      <c r="M220" s="43">
        <v>0</v>
      </c>
      <c r="N220" s="1">
        <f t="shared" si="222"/>
        <v>-7</v>
      </c>
      <c r="O220" s="1">
        <f t="shared" si="223"/>
        <v>-3500</v>
      </c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:33" s="32" customFormat="1" ht="15" customHeight="1">
      <c r="A221" s="37">
        <v>44006</v>
      </c>
      <c r="B221" s="57" t="s">
        <v>32</v>
      </c>
      <c r="C221" s="20" t="s">
        <v>47</v>
      </c>
      <c r="D221" s="20">
        <v>840</v>
      </c>
      <c r="E221" s="38">
        <v>1000</v>
      </c>
      <c r="F221" s="20" t="s">
        <v>8</v>
      </c>
      <c r="G221" s="43">
        <v>3.3</v>
      </c>
      <c r="H221" s="43">
        <v>1</v>
      </c>
      <c r="I221" s="43">
        <v>0</v>
      </c>
      <c r="J221" s="43">
        <v>0</v>
      </c>
      <c r="K221" s="1">
        <f t="shared" ref="K221" si="264">(IF(F221="SELL",G221-H221,IF(F221="BUY",H221-G221)))*E221</f>
        <v>-2300</v>
      </c>
      <c r="L221" s="43">
        <v>0</v>
      </c>
      <c r="M221" s="43">
        <v>0</v>
      </c>
      <c r="N221" s="1">
        <f t="shared" si="222"/>
        <v>-2.2999999999999998</v>
      </c>
      <c r="O221" s="1">
        <f t="shared" si="223"/>
        <v>-2300</v>
      </c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:33" s="32" customFormat="1" ht="15" customHeight="1">
      <c r="A222" s="37">
        <v>44006</v>
      </c>
      <c r="B222" s="57" t="s">
        <v>453</v>
      </c>
      <c r="C222" s="20" t="s">
        <v>47</v>
      </c>
      <c r="D222" s="20">
        <v>1040</v>
      </c>
      <c r="E222" s="38">
        <v>1100</v>
      </c>
      <c r="F222" s="20" t="s">
        <v>8</v>
      </c>
      <c r="G222" s="43">
        <v>7</v>
      </c>
      <c r="H222" s="43">
        <v>10</v>
      </c>
      <c r="I222" s="43">
        <v>15</v>
      </c>
      <c r="J222" s="43">
        <v>20</v>
      </c>
      <c r="K222" s="1">
        <f t="shared" ref="K222" si="265">(IF(F222="SELL",G222-H222,IF(F222="BUY",H222-G222)))*E222</f>
        <v>3300</v>
      </c>
      <c r="L222" s="43">
        <v>5500</v>
      </c>
      <c r="M222" s="43">
        <v>5500</v>
      </c>
      <c r="N222" s="1">
        <f t="shared" si="222"/>
        <v>13</v>
      </c>
      <c r="O222" s="1">
        <f t="shared" si="223"/>
        <v>14300</v>
      </c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:33" s="32" customFormat="1" ht="15" customHeight="1">
      <c r="A223" s="37">
        <v>44005</v>
      </c>
      <c r="B223" s="57" t="s">
        <v>446</v>
      </c>
      <c r="C223" s="20" t="s">
        <v>47</v>
      </c>
      <c r="D223" s="20">
        <v>2180</v>
      </c>
      <c r="E223" s="38">
        <v>300</v>
      </c>
      <c r="F223" s="20" t="s">
        <v>8</v>
      </c>
      <c r="G223" s="43">
        <v>16.5</v>
      </c>
      <c r="H223" s="43">
        <v>25</v>
      </c>
      <c r="I223" s="43">
        <v>0</v>
      </c>
      <c r="J223" s="43">
        <v>0</v>
      </c>
      <c r="K223" s="1">
        <f t="shared" ref="K223" si="266">(IF(F223="SELL",G223-H223,IF(F223="BUY",H223-G223)))*E223</f>
        <v>2550</v>
      </c>
      <c r="L223" s="43">
        <v>0</v>
      </c>
      <c r="M223" s="43">
        <v>0</v>
      </c>
      <c r="N223" s="1">
        <f t="shared" si="222"/>
        <v>8.5</v>
      </c>
      <c r="O223" s="1">
        <f t="shared" si="223"/>
        <v>2550</v>
      </c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33" s="32" customFormat="1" ht="15" customHeight="1">
      <c r="A224" s="37">
        <v>44005</v>
      </c>
      <c r="B224" s="57" t="s">
        <v>467</v>
      </c>
      <c r="C224" s="20" t="s">
        <v>46</v>
      </c>
      <c r="D224" s="20">
        <v>1010</v>
      </c>
      <c r="E224" s="38">
        <v>500</v>
      </c>
      <c r="F224" s="20" t="s">
        <v>8</v>
      </c>
      <c r="G224" s="43">
        <v>14.5</v>
      </c>
      <c r="H224" s="43">
        <v>12</v>
      </c>
      <c r="I224" s="43">
        <v>0</v>
      </c>
      <c r="J224" s="43">
        <v>0</v>
      </c>
      <c r="K224" s="1">
        <f t="shared" ref="K224" si="267">(IF(F224="SELL",G224-H224,IF(F224="BUY",H224-G224)))*E224</f>
        <v>-1250</v>
      </c>
      <c r="L224" s="43">
        <v>0</v>
      </c>
      <c r="M224" s="43">
        <v>0</v>
      </c>
      <c r="N224" s="1">
        <f t="shared" si="222"/>
        <v>-2.5</v>
      </c>
      <c r="O224" s="1">
        <f t="shared" si="223"/>
        <v>-1250</v>
      </c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:33" s="32" customFormat="1" ht="15" customHeight="1">
      <c r="A225" s="37">
        <v>44005</v>
      </c>
      <c r="B225" s="57" t="s">
        <v>458</v>
      </c>
      <c r="C225" s="20" t="s">
        <v>47</v>
      </c>
      <c r="D225" s="20">
        <v>3500</v>
      </c>
      <c r="E225" s="38">
        <v>200</v>
      </c>
      <c r="F225" s="20" t="s">
        <v>8</v>
      </c>
      <c r="G225" s="43">
        <v>50</v>
      </c>
      <c r="H225" s="43">
        <v>35</v>
      </c>
      <c r="I225" s="43">
        <v>0</v>
      </c>
      <c r="J225" s="43">
        <v>0</v>
      </c>
      <c r="K225" s="1">
        <f t="shared" ref="K225" si="268">(IF(F225="SELL",G225-H225,IF(F225="BUY",H225-G225)))*E225</f>
        <v>-3000</v>
      </c>
      <c r="L225" s="43">
        <v>0</v>
      </c>
      <c r="M225" s="43">
        <v>0</v>
      </c>
      <c r="N225" s="1">
        <f t="shared" si="222"/>
        <v>-15</v>
      </c>
      <c r="O225" s="1">
        <f t="shared" si="223"/>
        <v>-3000</v>
      </c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:33" s="32" customFormat="1" ht="15" customHeight="1">
      <c r="A226" s="37">
        <v>44004</v>
      </c>
      <c r="B226" s="57" t="s">
        <v>415</v>
      </c>
      <c r="C226" s="20" t="s">
        <v>47</v>
      </c>
      <c r="D226" s="20">
        <v>2500</v>
      </c>
      <c r="E226" s="38">
        <v>200</v>
      </c>
      <c r="F226" s="20" t="s">
        <v>8</v>
      </c>
      <c r="G226" s="43">
        <v>28</v>
      </c>
      <c r="H226" s="43">
        <v>35</v>
      </c>
      <c r="I226" s="43">
        <v>0</v>
      </c>
      <c r="J226" s="43">
        <v>0</v>
      </c>
      <c r="K226" s="1">
        <f t="shared" ref="K226" si="269">(IF(F226="SELL",G226-H226,IF(F226="BUY",H226-G226)))*E226</f>
        <v>1400</v>
      </c>
      <c r="L226" s="43">
        <v>0</v>
      </c>
      <c r="M226" s="43">
        <v>0</v>
      </c>
      <c r="N226" s="1">
        <f t="shared" si="222"/>
        <v>7</v>
      </c>
      <c r="O226" s="1">
        <f t="shared" si="223"/>
        <v>1400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s="32" customFormat="1" ht="15" customHeight="1">
      <c r="A227" s="37">
        <v>44004</v>
      </c>
      <c r="B227" s="57" t="s">
        <v>98</v>
      </c>
      <c r="C227" s="20" t="s">
        <v>47</v>
      </c>
      <c r="D227" s="20">
        <v>405</v>
      </c>
      <c r="E227" s="38">
        <v>2300</v>
      </c>
      <c r="F227" s="20" t="s">
        <v>8</v>
      </c>
      <c r="G227" s="43">
        <v>4.5</v>
      </c>
      <c r="H227" s="43">
        <v>3.8</v>
      </c>
      <c r="I227" s="43">
        <v>0</v>
      </c>
      <c r="J227" s="43">
        <v>0</v>
      </c>
      <c r="K227" s="1">
        <f t="shared" ref="K227" si="270">(IF(F227="SELL",G227-H227,IF(F227="BUY",H227-G227)))*E227</f>
        <v>-1610.0000000000005</v>
      </c>
      <c r="L227" s="43">
        <v>0</v>
      </c>
      <c r="M227" s="43">
        <v>0</v>
      </c>
      <c r="N227" s="1">
        <f t="shared" si="222"/>
        <v>-0.70000000000000018</v>
      </c>
      <c r="O227" s="1">
        <f t="shared" si="223"/>
        <v>-1610.0000000000005</v>
      </c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 s="32" customFormat="1" ht="15" customHeight="1">
      <c r="A228" s="37">
        <v>44001</v>
      </c>
      <c r="B228" s="57" t="s">
        <v>466</v>
      </c>
      <c r="C228" s="20" t="s">
        <v>47</v>
      </c>
      <c r="D228" s="20">
        <v>365</v>
      </c>
      <c r="E228" s="38">
        <v>1375</v>
      </c>
      <c r="F228" s="20" t="s">
        <v>8</v>
      </c>
      <c r="G228" s="43">
        <v>7</v>
      </c>
      <c r="H228" s="43">
        <v>9</v>
      </c>
      <c r="I228" s="43">
        <v>0</v>
      </c>
      <c r="J228" s="43">
        <v>0</v>
      </c>
      <c r="K228" s="1">
        <f t="shared" ref="K228:K230" si="271">(IF(F228="SELL",G228-H228,IF(F228="BUY",H228-G228)))*E228</f>
        <v>2750</v>
      </c>
      <c r="L228" s="43">
        <v>0</v>
      </c>
      <c r="M228" s="43">
        <v>0</v>
      </c>
      <c r="N228" s="1">
        <f t="shared" si="222"/>
        <v>2</v>
      </c>
      <c r="O228" s="1">
        <f t="shared" si="223"/>
        <v>2750</v>
      </c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3" s="32" customFormat="1" ht="15" customHeight="1">
      <c r="A229" s="37">
        <v>44001</v>
      </c>
      <c r="B229" s="57" t="s">
        <v>417</v>
      </c>
      <c r="C229" s="20" t="s">
        <v>47</v>
      </c>
      <c r="D229" s="20">
        <v>430</v>
      </c>
      <c r="E229" s="38">
        <v>1400</v>
      </c>
      <c r="F229" s="20" t="s">
        <v>8</v>
      </c>
      <c r="G229" s="43">
        <v>8</v>
      </c>
      <c r="H229" s="43">
        <v>6</v>
      </c>
      <c r="I229" s="43">
        <v>0</v>
      </c>
      <c r="J229" s="43">
        <v>0</v>
      </c>
      <c r="K229" s="1">
        <f t="shared" ref="K229" si="272">(IF(F229="SELL",G229-H229,IF(F229="BUY",H229-G229)))*E229</f>
        <v>-2800</v>
      </c>
      <c r="L229" s="43">
        <v>0</v>
      </c>
      <c r="M229" s="43">
        <v>0</v>
      </c>
      <c r="N229" s="1">
        <f t="shared" si="222"/>
        <v>-2</v>
      </c>
      <c r="O229" s="1">
        <f t="shared" si="223"/>
        <v>-2800</v>
      </c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:33" s="32" customFormat="1" ht="15" customHeight="1">
      <c r="A230" s="37">
        <v>44000</v>
      </c>
      <c r="B230" s="57" t="s">
        <v>39</v>
      </c>
      <c r="C230" s="20" t="s">
        <v>47</v>
      </c>
      <c r="D230" s="20">
        <v>1760</v>
      </c>
      <c r="E230" s="38">
        <v>1000</v>
      </c>
      <c r="F230" s="20" t="s">
        <v>8</v>
      </c>
      <c r="G230" s="43">
        <v>5.8</v>
      </c>
      <c r="H230" s="43">
        <v>7.8</v>
      </c>
      <c r="I230" s="43">
        <v>0</v>
      </c>
      <c r="J230" s="43">
        <v>0</v>
      </c>
      <c r="K230" s="1">
        <f t="shared" si="271"/>
        <v>2000</v>
      </c>
      <c r="L230" s="43">
        <v>0</v>
      </c>
      <c r="M230" s="43">
        <v>0</v>
      </c>
      <c r="N230" s="1">
        <f t="shared" si="222"/>
        <v>2</v>
      </c>
      <c r="O230" s="1">
        <f t="shared" si="223"/>
        <v>2000</v>
      </c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:33" s="32" customFormat="1" ht="15" customHeight="1">
      <c r="A231" s="37">
        <v>44000</v>
      </c>
      <c r="B231" s="57" t="s">
        <v>98</v>
      </c>
      <c r="C231" s="20" t="s">
        <v>47</v>
      </c>
      <c r="D231" s="20">
        <v>390</v>
      </c>
      <c r="E231" s="38">
        <v>2300</v>
      </c>
      <c r="F231" s="20" t="s">
        <v>8</v>
      </c>
      <c r="G231" s="43">
        <v>6.4</v>
      </c>
      <c r="H231" s="43">
        <v>7.4</v>
      </c>
      <c r="I231" s="43">
        <v>0</v>
      </c>
      <c r="J231" s="43">
        <v>0</v>
      </c>
      <c r="K231" s="1">
        <f t="shared" ref="K231" si="273">(IF(F231="SELL",G231-H231,IF(F231="BUY",H231-G231)))*E231</f>
        <v>2300</v>
      </c>
      <c r="L231" s="43">
        <v>0</v>
      </c>
      <c r="M231" s="43">
        <v>0</v>
      </c>
      <c r="N231" s="1">
        <f t="shared" si="222"/>
        <v>1</v>
      </c>
      <c r="O231" s="1">
        <f t="shared" si="223"/>
        <v>2300</v>
      </c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:33" s="32" customFormat="1" ht="15" customHeight="1">
      <c r="A232" s="37">
        <v>43999</v>
      </c>
      <c r="B232" s="57" t="s">
        <v>458</v>
      </c>
      <c r="C232" s="20" t="s">
        <v>47</v>
      </c>
      <c r="D232" s="20">
        <v>3500</v>
      </c>
      <c r="E232" s="38">
        <v>250</v>
      </c>
      <c r="F232" s="20" t="s">
        <v>8</v>
      </c>
      <c r="G232" s="43">
        <v>55</v>
      </c>
      <c r="H232" s="43">
        <v>65</v>
      </c>
      <c r="I232" s="43">
        <v>0</v>
      </c>
      <c r="J232" s="43">
        <v>0</v>
      </c>
      <c r="K232" s="1">
        <f t="shared" ref="K232" si="274">(IF(F232="SELL",G232-H232,IF(F232="BUY",H232-G232)))*E232</f>
        <v>2500</v>
      </c>
      <c r="L232" s="43">
        <v>0</v>
      </c>
      <c r="M232" s="43">
        <v>0</v>
      </c>
      <c r="N232" s="1">
        <f t="shared" si="222"/>
        <v>10</v>
      </c>
      <c r="O232" s="1">
        <f t="shared" si="223"/>
        <v>2500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:33" s="32" customFormat="1" ht="15" customHeight="1">
      <c r="A233" s="37">
        <v>43999</v>
      </c>
      <c r="B233" s="57" t="s">
        <v>453</v>
      </c>
      <c r="C233" s="20" t="s">
        <v>47</v>
      </c>
      <c r="D233" s="20">
        <v>1100</v>
      </c>
      <c r="E233" s="38">
        <v>1100</v>
      </c>
      <c r="F233" s="20" t="s">
        <v>8</v>
      </c>
      <c r="G233" s="43">
        <v>5.7</v>
      </c>
      <c r="H233" s="43">
        <v>7.7</v>
      </c>
      <c r="I233" s="43">
        <v>0</v>
      </c>
      <c r="J233" s="43">
        <v>0</v>
      </c>
      <c r="K233" s="1">
        <f t="shared" ref="K233" si="275">(IF(F233="SELL",G233-H233,IF(F233="BUY",H233-G233)))*E233</f>
        <v>2200</v>
      </c>
      <c r="L233" s="43">
        <v>0</v>
      </c>
      <c r="M233" s="43">
        <v>0</v>
      </c>
      <c r="N233" s="1">
        <f t="shared" si="222"/>
        <v>2</v>
      </c>
      <c r="O233" s="1">
        <f t="shared" si="223"/>
        <v>2200</v>
      </c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 s="32" customFormat="1" ht="15" customHeight="1">
      <c r="A234" s="37">
        <v>43999</v>
      </c>
      <c r="B234" s="57" t="s">
        <v>122</v>
      </c>
      <c r="C234" s="20" t="s">
        <v>47</v>
      </c>
      <c r="D234" s="20">
        <v>1900</v>
      </c>
      <c r="E234" s="38">
        <v>250</v>
      </c>
      <c r="F234" s="20" t="s">
        <v>8</v>
      </c>
      <c r="G234" s="43">
        <v>34</v>
      </c>
      <c r="H234" s="43">
        <v>22</v>
      </c>
      <c r="I234" s="43">
        <v>0</v>
      </c>
      <c r="J234" s="43">
        <v>0</v>
      </c>
      <c r="K234" s="1">
        <f t="shared" ref="K234" si="276">(IF(F234="SELL",G234-H234,IF(F234="BUY",H234-G234)))*E234</f>
        <v>-3000</v>
      </c>
      <c r="L234" s="43">
        <v>0</v>
      </c>
      <c r="M234" s="43">
        <v>0</v>
      </c>
      <c r="N234" s="1">
        <f t="shared" si="222"/>
        <v>-12</v>
      </c>
      <c r="O234" s="1">
        <f t="shared" si="223"/>
        <v>-3000</v>
      </c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:33" s="32" customFormat="1" ht="15" customHeight="1">
      <c r="A235" s="37">
        <v>43998</v>
      </c>
      <c r="B235" s="57" t="s">
        <v>20</v>
      </c>
      <c r="C235" s="20" t="s">
        <v>47</v>
      </c>
      <c r="D235" s="20">
        <v>710</v>
      </c>
      <c r="E235" s="38">
        <v>1200</v>
      </c>
      <c r="F235" s="20" t="s">
        <v>8</v>
      </c>
      <c r="G235" s="43">
        <v>14.8</v>
      </c>
      <c r="H235" s="43">
        <v>16.399999999999999</v>
      </c>
      <c r="I235" s="43">
        <v>0</v>
      </c>
      <c r="J235" s="43">
        <v>0</v>
      </c>
      <c r="K235" s="1">
        <f t="shared" ref="K235" si="277">(IF(F235="SELL",G235-H235,IF(F235="BUY",H235-G235)))*E235</f>
        <v>1919.9999999999975</v>
      </c>
      <c r="L235" s="43">
        <v>0</v>
      </c>
      <c r="M235" s="43">
        <v>0</v>
      </c>
      <c r="N235" s="1">
        <f t="shared" si="222"/>
        <v>1.5999999999999979</v>
      </c>
      <c r="O235" s="1">
        <f t="shared" si="223"/>
        <v>1919.9999999999975</v>
      </c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:33" s="32" customFormat="1" ht="15" customHeight="1">
      <c r="A236" s="37">
        <v>43998</v>
      </c>
      <c r="B236" s="57" t="s">
        <v>332</v>
      </c>
      <c r="C236" s="20" t="s">
        <v>46</v>
      </c>
      <c r="D236" s="20">
        <v>530</v>
      </c>
      <c r="E236" s="38">
        <v>1200</v>
      </c>
      <c r="F236" s="20" t="s">
        <v>8</v>
      </c>
      <c r="G236" s="43">
        <v>10.1</v>
      </c>
      <c r="H236" s="43">
        <v>12.1</v>
      </c>
      <c r="I236" s="43">
        <v>15.1</v>
      </c>
      <c r="J236" s="43">
        <v>18</v>
      </c>
      <c r="K236" s="1">
        <f t="shared" ref="K236" si="278">(IF(F236="SELL",G236-H236,IF(F236="BUY",H236-G236)))*E236</f>
        <v>2400</v>
      </c>
      <c r="L236" s="43">
        <v>3600</v>
      </c>
      <c r="M236" s="43">
        <v>3200</v>
      </c>
      <c r="N236" s="1">
        <f t="shared" si="222"/>
        <v>7.666666666666667</v>
      </c>
      <c r="O236" s="1">
        <f t="shared" si="223"/>
        <v>9200</v>
      </c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:33" s="32" customFormat="1" ht="15" customHeight="1">
      <c r="A237" s="37">
        <v>43997</v>
      </c>
      <c r="B237" s="57" t="s">
        <v>21</v>
      </c>
      <c r="C237" s="20" t="s">
        <v>46</v>
      </c>
      <c r="D237" s="20">
        <v>165</v>
      </c>
      <c r="E237" s="38">
        <v>3000</v>
      </c>
      <c r="F237" s="20" t="s">
        <v>8</v>
      </c>
      <c r="G237" s="43">
        <v>4.4000000000000004</v>
      </c>
      <c r="H237" s="43">
        <v>5.25</v>
      </c>
      <c r="I237" s="43">
        <v>0</v>
      </c>
      <c r="J237" s="43">
        <v>0</v>
      </c>
      <c r="K237" s="1">
        <f t="shared" ref="K237" si="279">(IF(F237="SELL",G237-H237,IF(F237="BUY",H237-G237)))*E237</f>
        <v>2549.9999999999991</v>
      </c>
      <c r="L237" s="43">
        <v>0</v>
      </c>
      <c r="M237" s="43">
        <v>0</v>
      </c>
      <c r="N237" s="1">
        <f t="shared" si="222"/>
        <v>0.84999999999999964</v>
      </c>
      <c r="O237" s="1">
        <f t="shared" si="223"/>
        <v>2549.9999999999991</v>
      </c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s="32" customFormat="1" ht="15" customHeight="1">
      <c r="A238" s="37">
        <v>43997</v>
      </c>
      <c r="B238" s="57" t="s">
        <v>18</v>
      </c>
      <c r="C238" s="20" t="s">
        <v>47</v>
      </c>
      <c r="D238" s="20">
        <v>680</v>
      </c>
      <c r="E238" s="38">
        <v>1150</v>
      </c>
      <c r="F238" s="20" t="s">
        <v>8</v>
      </c>
      <c r="G238" s="43">
        <v>9.5</v>
      </c>
      <c r="H238" s="43">
        <v>8</v>
      </c>
      <c r="I238" s="43">
        <v>0</v>
      </c>
      <c r="J238" s="43">
        <v>0</v>
      </c>
      <c r="K238" s="1">
        <f t="shared" ref="K238" si="280">(IF(F238="SELL",G238-H238,IF(F238="BUY",H238-G238)))*E238</f>
        <v>-1725</v>
      </c>
      <c r="L238" s="43">
        <v>0</v>
      </c>
      <c r="M238" s="43">
        <v>0</v>
      </c>
      <c r="N238" s="1">
        <f t="shared" si="222"/>
        <v>-1.5</v>
      </c>
      <c r="O238" s="1">
        <f t="shared" si="223"/>
        <v>-1725</v>
      </c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:33" s="32" customFormat="1" ht="15" customHeight="1">
      <c r="A239" s="37">
        <v>43994</v>
      </c>
      <c r="B239" s="57" t="s">
        <v>72</v>
      </c>
      <c r="C239" s="20" t="s">
        <v>47</v>
      </c>
      <c r="D239" s="20">
        <v>440</v>
      </c>
      <c r="E239" s="38">
        <v>1800</v>
      </c>
      <c r="F239" s="20" t="s">
        <v>8</v>
      </c>
      <c r="G239" s="43">
        <v>2.9</v>
      </c>
      <c r="H239" s="43">
        <v>2.5</v>
      </c>
      <c r="I239" s="43">
        <v>0</v>
      </c>
      <c r="J239" s="43">
        <v>0</v>
      </c>
      <c r="K239" s="1">
        <f t="shared" ref="K239" si="281">(IF(F239="SELL",G239-H239,IF(F239="BUY",H239-G239)))*E239</f>
        <v>-719.99999999999989</v>
      </c>
      <c r="L239" s="43">
        <v>0</v>
      </c>
      <c r="M239" s="43">
        <v>0</v>
      </c>
      <c r="N239" s="1">
        <f t="shared" si="222"/>
        <v>-0.39999999999999991</v>
      </c>
      <c r="O239" s="1">
        <f t="shared" si="223"/>
        <v>-719.99999999999989</v>
      </c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:33" s="32" customFormat="1" ht="15" customHeight="1">
      <c r="A240" s="37">
        <v>43993</v>
      </c>
      <c r="B240" s="57" t="s">
        <v>175</v>
      </c>
      <c r="C240" s="20" t="s">
        <v>46</v>
      </c>
      <c r="D240" s="20">
        <v>2100</v>
      </c>
      <c r="E240" s="38">
        <v>250</v>
      </c>
      <c r="F240" s="20" t="s">
        <v>8</v>
      </c>
      <c r="G240" s="43">
        <v>45</v>
      </c>
      <c r="H240" s="43">
        <v>53.95</v>
      </c>
      <c r="I240" s="43">
        <v>0</v>
      </c>
      <c r="J240" s="43">
        <v>0</v>
      </c>
      <c r="K240" s="1">
        <f t="shared" ref="K240" si="282">(IF(F240="SELL",G240-H240,IF(F240="BUY",H240-G240)))*E240</f>
        <v>2237.5000000000009</v>
      </c>
      <c r="L240" s="43">
        <v>0</v>
      </c>
      <c r="M240" s="43">
        <v>0</v>
      </c>
      <c r="N240" s="1">
        <f t="shared" si="222"/>
        <v>8.9500000000000028</v>
      </c>
      <c r="O240" s="1">
        <f t="shared" si="223"/>
        <v>2237.5000000000009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:33" s="32" customFormat="1" ht="15" customHeight="1">
      <c r="A241" s="37">
        <v>43993</v>
      </c>
      <c r="B241" s="57" t="s">
        <v>423</v>
      </c>
      <c r="C241" s="20" t="s">
        <v>47</v>
      </c>
      <c r="D241" s="20">
        <v>900</v>
      </c>
      <c r="E241" s="38">
        <v>1000</v>
      </c>
      <c r="F241" s="20" t="s">
        <v>8</v>
      </c>
      <c r="G241" s="43">
        <v>6.3</v>
      </c>
      <c r="H241" s="43">
        <v>8.3000000000000007</v>
      </c>
      <c r="I241" s="43">
        <v>0</v>
      </c>
      <c r="J241" s="43">
        <v>0</v>
      </c>
      <c r="K241" s="1">
        <f t="shared" ref="K241" si="283">(IF(F241="SELL",G241-H241,IF(F241="BUY",H241-G241)))*E241</f>
        <v>2000.0000000000009</v>
      </c>
      <c r="L241" s="43">
        <v>2500</v>
      </c>
      <c r="M241" s="43">
        <v>0</v>
      </c>
      <c r="N241" s="1">
        <f t="shared" ref="N241:N304" si="284">(L241+K241+M241)/E241</f>
        <v>4.5000000000000009</v>
      </c>
      <c r="O241" s="1">
        <f t="shared" ref="O241:O304" si="285">N241*E241</f>
        <v>4500.0000000000009</v>
      </c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1:33" s="32" customFormat="1" ht="15" customHeight="1">
      <c r="A242" s="37">
        <v>43993</v>
      </c>
      <c r="B242" s="57" t="s">
        <v>58</v>
      </c>
      <c r="C242" s="20" t="s">
        <v>47</v>
      </c>
      <c r="D242" s="20">
        <v>580</v>
      </c>
      <c r="E242" s="38">
        <v>1000</v>
      </c>
      <c r="F242" s="20" t="s">
        <v>8</v>
      </c>
      <c r="G242" s="43">
        <v>13.5</v>
      </c>
      <c r="H242" s="43">
        <v>10.5</v>
      </c>
      <c r="I242" s="43">
        <v>0</v>
      </c>
      <c r="J242" s="43">
        <v>0</v>
      </c>
      <c r="K242" s="1">
        <f t="shared" ref="K242" si="286">(IF(F242="SELL",G242-H242,IF(F242="BUY",H242-G242)))*E242</f>
        <v>-3000</v>
      </c>
      <c r="L242" s="43">
        <v>0</v>
      </c>
      <c r="M242" s="43">
        <v>0</v>
      </c>
      <c r="N242" s="1">
        <f t="shared" si="284"/>
        <v>-3</v>
      </c>
      <c r="O242" s="1">
        <f t="shared" si="285"/>
        <v>-3000</v>
      </c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1:33" s="32" customFormat="1" ht="15" customHeight="1">
      <c r="A243" s="37">
        <v>43992</v>
      </c>
      <c r="B243" s="57" t="s">
        <v>37</v>
      </c>
      <c r="C243" s="20" t="s">
        <v>47</v>
      </c>
      <c r="D243" s="20">
        <v>2100</v>
      </c>
      <c r="E243" s="38">
        <v>250</v>
      </c>
      <c r="F243" s="20" t="s">
        <v>8</v>
      </c>
      <c r="G243" s="43">
        <v>59</v>
      </c>
      <c r="H243" s="43">
        <v>69</v>
      </c>
      <c r="I243" s="43">
        <v>79</v>
      </c>
      <c r="J243" s="43">
        <v>0</v>
      </c>
      <c r="K243" s="1">
        <f t="shared" ref="K243" si="287">(IF(F243="SELL",G243-H243,IF(F243="BUY",H243-G243)))*E243</f>
        <v>2500</v>
      </c>
      <c r="L243" s="43">
        <v>2500</v>
      </c>
      <c r="M243" s="43">
        <v>0</v>
      </c>
      <c r="N243" s="1">
        <f t="shared" si="284"/>
        <v>20</v>
      </c>
      <c r="O243" s="1">
        <f t="shared" si="285"/>
        <v>5000</v>
      </c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1:33" s="32" customFormat="1" ht="15" customHeight="1">
      <c r="A244" s="37">
        <v>43992</v>
      </c>
      <c r="B244" s="57" t="s">
        <v>454</v>
      </c>
      <c r="C244" s="20" t="s">
        <v>47</v>
      </c>
      <c r="D244" s="20">
        <v>1010</v>
      </c>
      <c r="E244" s="38">
        <v>700</v>
      </c>
      <c r="F244" s="20" t="s">
        <v>8</v>
      </c>
      <c r="G244" s="43">
        <v>12.5</v>
      </c>
      <c r="H244" s="43">
        <v>10</v>
      </c>
      <c r="I244" s="43">
        <v>0</v>
      </c>
      <c r="J244" s="43">
        <v>0</v>
      </c>
      <c r="K244" s="1">
        <f t="shared" ref="K244" si="288">(IF(F244="SELL",G244-H244,IF(F244="BUY",H244-G244)))*E244</f>
        <v>-1750</v>
      </c>
      <c r="L244" s="43">
        <v>0</v>
      </c>
      <c r="M244" s="43">
        <v>0</v>
      </c>
      <c r="N244" s="1">
        <f t="shared" si="284"/>
        <v>-2.5</v>
      </c>
      <c r="O244" s="1">
        <f t="shared" si="285"/>
        <v>-1750</v>
      </c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1:33" s="32" customFormat="1" ht="15" customHeight="1">
      <c r="A245" s="37">
        <v>43991</v>
      </c>
      <c r="B245" s="57" t="s">
        <v>363</v>
      </c>
      <c r="C245" s="20" t="s">
        <v>47</v>
      </c>
      <c r="D245" s="20">
        <v>1000</v>
      </c>
      <c r="E245" s="38">
        <v>750</v>
      </c>
      <c r="F245" s="20" t="s">
        <v>8</v>
      </c>
      <c r="G245" s="43">
        <v>22</v>
      </c>
      <c r="H245" s="43">
        <v>26</v>
      </c>
      <c r="I245" s="43">
        <v>30</v>
      </c>
      <c r="J245" s="43">
        <v>38</v>
      </c>
      <c r="K245" s="1">
        <f t="shared" ref="K245" si="289">(IF(F245="SELL",G245-H245,IF(F245="BUY",H245-G245)))*E245</f>
        <v>3000</v>
      </c>
      <c r="L245" s="43">
        <v>3000</v>
      </c>
      <c r="M245" s="43">
        <f>750*8</f>
        <v>6000</v>
      </c>
      <c r="N245" s="1">
        <f t="shared" si="284"/>
        <v>16</v>
      </c>
      <c r="O245" s="1">
        <f t="shared" si="285"/>
        <v>12000</v>
      </c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1:33" s="32" customFormat="1" ht="15" customHeight="1">
      <c r="A246" s="37">
        <v>43991</v>
      </c>
      <c r="B246" s="57" t="s">
        <v>417</v>
      </c>
      <c r="C246" s="20" t="s">
        <v>47</v>
      </c>
      <c r="D246" s="20">
        <v>450</v>
      </c>
      <c r="E246" s="38">
        <v>1400</v>
      </c>
      <c r="F246" s="20" t="s">
        <v>8</v>
      </c>
      <c r="G246" s="43">
        <v>10.199999999999999</v>
      </c>
      <c r="H246" s="43">
        <v>11.8</v>
      </c>
      <c r="I246" s="43">
        <v>0</v>
      </c>
      <c r="J246" s="43">
        <v>0</v>
      </c>
      <c r="K246" s="1">
        <f t="shared" ref="K246" si="290">(IF(F246="SELL",G246-H246,IF(F246="BUY",H246-G246)))*E246</f>
        <v>2240.0000000000018</v>
      </c>
      <c r="L246" s="43">
        <v>0</v>
      </c>
      <c r="M246" s="43">
        <v>0</v>
      </c>
      <c r="N246" s="1">
        <f t="shared" si="284"/>
        <v>1.6000000000000012</v>
      </c>
      <c r="O246" s="1">
        <f t="shared" si="285"/>
        <v>2240.0000000000018</v>
      </c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1:33" s="32" customFormat="1" ht="15" customHeight="1">
      <c r="A247" s="37">
        <v>43991</v>
      </c>
      <c r="B247" s="57" t="s">
        <v>106</v>
      </c>
      <c r="C247" s="20" t="s">
        <v>47</v>
      </c>
      <c r="D247" s="20">
        <v>370</v>
      </c>
      <c r="E247" s="38">
        <v>250</v>
      </c>
      <c r="F247" s="20" t="s">
        <v>8</v>
      </c>
      <c r="G247" s="43">
        <v>47</v>
      </c>
      <c r="H247" s="43">
        <v>47</v>
      </c>
      <c r="I247" s="43">
        <v>0</v>
      </c>
      <c r="J247" s="43">
        <v>0</v>
      </c>
      <c r="K247" s="1">
        <f t="shared" ref="K247" si="291">(IF(F247="SELL",G247-H247,IF(F247="BUY",H247-G247)))*E247</f>
        <v>0</v>
      </c>
      <c r="L247" s="43">
        <v>0</v>
      </c>
      <c r="M247" s="43">
        <v>0</v>
      </c>
      <c r="N247" s="1">
        <f t="shared" si="284"/>
        <v>0</v>
      </c>
      <c r="O247" s="1">
        <f t="shared" si="285"/>
        <v>0</v>
      </c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1:33" s="32" customFormat="1" ht="15" customHeight="1">
      <c r="A248" s="37">
        <v>43990</v>
      </c>
      <c r="B248" s="57" t="s">
        <v>363</v>
      </c>
      <c r="C248" s="20" t="s">
        <v>47</v>
      </c>
      <c r="D248" s="20">
        <v>1040</v>
      </c>
      <c r="E248" s="38">
        <v>750</v>
      </c>
      <c r="F248" s="20" t="s">
        <v>8</v>
      </c>
      <c r="G248" s="43">
        <v>12</v>
      </c>
      <c r="H248" s="43">
        <v>16</v>
      </c>
      <c r="I248" s="43">
        <v>20</v>
      </c>
      <c r="J248" s="43">
        <v>0</v>
      </c>
      <c r="K248" s="1">
        <f t="shared" ref="K248" si="292">(IF(F248="SELL",G248-H248,IF(F248="BUY",H248-G248)))*E248</f>
        <v>3000</v>
      </c>
      <c r="L248" s="43">
        <v>3000</v>
      </c>
      <c r="M248" s="43">
        <v>0</v>
      </c>
      <c r="N248" s="1">
        <f t="shared" si="284"/>
        <v>8</v>
      </c>
      <c r="O248" s="1">
        <f t="shared" si="285"/>
        <v>6000</v>
      </c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1:33" s="32" customFormat="1" ht="15" customHeight="1">
      <c r="A249" s="37">
        <v>43990</v>
      </c>
      <c r="B249" s="57" t="s">
        <v>20</v>
      </c>
      <c r="C249" s="20" t="s">
        <v>47</v>
      </c>
      <c r="D249" s="20">
        <v>760</v>
      </c>
      <c r="E249" s="38">
        <v>1200</v>
      </c>
      <c r="F249" s="20" t="s">
        <v>8</v>
      </c>
      <c r="G249" s="43">
        <v>7.1</v>
      </c>
      <c r="H249" s="43">
        <v>9.1</v>
      </c>
      <c r="I249" s="43">
        <v>0</v>
      </c>
      <c r="J249" s="43">
        <v>0</v>
      </c>
      <c r="K249" s="1">
        <f t="shared" ref="K249" si="293">(IF(F249="SELL",G249-H249,IF(F249="BUY",H249-G249)))*E249</f>
        <v>2400</v>
      </c>
      <c r="L249" s="43">
        <v>0</v>
      </c>
      <c r="M249" s="43">
        <v>0</v>
      </c>
      <c r="N249" s="1">
        <f t="shared" si="284"/>
        <v>2</v>
      </c>
      <c r="O249" s="1">
        <f t="shared" si="285"/>
        <v>2400</v>
      </c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1:33" s="32" customFormat="1" ht="15" customHeight="1">
      <c r="A250" s="37">
        <v>43987</v>
      </c>
      <c r="B250" s="57" t="s">
        <v>16</v>
      </c>
      <c r="C250" s="20" t="s">
        <v>47</v>
      </c>
      <c r="D250" s="20">
        <v>370</v>
      </c>
      <c r="E250" s="38">
        <v>2500</v>
      </c>
      <c r="F250" s="20" t="s">
        <v>8</v>
      </c>
      <c r="G250" s="43">
        <v>3.5</v>
      </c>
      <c r="H250" s="43">
        <v>4.3</v>
      </c>
      <c r="I250" s="43">
        <v>0</v>
      </c>
      <c r="J250" s="43">
        <v>0</v>
      </c>
      <c r="K250" s="1">
        <f t="shared" ref="K250" si="294">(IF(F250="SELL",G250-H250,IF(F250="BUY",H250-G250)))*E250</f>
        <v>1999.9999999999995</v>
      </c>
      <c r="L250" s="43">
        <v>0</v>
      </c>
      <c r="M250" s="43">
        <v>0</v>
      </c>
      <c r="N250" s="1">
        <f t="shared" si="284"/>
        <v>0.79999999999999982</v>
      </c>
      <c r="O250" s="1">
        <f t="shared" si="285"/>
        <v>1999.9999999999995</v>
      </c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1:33" s="32" customFormat="1" ht="15" customHeight="1">
      <c r="A251" s="37">
        <v>43987</v>
      </c>
      <c r="B251" s="57" t="s">
        <v>106</v>
      </c>
      <c r="C251" s="20" t="s">
        <v>47</v>
      </c>
      <c r="D251" s="20">
        <v>4300</v>
      </c>
      <c r="E251" s="38">
        <v>250</v>
      </c>
      <c r="F251" s="20" t="s">
        <v>8</v>
      </c>
      <c r="G251" s="43">
        <v>60</v>
      </c>
      <c r="H251" s="43">
        <v>55</v>
      </c>
      <c r="I251" s="43">
        <v>0</v>
      </c>
      <c r="J251" s="43">
        <v>0</v>
      </c>
      <c r="K251" s="1">
        <f t="shared" ref="K251" si="295">(IF(F251="SELL",G251-H251,IF(F251="BUY",H251-G251)))*E251</f>
        <v>-1250</v>
      </c>
      <c r="L251" s="43">
        <v>0</v>
      </c>
      <c r="M251" s="43">
        <v>0</v>
      </c>
      <c r="N251" s="1">
        <f t="shared" si="284"/>
        <v>-5</v>
      </c>
      <c r="O251" s="1">
        <f t="shared" si="285"/>
        <v>-1250</v>
      </c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1:33" s="32" customFormat="1" ht="15" customHeight="1">
      <c r="A252" s="37">
        <v>43986</v>
      </c>
      <c r="B252" s="57" t="s">
        <v>391</v>
      </c>
      <c r="C252" s="20" t="s">
        <v>47</v>
      </c>
      <c r="D252" s="20">
        <v>500</v>
      </c>
      <c r="E252" s="38">
        <v>1250</v>
      </c>
      <c r="F252" s="20" t="s">
        <v>8</v>
      </c>
      <c r="G252" s="43">
        <v>15</v>
      </c>
      <c r="H252" s="43">
        <v>18</v>
      </c>
      <c r="I252" s="43">
        <v>22</v>
      </c>
      <c r="J252" s="43">
        <v>0</v>
      </c>
      <c r="K252" s="1">
        <f t="shared" ref="K252" si="296">(IF(F252="SELL",G252-H252,IF(F252="BUY",H252-G252)))*E252</f>
        <v>3750</v>
      </c>
      <c r="L252" s="43">
        <f>D252*4</f>
        <v>2000</v>
      </c>
      <c r="M252" s="43">
        <v>0</v>
      </c>
      <c r="N252" s="1">
        <f t="shared" si="284"/>
        <v>4.5999999999999996</v>
      </c>
      <c r="O252" s="1">
        <f t="shared" si="285"/>
        <v>5750</v>
      </c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1:33" s="32" customFormat="1" ht="15" customHeight="1">
      <c r="A253" s="37">
        <v>43986</v>
      </c>
      <c r="B253" s="57" t="s">
        <v>454</v>
      </c>
      <c r="C253" s="20" t="s">
        <v>47</v>
      </c>
      <c r="D253" s="20">
        <v>920</v>
      </c>
      <c r="E253" s="38">
        <v>700</v>
      </c>
      <c r="F253" s="20" t="s">
        <v>8</v>
      </c>
      <c r="G253" s="43">
        <v>25.5</v>
      </c>
      <c r="H253" s="43">
        <v>29.5</v>
      </c>
      <c r="I253" s="43">
        <v>35</v>
      </c>
      <c r="J253" s="43">
        <v>0</v>
      </c>
      <c r="K253" s="1">
        <f t="shared" ref="K253" si="297">(IF(F253="SELL",G253-H253,IF(F253="BUY",H253-G253)))*E253</f>
        <v>2800</v>
      </c>
      <c r="L253" s="43">
        <f>700*5.5</f>
        <v>3850</v>
      </c>
      <c r="M253" s="43">
        <v>0</v>
      </c>
      <c r="N253" s="1">
        <f t="shared" si="284"/>
        <v>9.5</v>
      </c>
      <c r="O253" s="1">
        <f t="shared" si="285"/>
        <v>6650</v>
      </c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1:33" s="32" customFormat="1" ht="15" customHeight="1">
      <c r="A254" s="37">
        <v>43985</v>
      </c>
      <c r="B254" s="57" t="s">
        <v>453</v>
      </c>
      <c r="C254" s="20" t="s">
        <v>47</v>
      </c>
      <c r="D254" s="20">
        <v>1080</v>
      </c>
      <c r="E254" s="38">
        <v>1100</v>
      </c>
      <c r="F254" s="20" t="s">
        <v>8</v>
      </c>
      <c r="G254" s="43">
        <v>12.5</v>
      </c>
      <c r="H254" s="43">
        <v>15.5</v>
      </c>
      <c r="I254" s="43">
        <v>0</v>
      </c>
      <c r="J254" s="43">
        <v>0</v>
      </c>
      <c r="K254" s="1">
        <f t="shared" ref="K254" si="298">(IF(F254="SELL",G254-H254,IF(F254="BUY",H254-G254)))*E254</f>
        <v>3300</v>
      </c>
      <c r="L254" s="43">
        <v>0</v>
      </c>
      <c r="M254" s="43">
        <v>0</v>
      </c>
      <c r="N254" s="1">
        <f t="shared" si="284"/>
        <v>3</v>
      </c>
      <c r="O254" s="1">
        <f t="shared" si="285"/>
        <v>3300</v>
      </c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1:33" s="32" customFormat="1" ht="15" customHeight="1">
      <c r="A255" s="37">
        <v>43985</v>
      </c>
      <c r="B255" s="57" t="s">
        <v>454</v>
      </c>
      <c r="C255" s="20" t="s">
        <v>47</v>
      </c>
      <c r="D255" s="20">
        <v>920</v>
      </c>
      <c r="E255" s="38">
        <v>700</v>
      </c>
      <c r="F255" s="20" t="s">
        <v>8</v>
      </c>
      <c r="G255" s="43">
        <v>24.5</v>
      </c>
      <c r="H255" s="43">
        <v>24.5</v>
      </c>
      <c r="I255" s="43">
        <v>0</v>
      </c>
      <c r="J255" s="43">
        <v>0</v>
      </c>
      <c r="K255" s="1">
        <f t="shared" ref="K255" si="299">(IF(F255="SELL",G255-H255,IF(F255="BUY",H255-G255)))*E255</f>
        <v>0</v>
      </c>
      <c r="L255" s="43">
        <v>0</v>
      </c>
      <c r="M255" s="43">
        <v>0</v>
      </c>
      <c r="N255" s="1">
        <f t="shared" si="284"/>
        <v>0</v>
      </c>
      <c r="O255" s="1">
        <f t="shared" si="285"/>
        <v>0</v>
      </c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1:33" s="32" customFormat="1" ht="15" customHeight="1">
      <c r="A256" s="37">
        <v>43984</v>
      </c>
      <c r="B256" s="57" t="s">
        <v>16</v>
      </c>
      <c r="C256" s="20" t="s">
        <v>47</v>
      </c>
      <c r="D256" s="20">
        <v>160</v>
      </c>
      <c r="E256" s="38">
        <v>2500</v>
      </c>
      <c r="F256" s="20" t="s">
        <v>8</v>
      </c>
      <c r="G256" s="43">
        <v>3.6</v>
      </c>
      <c r="H256" s="43">
        <v>4.5999999999999996</v>
      </c>
      <c r="I256" s="43">
        <v>0</v>
      </c>
      <c r="J256" s="43">
        <v>0</v>
      </c>
      <c r="K256" s="1">
        <f t="shared" ref="K256" si="300">(IF(F256="SELL",G256-H256,IF(F256="BUY",H256-G256)))*E256</f>
        <v>2499.9999999999991</v>
      </c>
      <c r="L256" s="43">
        <v>0</v>
      </c>
      <c r="M256" s="43">
        <v>0</v>
      </c>
      <c r="N256" s="1">
        <f t="shared" si="284"/>
        <v>0.99999999999999967</v>
      </c>
      <c r="O256" s="1">
        <f t="shared" si="285"/>
        <v>2499.9999999999991</v>
      </c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:33" s="32" customFormat="1" ht="15" customHeight="1">
      <c r="A257" s="37">
        <v>43984</v>
      </c>
      <c r="B257" s="57" t="s">
        <v>28</v>
      </c>
      <c r="C257" s="20" t="s">
        <v>47</v>
      </c>
      <c r="D257" s="20">
        <v>670</v>
      </c>
      <c r="E257" s="38">
        <v>1875</v>
      </c>
      <c r="F257" s="20" t="s">
        <v>8</v>
      </c>
      <c r="G257" s="43">
        <v>2</v>
      </c>
      <c r="H257" s="43">
        <v>2</v>
      </c>
      <c r="I257" s="43">
        <v>0</v>
      </c>
      <c r="J257" s="43">
        <v>0</v>
      </c>
      <c r="K257" s="1">
        <f t="shared" ref="K257" si="301">(IF(F257="SELL",G257-H257,IF(F257="BUY",H257-G257)))*E257</f>
        <v>0</v>
      </c>
      <c r="L257" s="43">
        <v>0</v>
      </c>
      <c r="M257" s="43">
        <v>0</v>
      </c>
      <c r="N257" s="1">
        <f t="shared" si="284"/>
        <v>0</v>
      </c>
      <c r="O257" s="1">
        <f t="shared" si="285"/>
        <v>0</v>
      </c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1:33" s="32" customFormat="1" ht="15" customHeight="1">
      <c r="A258" s="37">
        <v>43983</v>
      </c>
      <c r="B258" s="57" t="s">
        <v>476</v>
      </c>
      <c r="C258" s="20" t="s">
        <v>47</v>
      </c>
      <c r="D258" s="20">
        <v>160</v>
      </c>
      <c r="E258" s="38">
        <v>6000</v>
      </c>
      <c r="F258" s="20" t="s">
        <v>8</v>
      </c>
      <c r="G258" s="43">
        <v>0.9</v>
      </c>
      <c r="H258" s="43">
        <v>1.25</v>
      </c>
      <c r="I258" s="43">
        <v>0</v>
      </c>
      <c r="J258" s="43">
        <v>0</v>
      </c>
      <c r="K258" s="1">
        <f t="shared" ref="K258" si="302">(IF(F258="SELL",G258-H258,IF(F258="BUY",H258-G258)))*E258</f>
        <v>2100</v>
      </c>
      <c r="L258" s="43">
        <v>0</v>
      </c>
      <c r="M258" s="43">
        <v>0</v>
      </c>
      <c r="N258" s="1">
        <f t="shared" si="284"/>
        <v>0.35</v>
      </c>
      <c r="O258" s="1">
        <f t="shared" si="285"/>
        <v>2100</v>
      </c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1:33" s="32" customFormat="1" ht="15" customHeight="1">
      <c r="A259" s="37">
        <v>43983</v>
      </c>
      <c r="B259" s="57" t="s">
        <v>20</v>
      </c>
      <c r="C259" s="20" t="s">
        <v>47</v>
      </c>
      <c r="D259" s="20">
        <v>730</v>
      </c>
      <c r="E259" s="38">
        <v>1250</v>
      </c>
      <c r="F259" s="20" t="s">
        <v>8</v>
      </c>
      <c r="G259" s="43">
        <v>10.199999999999999</v>
      </c>
      <c r="H259" s="43">
        <v>11.8</v>
      </c>
      <c r="I259" s="43">
        <v>0</v>
      </c>
      <c r="J259" s="43">
        <v>0</v>
      </c>
      <c r="K259" s="1">
        <f t="shared" ref="K259" si="303">(IF(F259="SELL",G259-H259,IF(F259="BUY",H259-G259)))*E259</f>
        <v>2000.0000000000018</v>
      </c>
      <c r="L259" s="43">
        <v>0</v>
      </c>
      <c r="M259" s="43">
        <v>0</v>
      </c>
      <c r="N259" s="1">
        <f t="shared" si="284"/>
        <v>1.6000000000000014</v>
      </c>
      <c r="O259" s="1">
        <f t="shared" si="285"/>
        <v>2000.0000000000018</v>
      </c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1:33" s="32" customFormat="1" ht="15" customHeight="1">
      <c r="A260" s="37">
        <v>43980</v>
      </c>
      <c r="B260" s="57" t="s">
        <v>471</v>
      </c>
      <c r="C260" s="20" t="s">
        <v>47</v>
      </c>
      <c r="D260" s="20">
        <v>840</v>
      </c>
      <c r="E260" s="38">
        <v>1000</v>
      </c>
      <c r="F260" s="20" t="s">
        <v>8</v>
      </c>
      <c r="G260" s="43">
        <v>10.6</v>
      </c>
      <c r="H260" s="43">
        <v>7.9</v>
      </c>
      <c r="I260" s="43">
        <v>0</v>
      </c>
      <c r="J260" s="43">
        <v>0</v>
      </c>
      <c r="K260" s="1">
        <f t="shared" ref="K260" si="304">(IF(F260="SELL",G260-H260,IF(F260="BUY",H260-G260)))*E260</f>
        <v>-2699.9999999999991</v>
      </c>
      <c r="L260" s="43">
        <v>0</v>
      </c>
      <c r="M260" s="43">
        <v>0</v>
      </c>
      <c r="N260" s="1">
        <f t="shared" si="284"/>
        <v>-2.6999999999999993</v>
      </c>
      <c r="O260" s="1">
        <f t="shared" si="285"/>
        <v>-2699.9999999999991</v>
      </c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1:33" s="32" customFormat="1" ht="15" customHeight="1">
      <c r="A261" s="37">
        <v>43980</v>
      </c>
      <c r="B261" s="57" t="s">
        <v>474</v>
      </c>
      <c r="C261" s="20" t="s">
        <v>47</v>
      </c>
      <c r="D261" s="20">
        <v>370</v>
      </c>
      <c r="E261" s="38">
        <v>2300</v>
      </c>
      <c r="F261" s="20" t="s">
        <v>8</v>
      </c>
      <c r="G261" s="43">
        <v>8.5</v>
      </c>
      <c r="H261" s="43">
        <v>7</v>
      </c>
      <c r="I261" s="43">
        <v>0</v>
      </c>
      <c r="J261" s="43">
        <v>0</v>
      </c>
      <c r="K261" s="1">
        <f t="shared" ref="K261" si="305">(IF(F261="SELL",G261-H261,IF(F261="BUY",H261-G261)))*E261</f>
        <v>-3450</v>
      </c>
      <c r="L261" s="43">
        <v>0</v>
      </c>
      <c r="M261" s="43">
        <v>0</v>
      </c>
      <c r="N261" s="1">
        <f t="shared" si="284"/>
        <v>-1.5</v>
      </c>
      <c r="O261" s="1">
        <f t="shared" si="285"/>
        <v>-3450</v>
      </c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1:33" s="32" customFormat="1" ht="15" customHeight="1">
      <c r="A262" s="37">
        <v>43979</v>
      </c>
      <c r="B262" s="57" t="s">
        <v>128</v>
      </c>
      <c r="C262" s="20" t="s">
        <v>47</v>
      </c>
      <c r="D262" s="20">
        <v>1240</v>
      </c>
      <c r="E262" s="38">
        <v>400</v>
      </c>
      <c r="F262" s="20" t="s">
        <v>8</v>
      </c>
      <c r="G262" s="43">
        <v>7.5</v>
      </c>
      <c r="H262" s="43">
        <v>12.5</v>
      </c>
      <c r="I262" s="43">
        <v>0</v>
      </c>
      <c r="J262" s="43">
        <v>0</v>
      </c>
      <c r="K262" s="1">
        <f t="shared" ref="K262" si="306">(IF(F262="SELL",G262-H262,IF(F262="BUY",H262-G262)))*E262</f>
        <v>2000</v>
      </c>
      <c r="L262" s="43">
        <v>0</v>
      </c>
      <c r="M262" s="43">
        <v>0</v>
      </c>
      <c r="N262" s="1">
        <f t="shared" si="284"/>
        <v>5</v>
      </c>
      <c r="O262" s="1">
        <f t="shared" si="285"/>
        <v>2000</v>
      </c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1:33" s="32" customFormat="1" ht="15" customHeight="1">
      <c r="A263" s="37">
        <v>43979</v>
      </c>
      <c r="B263" s="57" t="s">
        <v>131</v>
      </c>
      <c r="C263" s="20" t="s">
        <v>47</v>
      </c>
      <c r="D263" s="20">
        <v>190</v>
      </c>
      <c r="E263" s="38">
        <v>2500</v>
      </c>
      <c r="F263" s="20" t="s">
        <v>8</v>
      </c>
      <c r="G263" s="43">
        <v>7.8</v>
      </c>
      <c r="H263" s="43">
        <v>8.65</v>
      </c>
      <c r="I263" s="43">
        <v>0</v>
      </c>
      <c r="J263" s="43">
        <v>0</v>
      </c>
      <c r="K263" s="1">
        <f t="shared" ref="K263" si="307">(IF(F263="SELL",G263-H263,IF(F263="BUY",H263-G263)))*E263</f>
        <v>2125.0000000000014</v>
      </c>
      <c r="L263" s="43">
        <v>0</v>
      </c>
      <c r="M263" s="43">
        <v>0</v>
      </c>
      <c r="N263" s="1">
        <f t="shared" si="284"/>
        <v>0.85000000000000053</v>
      </c>
      <c r="O263" s="1">
        <f t="shared" si="285"/>
        <v>2125.0000000000014</v>
      </c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1:33" s="32" customFormat="1" ht="15" customHeight="1">
      <c r="A264" s="37">
        <v>43978</v>
      </c>
      <c r="B264" s="57" t="s">
        <v>435</v>
      </c>
      <c r="C264" s="20" t="s">
        <v>47</v>
      </c>
      <c r="D264" s="20">
        <v>110</v>
      </c>
      <c r="E264" s="38">
        <v>1500</v>
      </c>
      <c r="F264" s="20" t="s">
        <v>8</v>
      </c>
      <c r="G264" s="43">
        <v>3</v>
      </c>
      <c r="H264" s="43">
        <v>4</v>
      </c>
      <c r="I264" s="43">
        <v>5</v>
      </c>
      <c r="J264" s="43">
        <v>7</v>
      </c>
      <c r="K264" s="1">
        <f t="shared" ref="K264" si="308">(IF(F264="SELL",G264-H264,IF(F264="BUY",H264-G264)))*E264</f>
        <v>1500</v>
      </c>
      <c r="L264" s="43">
        <v>1500</v>
      </c>
      <c r="M264" s="43">
        <v>3000</v>
      </c>
      <c r="N264" s="1">
        <f t="shared" si="284"/>
        <v>4</v>
      </c>
      <c r="O264" s="1">
        <f t="shared" si="285"/>
        <v>6000</v>
      </c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 spans="1:33" s="32" customFormat="1" ht="15" customHeight="1">
      <c r="A265" s="37">
        <v>43978</v>
      </c>
      <c r="B265" s="20" t="s">
        <v>428</v>
      </c>
      <c r="C265" s="20" t="s">
        <v>47</v>
      </c>
      <c r="D265" s="20">
        <v>340</v>
      </c>
      <c r="E265" s="38">
        <v>400</v>
      </c>
      <c r="F265" s="20" t="s">
        <v>8</v>
      </c>
      <c r="G265" s="43">
        <v>18</v>
      </c>
      <c r="H265" s="43">
        <v>22</v>
      </c>
      <c r="I265" s="43">
        <v>28</v>
      </c>
      <c r="J265" s="43">
        <v>36</v>
      </c>
      <c r="K265" s="1">
        <f t="shared" ref="K265" si="309">(IF(F265="SELL",G265-H265,IF(F265="BUY",H265-G265)))*E265</f>
        <v>1600</v>
      </c>
      <c r="L265" s="43">
        <v>2400</v>
      </c>
      <c r="M265" s="43">
        <v>3200</v>
      </c>
      <c r="N265" s="1">
        <f t="shared" si="284"/>
        <v>18</v>
      </c>
      <c r="O265" s="1">
        <f t="shared" si="285"/>
        <v>7200</v>
      </c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 spans="1:33" s="32" customFormat="1" ht="15" customHeight="1">
      <c r="A266" s="37">
        <v>43978</v>
      </c>
      <c r="B266" s="20" t="s">
        <v>58</v>
      </c>
      <c r="C266" s="20" t="s">
        <v>47</v>
      </c>
      <c r="D266" s="20">
        <v>460</v>
      </c>
      <c r="E266" s="38">
        <v>1000</v>
      </c>
      <c r="F266" s="20" t="s">
        <v>8</v>
      </c>
      <c r="G266" s="43">
        <v>3.5</v>
      </c>
      <c r="H266" s="43">
        <v>5.5</v>
      </c>
      <c r="I266" s="43">
        <v>7.5</v>
      </c>
      <c r="J266" s="43">
        <v>0</v>
      </c>
      <c r="K266" s="1">
        <f t="shared" ref="K266" si="310">(IF(F266="SELL",G266-H266,IF(F266="BUY",H266-G266)))*E266</f>
        <v>2000</v>
      </c>
      <c r="L266" s="43">
        <v>2000</v>
      </c>
      <c r="M266" s="43">
        <v>0</v>
      </c>
      <c r="N266" s="1">
        <f t="shared" si="284"/>
        <v>4</v>
      </c>
      <c r="O266" s="1">
        <f t="shared" si="285"/>
        <v>4000</v>
      </c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 spans="1:33" s="32" customFormat="1" ht="15" customHeight="1">
      <c r="A267" s="37">
        <v>43977</v>
      </c>
      <c r="B267" s="20" t="s">
        <v>98</v>
      </c>
      <c r="C267" s="20" t="s">
        <v>47</v>
      </c>
      <c r="D267" s="20">
        <v>360</v>
      </c>
      <c r="E267" s="38">
        <v>2300</v>
      </c>
      <c r="F267" s="20" t="s">
        <v>8</v>
      </c>
      <c r="G267" s="43">
        <v>4.8</v>
      </c>
      <c r="H267" s="43">
        <v>3.4</v>
      </c>
      <c r="I267" s="43">
        <v>0</v>
      </c>
      <c r="J267" s="43">
        <v>0</v>
      </c>
      <c r="K267" s="1">
        <f t="shared" ref="K267" si="311">(IF(F267="SELL",G267-H267,IF(F267="BUY",H267-G267)))*E267</f>
        <v>-3220</v>
      </c>
      <c r="L267" s="43">
        <v>0</v>
      </c>
      <c r="M267" s="43">
        <v>0</v>
      </c>
      <c r="N267" s="1">
        <f t="shared" si="284"/>
        <v>-1.4</v>
      </c>
      <c r="O267" s="1">
        <f t="shared" si="285"/>
        <v>-3220</v>
      </c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 spans="1:33" s="32" customFormat="1" ht="15" customHeight="1">
      <c r="A268" s="37">
        <v>43977</v>
      </c>
      <c r="B268" s="20" t="s">
        <v>193</v>
      </c>
      <c r="C268" s="20" t="s">
        <v>47</v>
      </c>
      <c r="D268" s="20">
        <v>460</v>
      </c>
      <c r="E268" s="38">
        <v>1375</v>
      </c>
      <c r="F268" s="20" t="s">
        <v>8</v>
      </c>
      <c r="G268" s="43">
        <v>6.5</v>
      </c>
      <c r="H268" s="43">
        <v>8.5</v>
      </c>
      <c r="I268" s="43">
        <v>10.5</v>
      </c>
      <c r="J268" s="43">
        <v>13.5</v>
      </c>
      <c r="K268" s="1">
        <f t="shared" ref="K268" si="312">(IF(F268="SELL",G268-H268,IF(F268="BUY",H268-G268)))*E268</f>
        <v>2750</v>
      </c>
      <c r="L268" s="43">
        <f>E268*2</f>
        <v>2750</v>
      </c>
      <c r="M268" s="43">
        <f>E268*3</f>
        <v>4125</v>
      </c>
      <c r="N268" s="1">
        <f t="shared" si="284"/>
        <v>7</v>
      </c>
      <c r="O268" s="1">
        <f t="shared" si="285"/>
        <v>9625</v>
      </c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 spans="1:33" s="32" customFormat="1" ht="15" customHeight="1">
      <c r="A269" s="37">
        <v>43973</v>
      </c>
      <c r="B269" s="20" t="s">
        <v>444</v>
      </c>
      <c r="C269" s="20" t="s">
        <v>47</v>
      </c>
      <c r="D269" s="20">
        <v>120</v>
      </c>
      <c r="E269" s="38">
        <v>1600</v>
      </c>
      <c r="F269" s="20" t="s">
        <v>8</v>
      </c>
      <c r="G269" s="43">
        <v>2.2000000000000002</v>
      </c>
      <c r="H269" s="43">
        <v>3.5</v>
      </c>
      <c r="I269" s="43">
        <v>0</v>
      </c>
      <c r="J269" s="43">
        <v>0</v>
      </c>
      <c r="K269" s="1">
        <f t="shared" ref="K269" si="313">(IF(F269="SELL",G269-H269,IF(F269="BUY",H269-G269)))*E269</f>
        <v>2079.9999999999995</v>
      </c>
      <c r="L269" s="43">
        <v>0</v>
      </c>
      <c r="M269" s="43">
        <v>0</v>
      </c>
      <c r="N269" s="1">
        <f t="shared" si="284"/>
        <v>1.2999999999999998</v>
      </c>
      <c r="O269" s="1">
        <f t="shared" si="285"/>
        <v>2079.9999999999995</v>
      </c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pans="1:33" s="32" customFormat="1" ht="15" customHeight="1">
      <c r="A270" s="37">
        <v>43973</v>
      </c>
      <c r="B270" s="20" t="s">
        <v>21</v>
      </c>
      <c r="C270" s="20" t="s">
        <v>46</v>
      </c>
      <c r="D270" s="20">
        <v>150</v>
      </c>
      <c r="E270" s="38">
        <v>3000</v>
      </c>
      <c r="F270" s="20" t="s">
        <v>8</v>
      </c>
      <c r="G270" s="43">
        <v>4.5</v>
      </c>
      <c r="H270" s="43">
        <v>5.4</v>
      </c>
      <c r="I270" s="43">
        <v>0</v>
      </c>
      <c r="J270" s="43">
        <v>0</v>
      </c>
      <c r="K270" s="1">
        <f t="shared" ref="K270" si="314">(IF(F270="SELL",G270-H270,IF(F270="BUY",H270-G270)))*E270</f>
        <v>2700.0000000000009</v>
      </c>
      <c r="L270" s="43">
        <v>0</v>
      </c>
      <c r="M270" s="43">
        <v>0</v>
      </c>
      <c r="N270" s="1">
        <f t="shared" si="284"/>
        <v>0.90000000000000036</v>
      </c>
      <c r="O270" s="1">
        <f t="shared" si="285"/>
        <v>2700.0000000000009</v>
      </c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pans="1:33" s="32" customFormat="1" ht="15" customHeight="1">
      <c r="A271" s="37">
        <v>43972</v>
      </c>
      <c r="B271" s="20" t="s">
        <v>193</v>
      </c>
      <c r="C271" s="20" t="s">
        <v>47</v>
      </c>
      <c r="D271" s="20">
        <v>480</v>
      </c>
      <c r="E271" s="38">
        <v>1375</v>
      </c>
      <c r="F271" s="20" t="s">
        <v>8</v>
      </c>
      <c r="G271" s="43">
        <v>6</v>
      </c>
      <c r="H271" s="43">
        <v>4</v>
      </c>
      <c r="I271" s="43">
        <v>0</v>
      </c>
      <c r="J271" s="43">
        <v>0</v>
      </c>
      <c r="K271" s="1">
        <f t="shared" ref="K271" si="315">(IF(F271="SELL",G271-H271,IF(F271="BUY",H271-G271)))*E271</f>
        <v>-2750</v>
      </c>
      <c r="L271" s="43">
        <v>0</v>
      </c>
      <c r="M271" s="43">
        <v>0</v>
      </c>
      <c r="N271" s="1">
        <f t="shared" si="284"/>
        <v>-2</v>
      </c>
      <c r="O271" s="1">
        <f t="shared" si="285"/>
        <v>-2750</v>
      </c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 spans="1:33" s="32" customFormat="1" ht="15" customHeight="1">
      <c r="A272" s="37">
        <v>43972</v>
      </c>
      <c r="B272" s="20" t="s">
        <v>28</v>
      </c>
      <c r="C272" s="20" t="s">
        <v>47</v>
      </c>
      <c r="D272" s="20">
        <v>640</v>
      </c>
      <c r="E272" s="38">
        <v>1851</v>
      </c>
      <c r="F272" s="20" t="s">
        <v>8</v>
      </c>
      <c r="G272" s="43">
        <v>2.5</v>
      </c>
      <c r="H272" s="43">
        <v>1.2</v>
      </c>
      <c r="I272" s="43">
        <v>0</v>
      </c>
      <c r="J272" s="43">
        <v>0</v>
      </c>
      <c r="K272" s="1">
        <f t="shared" ref="K272" si="316">(IF(F272="SELL",G272-H272,IF(F272="BUY",H272-G272)))*E272</f>
        <v>-2406.3000000000002</v>
      </c>
      <c r="L272" s="43">
        <v>0</v>
      </c>
      <c r="M272" s="43">
        <v>0</v>
      </c>
      <c r="N272" s="1">
        <f t="shared" si="284"/>
        <v>-1.3</v>
      </c>
      <c r="O272" s="1">
        <f t="shared" si="285"/>
        <v>-2406.3000000000002</v>
      </c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 spans="1:33" s="32" customFormat="1" ht="15" customHeight="1">
      <c r="A273" s="37">
        <v>43971</v>
      </c>
      <c r="B273" s="20" t="s">
        <v>98</v>
      </c>
      <c r="C273" s="20" t="s">
        <v>47</v>
      </c>
      <c r="D273" s="20">
        <v>350</v>
      </c>
      <c r="E273" s="38">
        <v>2300</v>
      </c>
      <c r="F273" s="20" t="s">
        <v>8</v>
      </c>
      <c r="G273" s="43">
        <v>6.4</v>
      </c>
      <c r="H273" s="43">
        <v>7.2</v>
      </c>
      <c r="I273" s="43">
        <v>8.1999999999999993</v>
      </c>
      <c r="J273" s="43">
        <v>0</v>
      </c>
      <c r="K273" s="1">
        <f t="shared" ref="K273" si="317">(IF(F273="SELL",G273-H273,IF(F273="BUY",H273-G273)))*E273</f>
        <v>1839.9999999999995</v>
      </c>
      <c r="L273" s="43">
        <v>2300</v>
      </c>
      <c r="M273" s="43">
        <v>0</v>
      </c>
      <c r="N273" s="1">
        <f t="shared" si="284"/>
        <v>1.8</v>
      </c>
      <c r="O273" s="1">
        <f t="shared" si="285"/>
        <v>4140</v>
      </c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 spans="1:33" s="32" customFormat="1" ht="15" customHeight="1">
      <c r="A274" s="37">
        <v>43971</v>
      </c>
      <c r="B274" s="20" t="s">
        <v>106</v>
      </c>
      <c r="C274" s="20" t="s">
        <v>47</v>
      </c>
      <c r="D274" s="20">
        <v>4000</v>
      </c>
      <c r="E274" s="38">
        <v>250</v>
      </c>
      <c r="F274" s="20" t="s">
        <v>8</v>
      </c>
      <c r="G274" s="43">
        <v>45</v>
      </c>
      <c r="H274" s="43">
        <v>53</v>
      </c>
      <c r="I274" s="43">
        <v>63</v>
      </c>
      <c r="J274" s="43">
        <v>76</v>
      </c>
      <c r="K274" s="1">
        <f t="shared" ref="K274" si="318">(IF(F274="SELL",G274-H274,IF(F274="BUY",H274-G274)))*E274</f>
        <v>2000</v>
      </c>
      <c r="L274" s="43">
        <f>E274*10</f>
        <v>2500</v>
      </c>
      <c r="M274" s="43">
        <f>E274*13</f>
        <v>3250</v>
      </c>
      <c r="N274" s="1">
        <f t="shared" si="284"/>
        <v>31</v>
      </c>
      <c r="O274" s="1">
        <f t="shared" si="285"/>
        <v>7750</v>
      </c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 spans="1:33" s="32" customFormat="1" ht="15" customHeight="1">
      <c r="A275" s="37">
        <v>43970</v>
      </c>
      <c r="B275" s="20" t="s">
        <v>453</v>
      </c>
      <c r="C275" s="20" t="s">
        <v>47</v>
      </c>
      <c r="D275" s="20">
        <v>880</v>
      </c>
      <c r="E275" s="38">
        <v>1100</v>
      </c>
      <c r="F275" s="20" t="s">
        <v>8</v>
      </c>
      <c r="G275" s="43">
        <v>16</v>
      </c>
      <c r="H275" s="43">
        <v>18.25</v>
      </c>
      <c r="I275" s="43">
        <v>0</v>
      </c>
      <c r="J275" s="43">
        <v>0</v>
      </c>
      <c r="K275" s="1">
        <f t="shared" ref="K275" si="319">(IF(F275="SELL",G275-H275,IF(F275="BUY",H275-G275)))*E275</f>
        <v>2475</v>
      </c>
      <c r="L275" s="43">
        <v>0</v>
      </c>
      <c r="M275" s="43">
        <v>0</v>
      </c>
      <c r="N275" s="1">
        <f t="shared" si="284"/>
        <v>2.25</v>
      </c>
      <c r="O275" s="1">
        <f t="shared" si="285"/>
        <v>2475</v>
      </c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 spans="1:33" s="32" customFormat="1" ht="15" customHeight="1">
      <c r="A276" s="37">
        <v>43970</v>
      </c>
      <c r="B276" s="20" t="s">
        <v>37</v>
      </c>
      <c r="C276" s="20" t="s">
        <v>47</v>
      </c>
      <c r="D276" s="20">
        <v>2000</v>
      </c>
      <c r="E276" s="38">
        <v>250</v>
      </c>
      <c r="F276" s="20" t="s">
        <v>8</v>
      </c>
      <c r="G276" s="43">
        <v>30</v>
      </c>
      <c r="H276" s="43">
        <v>35.15</v>
      </c>
      <c r="I276" s="43">
        <v>0</v>
      </c>
      <c r="J276" s="43">
        <v>0</v>
      </c>
      <c r="K276" s="1">
        <f t="shared" ref="K276" si="320">(IF(F276="SELL",G276-H276,IF(F276="BUY",H276-G276)))*E276</f>
        <v>1287.4999999999995</v>
      </c>
      <c r="L276" s="43">
        <v>0</v>
      </c>
      <c r="M276" s="43">
        <v>0</v>
      </c>
      <c r="N276" s="1">
        <f t="shared" si="284"/>
        <v>5.1499999999999986</v>
      </c>
      <c r="O276" s="1">
        <f t="shared" si="285"/>
        <v>1287.4999999999995</v>
      </c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 spans="1:33" s="32" customFormat="1" ht="15" customHeight="1">
      <c r="A277" s="37">
        <v>43969</v>
      </c>
      <c r="B277" s="20" t="s">
        <v>21</v>
      </c>
      <c r="C277" s="20" t="s">
        <v>46</v>
      </c>
      <c r="D277" s="20">
        <v>140</v>
      </c>
      <c r="E277" s="38">
        <v>3000</v>
      </c>
      <c r="F277" s="20" t="s">
        <v>8</v>
      </c>
      <c r="G277" s="43">
        <v>1.7</v>
      </c>
      <c r="H277" s="43">
        <v>2.5</v>
      </c>
      <c r="I277" s="43">
        <v>0</v>
      </c>
      <c r="J277" s="43">
        <v>0</v>
      </c>
      <c r="K277" s="1">
        <f t="shared" ref="K277" si="321">(IF(F277="SELL",G277-H277,IF(F277="BUY",H277-G277)))*E277</f>
        <v>2400</v>
      </c>
      <c r="L277" s="43">
        <v>0</v>
      </c>
      <c r="M277" s="43">
        <v>0</v>
      </c>
      <c r="N277" s="1">
        <f t="shared" si="284"/>
        <v>0.8</v>
      </c>
      <c r="O277" s="1">
        <f t="shared" si="285"/>
        <v>2400</v>
      </c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 spans="1:33" s="32" customFormat="1" ht="15" customHeight="1">
      <c r="A278" s="37">
        <v>43969</v>
      </c>
      <c r="B278" s="20" t="s">
        <v>18</v>
      </c>
      <c r="C278" s="20" t="s">
        <v>47</v>
      </c>
      <c r="D278" s="20">
        <v>620</v>
      </c>
      <c r="E278" s="38">
        <v>1150</v>
      </c>
      <c r="F278" s="20" t="s">
        <v>8</v>
      </c>
      <c r="G278" s="43">
        <v>12</v>
      </c>
      <c r="H278" s="43">
        <v>14.5</v>
      </c>
      <c r="I278" s="43">
        <v>0</v>
      </c>
      <c r="J278" s="43">
        <v>0</v>
      </c>
      <c r="K278" s="1">
        <f t="shared" ref="K278" si="322">(IF(F278="SELL",G278-H278,IF(F278="BUY",H278-G278)))*E278</f>
        <v>2875</v>
      </c>
      <c r="L278" s="43">
        <v>0</v>
      </c>
      <c r="M278" s="43">
        <v>0</v>
      </c>
      <c r="N278" s="1">
        <f t="shared" si="284"/>
        <v>2.5</v>
      </c>
      <c r="O278" s="1">
        <f t="shared" si="285"/>
        <v>2875</v>
      </c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 spans="1:33" s="32" customFormat="1" ht="15" customHeight="1">
      <c r="A279" s="37">
        <v>43966</v>
      </c>
      <c r="B279" s="20" t="s">
        <v>75</v>
      </c>
      <c r="C279" s="20" t="s">
        <v>47</v>
      </c>
      <c r="D279" s="20">
        <v>1400</v>
      </c>
      <c r="E279" s="38">
        <v>500</v>
      </c>
      <c r="F279" s="20" t="s">
        <v>8</v>
      </c>
      <c r="G279" s="43">
        <v>37</v>
      </c>
      <c r="H279" s="43">
        <v>41</v>
      </c>
      <c r="I279" s="43">
        <v>45</v>
      </c>
      <c r="J279" s="43">
        <v>52</v>
      </c>
      <c r="K279" s="1">
        <f t="shared" ref="K279" si="323">(IF(F279="SELL",G279-H279,IF(F279="BUY",H279-G279)))*E279</f>
        <v>2000</v>
      </c>
      <c r="L279" s="43">
        <f>E279*4</f>
        <v>2000</v>
      </c>
      <c r="M279" s="43">
        <f>E279*7</f>
        <v>3500</v>
      </c>
      <c r="N279" s="1">
        <f t="shared" si="284"/>
        <v>15</v>
      </c>
      <c r="O279" s="1">
        <f t="shared" si="285"/>
        <v>7500</v>
      </c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1:33" s="32" customFormat="1" ht="15" customHeight="1">
      <c r="A280" s="37">
        <v>43966</v>
      </c>
      <c r="B280" s="20" t="s">
        <v>18</v>
      </c>
      <c r="C280" s="20" t="s">
        <v>47</v>
      </c>
      <c r="D280" s="20">
        <v>630</v>
      </c>
      <c r="E280" s="38">
        <v>1150</v>
      </c>
      <c r="F280" s="20" t="s">
        <v>8</v>
      </c>
      <c r="G280" s="43">
        <v>11.7</v>
      </c>
      <c r="H280" s="43">
        <v>9</v>
      </c>
      <c r="I280" s="43">
        <v>0</v>
      </c>
      <c r="J280" s="43">
        <v>0</v>
      </c>
      <c r="K280" s="1">
        <f t="shared" ref="K280" si="324">(IF(F280="SELL",G280-H280,IF(F280="BUY",H280-G280)))*E280</f>
        <v>-3104.9999999999991</v>
      </c>
      <c r="L280" s="43">
        <v>0</v>
      </c>
      <c r="M280" s="43">
        <v>0</v>
      </c>
      <c r="N280" s="1">
        <f t="shared" si="284"/>
        <v>-2.6999999999999993</v>
      </c>
      <c r="O280" s="1">
        <f t="shared" si="285"/>
        <v>-3104.9999999999991</v>
      </c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 spans="1:33" s="32" customFormat="1" ht="15" customHeight="1">
      <c r="A281" s="37">
        <v>43966</v>
      </c>
      <c r="B281" s="20" t="s">
        <v>28</v>
      </c>
      <c r="C281" s="20" t="s">
        <v>47</v>
      </c>
      <c r="D281" s="20">
        <v>560</v>
      </c>
      <c r="E281" s="38">
        <v>1851</v>
      </c>
      <c r="F281" s="20" t="s">
        <v>8</v>
      </c>
      <c r="G281" s="43">
        <v>7.4</v>
      </c>
      <c r="H281" s="43">
        <v>8.5</v>
      </c>
      <c r="I281" s="43">
        <v>0</v>
      </c>
      <c r="J281" s="43">
        <v>0</v>
      </c>
      <c r="K281" s="1">
        <f t="shared" ref="K281" si="325">(IF(F281="SELL",G281-H281,IF(F281="BUY",H281-G281)))*E281</f>
        <v>2036.0999999999995</v>
      </c>
      <c r="L281" s="43">
        <v>0</v>
      </c>
      <c r="M281" s="43">
        <v>0</v>
      </c>
      <c r="N281" s="1">
        <f t="shared" si="284"/>
        <v>1.0999999999999996</v>
      </c>
      <c r="O281" s="1">
        <f t="shared" si="285"/>
        <v>2036.0999999999995</v>
      </c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 spans="1:33" s="32" customFormat="1" ht="15" customHeight="1">
      <c r="A282" s="37">
        <v>43965</v>
      </c>
      <c r="B282" s="20" t="s">
        <v>417</v>
      </c>
      <c r="C282" s="20" t="s">
        <v>47</v>
      </c>
      <c r="D282" s="20">
        <v>380</v>
      </c>
      <c r="E282" s="38">
        <v>1400</v>
      </c>
      <c r="F282" s="20" t="s">
        <v>8</v>
      </c>
      <c r="G282" s="43">
        <v>11</v>
      </c>
      <c r="H282" s="43">
        <v>13</v>
      </c>
      <c r="I282" s="43">
        <v>0</v>
      </c>
      <c r="J282" s="43">
        <v>0</v>
      </c>
      <c r="K282" s="1">
        <f t="shared" ref="K282" si="326">(IF(F282="SELL",G282-H282,IF(F282="BUY",H282-G282)))*E282</f>
        <v>2800</v>
      </c>
      <c r="L282" s="43">
        <v>0</v>
      </c>
      <c r="M282" s="43">
        <v>0</v>
      </c>
      <c r="N282" s="1">
        <f t="shared" si="284"/>
        <v>2</v>
      </c>
      <c r="O282" s="1">
        <f t="shared" si="285"/>
        <v>2800</v>
      </c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 spans="1:33" s="32" customFormat="1" ht="15" customHeight="1">
      <c r="A283" s="37">
        <v>43965</v>
      </c>
      <c r="B283" s="20" t="s">
        <v>420</v>
      </c>
      <c r="C283" s="20" t="s">
        <v>46</v>
      </c>
      <c r="D283" s="20">
        <v>1500</v>
      </c>
      <c r="E283" s="38">
        <v>300</v>
      </c>
      <c r="F283" s="20" t="s">
        <v>8</v>
      </c>
      <c r="G283" s="43">
        <v>41</v>
      </c>
      <c r="H283" s="43">
        <v>47</v>
      </c>
      <c r="I283" s="43">
        <v>0</v>
      </c>
      <c r="J283" s="43">
        <v>0</v>
      </c>
      <c r="K283" s="1">
        <f t="shared" ref="K283" si="327">(IF(F283="SELL",G283-H283,IF(F283="BUY",H283-G283)))*E283</f>
        <v>1800</v>
      </c>
      <c r="L283" s="43">
        <v>0</v>
      </c>
      <c r="M283" s="43">
        <v>0</v>
      </c>
      <c r="N283" s="1">
        <f t="shared" si="284"/>
        <v>6</v>
      </c>
      <c r="O283" s="1">
        <f t="shared" si="285"/>
        <v>1800</v>
      </c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 spans="1:33" s="32" customFormat="1" ht="15" customHeight="1">
      <c r="A284" s="37">
        <v>43964</v>
      </c>
      <c r="B284" s="20" t="s">
        <v>20</v>
      </c>
      <c r="C284" s="20" t="s">
        <v>47</v>
      </c>
      <c r="D284" s="20">
        <v>710</v>
      </c>
      <c r="E284" s="38">
        <v>1200</v>
      </c>
      <c r="F284" s="20" t="s">
        <v>8</v>
      </c>
      <c r="G284" s="43">
        <v>15.5</v>
      </c>
      <c r="H284" s="43">
        <v>17.5</v>
      </c>
      <c r="I284" s="43">
        <v>0</v>
      </c>
      <c r="J284" s="43">
        <v>0</v>
      </c>
      <c r="K284" s="1">
        <f t="shared" ref="K284" si="328">(IF(F284="SELL",G284-H284,IF(F284="BUY",H284-G284)))*E284</f>
        <v>2400</v>
      </c>
      <c r="L284" s="43">
        <v>0</v>
      </c>
      <c r="M284" s="43">
        <v>0</v>
      </c>
      <c r="N284" s="1">
        <f t="shared" si="284"/>
        <v>2</v>
      </c>
      <c r="O284" s="1">
        <f t="shared" si="285"/>
        <v>2400</v>
      </c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 spans="1:33" s="32" customFormat="1" ht="15" customHeight="1">
      <c r="A285" s="37">
        <v>43964</v>
      </c>
      <c r="B285" s="20" t="s">
        <v>38</v>
      </c>
      <c r="C285" s="20" t="s">
        <v>46</v>
      </c>
      <c r="D285" s="20">
        <v>4700</v>
      </c>
      <c r="E285" s="38">
        <v>100</v>
      </c>
      <c r="F285" s="20" t="s">
        <v>8</v>
      </c>
      <c r="G285" s="43">
        <v>100</v>
      </c>
      <c r="H285" s="43">
        <v>120</v>
      </c>
      <c r="I285" s="43">
        <v>140</v>
      </c>
      <c r="J285" s="43">
        <v>0</v>
      </c>
      <c r="K285" s="1">
        <f t="shared" ref="K285" si="329">(IF(F285="SELL",G285-H285,IF(F285="BUY",H285-G285)))*E285</f>
        <v>2000</v>
      </c>
      <c r="L285" s="43">
        <v>2000</v>
      </c>
      <c r="M285" s="43">
        <v>0</v>
      </c>
      <c r="N285" s="1">
        <f t="shared" si="284"/>
        <v>40</v>
      </c>
      <c r="O285" s="1">
        <f t="shared" si="285"/>
        <v>4000</v>
      </c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 spans="1:33" s="32" customFormat="1" ht="15" customHeight="1">
      <c r="A286" s="37">
        <v>43963</v>
      </c>
      <c r="B286" s="20" t="s">
        <v>38</v>
      </c>
      <c r="C286" s="20" t="s">
        <v>46</v>
      </c>
      <c r="D286" s="20">
        <v>4300</v>
      </c>
      <c r="E286" s="38">
        <v>100</v>
      </c>
      <c r="F286" s="20" t="s">
        <v>8</v>
      </c>
      <c r="G286" s="43">
        <v>105</v>
      </c>
      <c r="H286" s="43">
        <v>90</v>
      </c>
      <c r="I286" s="43">
        <v>0</v>
      </c>
      <c r="J286" s="43">
        <v>0</v>
      </c>
      <c r="K286" s="1">
        <f>E286*-15</f>
        <v>-1500</v>
      </c>
      <c r="L286" s="43">
        <v>0</v>
      </c>
      <c r="M286" s="43">
        <v>0</v>
      </c>
      <c r="N286" s="1">
        <f t="shared" si="284"/>
        <v>-15</v>
      </c>
      <c r="O286" s="1">
        <f t="shared" si="285"/>
        <v>-1500</v>
      </c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 spans="1:33" s="32" customFormat="1" ht="15" customHeight="1">
      <c r="A287" s="37">
        <v>43963</v>
      </c>
      <c r="B287" s="20" t="s">
        <v>490</v>
      </c>
      <c r="C287" s="20" t="s">
        <v>47</v>
      </c>
      <c r="D287" s="20">
        <v>1100</v>
      </c>
      <c r="E287" s="38">
        <v>300</v>
      </c>
      <c r="F287" s="20" t="s">
        <v>8</v>
      </c>
      <c r="G287" s="43">
        <v>33</v>
      </c>
      <c r="H287" s="43">
        <v>36</v>
      </c>
      <c r="I287" s="43">
        <v>0</v>
      </c>
      <c r="J287" s="43">
        <v>0</v>
      </c>
      <c r="K287" s="1">
        <f t="shared" ref="K287" si="330">(IF(F287="SELL",G287-H287,IF(F287="BUY",H287-G287)))*E287</f>
        <v>900</v>
      </c>
      <c r="L287" s="43">
        <v>0</v>
      </c>
      <c r="M287" s="43">
        <v>0</v>
      </c>
      <c r="N287" s="1">
        <f t="shared" si="284"/>
        <v>3</v>
      </c>
      <c r="O287" s="1">
        <f t="shared" si="285"/>
        <v>900</v>
      </c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 spans="1:33" s="32" customFormat="1" ht="15" customHeight="1">
      <c r="A288" s="37">
        <v>43963</v>
      </c>
      <c r="B288" s="20" t="s">
        <v>37</v>
      </c>
      <c r="C288" s="20" t="s">
        <v>47</v>
      </c>
      <c r="D288" s="20">
        <v>2000</v>
      </c>
      <c r="E288" s="38">
        <v>250</v>
      </c>
      <c r="F288" s="20" t="s">
        <v>8</v>
      </c>
      <c r="G288" s="43">
        <v>45</v>
      </c>
      <c r="H288" s="43">
        <v>45.35</v>
      </c>
      <c r="I288" s="43">
        <v>0</v>
      </c>
      <c r="J288" s="43">
        <v>0</v>
      </c>
      <c r="K288" s="1">
        <f t="shared" ref="K288" si="331">(IF(F288="SELL",G288-H288,IF(F288="BUY",H288-G288)))*E288</f>
        <v>87.500000000000355</v>
      </c>
      <c r="L288" s="43">
        <v>0</v>
      </c>
      <c r="M288" s="43">
        <v>0</v>
      </c>
      <c r="N288" s="1">
        <f t="shared" si="284"/>
        <v>0.35000000000000142</v>
      </c>
      <c r="O288" s="1">
        <f t="shared" si="285"/>
        <v>87.500000000000355</v>
      </c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 spans="1:33" s="32" customFormat="1" ht="15" customHeight="1">
      <c r="A289" s="37">
        <v>43963</v>
      </c>
      <c r="B289" s="20" t="s">
        <v>28</v>
      </c>
      <c r="C289" s="20" t="s">
        <v>47</v>
      </c>
      <c r="D289" s="20">
        <v>600</v>
      </c>
      <c r="E289" s="38">
        <v>1851</v>
      </c>
      <c r="F289" s="20" t="s">
        <v>8</v>
      </c>
      <c r="G289" s="43">
        <v>8.8000000000000007</v>
      </c>
      <c r="H289" s="43">
        <v>10.8</v>
      </c>
      <c r="I289" s="43">
        <v>0</v>
      </c>
      <c r="J289" s="43">
        <v>0</v>
      </c>
      <c r="K289" s="1">
        <f t="shared" ref="K289" si="332">(IF(F289="SELL",G289-H289,IF(F289="BUY",H289-G289)))*E289</f>
        <v>3702</v>
      </c>
      <c r="L289" s="43">
        <v>0</v>
      </c>
      <c r="M289" s="43">
        <v>0</v>
      </c>
      <c r="N289" s="1">
        <f t="shared" si="284"/>
        <v>2</v>
      </c>
      <c r="O289" s="1">
        <f t="shared" si="285"/>
        <v>3702</v>
      </c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 spans="1:33" s="32" customFormat="1" ht="15" customHeight="1">
      <c r="A290" s="37">
        <v>43962</v>
      </c>
      <c r="B290" s="20" t="s">
        <v>21</v>
      </c>
      <c r="C290" s="20" t="s">
        <v>425</v>
      </c>
      <c r="D290" s="20">
        <v>160</v>
      </c>
      <c r="E290" s="38">
        <v>3000</v>
      </c>
      <c r="F290" s="20" t="s">
        <v>8</v>
      </c>
      <c r="G290" s="43">
        <v>7.8</v>
      </c>
      <c r="H290" s="43">
        <v>7.3</v>
      </c>
      <c r="I290" s="43">
        <v>0</v>
      </c>
      <c r="J290" s="43">
        <v>0</v>
      </c>
      <c r="K290" s="1">
        <f t="shared" ref="K290" si="333">(IF(F290="SELL",G290-H290,IF(F290="BUY",H290-G290)))*E290</f>
        <v>-1500</v>
      </c>
      <c r="L290" s="43">
        <v>0</v>
      </c>
      <c r="M290" s="43">
        <v>0</v>
      </c>
      <c r="N290" s="1">
        <f t="shared" si="284"/>
        <v>-0.5</v>
      </c>
      <c r="O290" s="1">
        <f t="shared" si="285"/>
        <v>-1500</v>
      </c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 spans="1:33" s="32" customFormat="1" ht="15" customHeight="1">
      <c r="A291" s="37">
        <v>43962</v>
      </c>
      <c r="B291" s="20" t="s">
        <v>357</v>
      </c>
      <c r="C291" s="20" t="s">
        <v>47</v>
      </c>
      <c r="D291" s="20">
        <v>1650</v>
      </c>
      <c r="E291" s="38">
        <v>800</v>
      </c>
      <c r="F291" s="20" t="s">
        <v>8</v>
      </c>
      <c r="G291" s="43">
        <v>13</v>
      </c>
      <c r="H291" s="43">
        <v>10</v>
      </c>
      <c r="I291" s="43">
        <v>0</v>
      </c>
      <c r="J291" s="43">
        <v>0</v>
      </c>
      <c r="K291" s="1">
        <f t="shared" ref="K291" si="334">(IF(F291="SELL",G291-H291,IF(F291="BUY",H291-G291)))*E291</f>
        <v>-2400</v>
      </c>
      <c r="L291" s="43">
        <v>0</v>
      </c>
      <c r="M291" s="43">
        <v>0</v>
      </c>
      <c r="N291" s="1">
        <f t="shared" si="284"/>
        <v>-3</v>
      </c>
      <c r="O291" s="1">
        <f t="shared" si="285"/>
        <v>-2400</v>
      </c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 spans="1:33" s="32" customFormat="1" ht="15" customHeight="1">
      <c r="A292" s="37">
        <v>43959</v>
      </c>
      <c r="B292" s="20" t="s">
        <v>162</v>
      </c>
      <c r="C292" s="20" t="s">
        <v>47</v>
      </c>
      <c r="D292" s="20">
        <v>1650</v>
      </c>
      <c r="E292" s="38">
        <v>500</v>
      </c>
      <c r="F292" s="20" t="s">
        <v>8</v>
      </c>
      <c r="G292" s="43">
        <v>43</v>
      </c>
      <c r="H292" s="43">
        <v>49</v>
      </c>
      <c r="I292" s="43">
        <v>0</v>
      </c>
      <c r="J292" s="43">
        <v>0</v>
      </c>
      <c r="K292" s="1">
        <f t="shared" ref="K292" si="335">(IF(F292="SELL",G292-H292,IF(F292="BUY",H292-G292)))*E292</f>
        <v>3000</v>
      </c>
      <c r="L292" s="43">
        <v>0</v>
      </c>
      <c r="M292" s="43">
        <v>0</v>
      </c>
      <c r="N292" s="1">
        <f t="shared" si="284"/>
        <v>6</v>
      </c>
      <c r="O292" s="1">
        <f t="shared" si="285"/>
        <v>3000</v>
      </c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1:33" s="32" customFormat="1" ht="15" customHeight="1">
      <c r="A293" s="37">
        <v>43959</v>
      </c>
      <c r="B293" s="20" t="s">
        <v>39</v>
      </c>
      <c r="C293" s="20" t="s">
        <v>47</v>
      </c>
      <c r="D293" s="20">
        <v>1640</v>
      </c>
      <c r="E293" s="38">
        <v>500</v>
      </c>
      <c r="F293" s="20" t="s">
        <v>8</v>
      </c>
      <c r="G293" s="43">
        <v>34</v>
      </c>
      <c r="H293" s="43">
        <v>40</v>
      </c>
      <c r="I293" s="43">
        <v>0</v>
      </c>
      <c r="J293" s="43">
        <v>0</v>
      </c>
      <c r="K293" s="1">
        <f t="shared" ref="K293" si="336">(IF(F293="SELL",G293-H293,IF(F293="BUY",H293-G293)))*E293</f>
        <v>3000</v>
      </c>
      <c r="L293" s="43">
        <v>0</v>
      </c>
      <c r="M293" s="43">
        <v>0</v>
      </c>
      <c r="N293" s="1">
        <f t="shared" si="284"/>
        <v>6</v>
      </c>
      <c r="O293" s="1">
        <f t="shared" si="285"/>
        <v>3000</v>
      </c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 spans="1:33" s="32" customFormat="1" ht="15" customHeight="1">
      <c r="A294" s="37">
        <v>43958</v>
      </c>
      <c r="B294" s="20" t="s">
        <v>446</v>
      </c>
      <c r="C294" s="20" t="s">
        <v>47</v>
      </c>
      <c r="D294" s="20">
        <v>2100</v>
      </c>
      <c r="E294" s="38">
        <v>300</v>
      </c>
      <c r="F294" s="20" t="s">
        <v>8</v>
      </c>
      <c r="G294" s="43">
        <v>46</v>
      </c>
      <c r="H294" s="43">
        <v>51.8</v>
      </c>
      <c r="I294" s="43">
        <v>0</v>
      </c>
      <c r="J294" s="43">
        <v>0</v>
      </c>
      <c r="K294" s="1">
        <f t="shared" ref="K294" si="337">(IF(F294="SELL",G294-H294,IF(F294="BUY",H294-G294)))*E294</f>
        <v>1739.9999999999991</v>
      </c>
      <c r="L294" s="43">
        <v>0</v>
      </c>
      <c r="M294" s="43">
        <v>0</v>
      </c>
      <c r="N294" s="1">
        <f t="shared" si="284"/>
        <v>5.7999999999999972</v>
      </c>
      <c r="O294" s="1">
        <f t="shared" si="285"/>
        <v>1739.9999999999991</v>
      </c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 spans="1:33" s="32" customFormat="1" ht="15" customHeight="1">
      <c r="A295" s="37">
        <v>43958</v>
      </c>
      <c r="B295" s="20" t="s">
        <v>487</v>
      </c>
      <c r="C295" s="20" t="s">
        <v>47</v>
      </c>
      <c r="D295" s="20">
        <v>380</v>
      </c>
      <c r="E295" s="38">
        <v>2700</v>
      </c>
      <c r="F295" s="20" t="s">
        <v>8</v>
      </c>
      <c r="G295" s="43">
        <v>4.0999999999999996</v>
      </c>
      <c r="H295" s="43">
        <v>4.0999999999999996</v>
      </c>
      <c r="I295" s="43">
        <v>0</v>
      </c>
      <c r="J295" s="43">
        <v>0</v>
      </c>
      <c r="K295" s="1">
        <f t="shared" ref="K295" si="338">(IF(F295="SELL",G295-H295,IF(F295="BUY",H295-G295)))*E295</f>
        <v>0</v>
      </c>
      <c r="L295" s="43">
        <v>0</v>
      </c>
      <c r="M295" s="43">
        <v>0</v>
      </c>
      <c r="N295" s="1">
        <f t="shared" si="284"/>
        <v>0</v>
      </c>
      <c r="O295" s="1">
        <f t="shared" si="285"/>
        <v>0</v>
      </c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 spans="1:33" s="32" customFormat="1" ht="15" customHeight="1">
      <c r="A296" s="37">
        <v>43957</v>
      </c>
      <c r="B296" s="20" t="s">
        <v>72</v>
      </c>
      <c r="C296" s="20" t="s">
        <v>47</v>
      </c>
      <c r="D296" s="20">
        <v>400</v>
      </c>
      <c r="E296" s="38">
        <v>1800</v>
      </c>
      <c r="F296" s="20" t="s">
        <v>8</v>
      </c>
      <c r="G296" s="43">
        <v>6.8</v>
      </c>
      <c r="H296" s="43">
        <v>6.8</v>
      </c>
      <c r="I296" s="43">
        <v>0</v>
      </c>
      <c r="J296" s="43">
        <v>0</v>
      </c>
      <c r="K296" s="1">
        <f t="shared" ref="K296" si="339">(IF(F296="SELL",G296-H296,IF(F296="BUY",H296-G296)))*E296</f>
        <v>0</v>
      </c>
      <c r="L296" s="43">
        <v>0</v>
      </c>
      <c r="M296" s="43">
        <v>0</v>
      </c>
      <c r="N296" s="1">
        <f t="shared" si="284"/>
        <v>0</v>
      </c>
      <c r="O296" s="1">
        <f t="shared" si="285"/>
        <v>0</v>
      </c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 spans="1:33" s="32" customFormat="1" ht="15" customHeight="1">
      <c r="A297" s="37">
        <v>43957</v>
      </c>
      <c r="B297" s="20" t="s">
        <v>39</v>
      </c>
      <c r="C297" s="20" t="s">
        <v>47</v>
      </c>
      <c r="D297" s="20">
        <v>1580</v>
      </c>
      <c r="E297" s="38">
        <v>500</v>
      </c>
      <c r="F297" s="20" t="s">
        <v>8</v>
      </c>
      <c r="G297" s="43">
        <v>38</v>
      </c>
      <c r="H297" s="43">
        <v>32</v>
      </c>
      <c r="I297" s="43">
        <v>0</v>
      </c>
      <c r="J297" s="43">
        <v>0</v>
      </c>
      <c r="K297" s="1">
        <f t="shared" ref="K297" si="340">(IF(F297="SELL",G297-H297,IF(F297="BUY",H297-G297)))*E297</f>
        <v>-3000</v>
      </c>
      <c r="L297" s="43">
        <v>0</v>
      </c>
      <c r="M297" s="43">
        <v>0</v>
      </c>
      <c r="N297" s="1">
        <f t="shared" si="284"/>
        <v>-6</v>
      </c>
      <c r="O297" s="1">
        <f t="shared" si="285"/>
        <v>-3000</v>
      </c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spans="1:33" s="32" customFormat="1" ht="15" customHeight="1">
      <c r="A298" s="37">
        <v>43956</v>
      </c>
      <c r="B298" s="20" t="s">
        <v>39</v>
      </c>
      <c r="C298" s="20" t="s">
        <v>47</v>
      </c>
      <c r="D298" s="20">
        <v>1600</v>
      </c>
      <c r="E298" s="38">
        <v>500</v>
      </c>
      <c r="F298" s="20" t="s">
        <v>8</v>
      </c>
      <c r="G298" s="43">
        <v>32</v>
      </c>
      <c r="H298" s="43">
        <v>36</v>
      </c>
      <c r="I298" s="43">
        <v>0</v>
      </c>
      <c r="J298" s="43">
        <v>0</v>
      </c>
      <c r="K298" s="1">
        <f t="shared" ref="K298" si="341">(IF(F298="SELL",G298-H298,IF(F298="BUY",H298-G298)))*E298</f>
        <v>2000</v>
      </c>
      <c r="L298" s="43">
        <v>0</v>
      </c>
      <c r="M298" s="43">
        <v>0</v>
      </c>
      <c r="N298" s="1">
        <f t="shared" si="284"/>
        <v>4</v>
      </c>
      <c r="O298" s="1">
        <f t="shared" si="285"/>
        <v>2000</v>
      </c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 spans="1:33" s="32" customFormat="1" ht="15" customHeight="1">
      <c r="A299" s="37">
        <v>43956</v>
      </c>
      <c r="B299" s="20" t="s">
        <v>21</v>
      </c>
      <c r="C299" s="20" t="s">
        <v>47</v>
      </c>
      <c r="D299" s="20">
        <v>160</v>
      </c>
      <c r="E299" s="38">
        <v>3000</v>
      </c>
      <c r="F299" s="20" t="s">
        <v>8</v>
      </c>
      <c r="G299" s="43">
        <v>7.5</v>
      </c>
      <c r="H299" s="43">
        <v>8.5</v>
      </c>
      <c r="I299" s="43">
        <v>9.5</v>
      </c>
      <c r="J299" s="43">
        <v>10.4</v>
      </c>
      <c r="K299" s="1">
        <f t="shared" ref="K299" si="342">(IF(F299="SELL",G299-H299,IF(F299="BUY",H299-G299)))*E299</f>
        <v>3000</v>
      </c>
      <c r="L299" s="43">
        <v>3000</v>
      </c>
      <c r="M299" s="43">
        <v>2700</v>
      </c>
      <c r="N299" s="1">
        <f t="shared" si="284"/>
        <v>2.9</v>
      </c>
      <c r="O299" s="1">
        <f t="shared" si="285"/>
        <v>8700</v>
      </c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 spans="1:33" s="32" customFormat="1" ht="15" customHeight="1">
      <c r="A300" s="37">
        <v>43956</v>
      </c>
      <c r="B300" s="20" t="s">
        <v>175</v>
      </c>
      <c r="C300" s="20" t="s">
        <v>46</v>
      </c>
      <c r="D300" s="20">
        <v>1600</v>
      </c>
      <c r="E300" s="38">
        <v>250</v>
      </c>
      <c r="F300" s="20" t="s">
        <v>8</v>
      </c>
      <c r="G300" s="43">
        <v>44</v>
      </c>
      <c r="H300" s="43">
        <v>47.1</v>
      </c>
      <c r="I300" s="43">
        <v>0</v>
      </c>
      <c r="J300" s="43">
        <v>0</v>
      </c>
      <c r="K300" s="1">
        <f t="shared" ref="K300" si="343">(IF(F300="SELL",G300-H300,IF(F300="BUY",H300-G300)))*E300</f>
        <v>775.00000000000034</v>
      </c>
      <c r="L300" s="43">
        <v>0</v>
      </c>
      <c r="M300" s="43">
        <v>0</v>
      </c>
      <c r="N300" s="1">
        <f t="shared" si="284"/>
        <v>3.1000000000000014</v>
      </c>
      <c r="O300" s="1">
        <f t="shared" si="285"/>
        <v>775.00000000000034</v>
      </c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 spans="1:33" s="32" customFormat="1" ht="15" customHeight="1">
      <c r="A301" s="37">
        <v>43955</v>
      </c>
      <c r="B301" s="20" t="s">
        <v>489</v>
      </c>
      <c r="C301" s="20" t="s">
        <v>47</v>
      </c>
      <c r="D301" s="20">
        <v>350</v>
      </c>
      <c r="E301" s="38">
        <v>2200</v>
      </c>
      <c r="F301" s="20" t="s">
        <v>8</v>
      </c>
      <c r="G301" s="43">
        <v>17</v>
      </c>
      <c r="H301" s="43">
        <v>20</v>
      </c>
      <c r="I301" s="43">
        <v>0</v>
      </c>
      <c r="J301" s="43">
        <v>0</v>
      </c>
      <c r="K301" s="1">
        <f t="shared" ref="K301" si="344">(IF(F301="SELL",G301-H301,IF(F301="BUY",H301-G301)))*E301</f>
        <v>6600</v>
      </c>
      <c r="L301" s="43">
        <v>0</v>
      </c>
      <c r="M301" s="43">
        <v>0</v>
      </c>
      <c r="N301" s="1">
        <f t="shared" si="284"/>
        <v>3</v>
      </c>
      <c r="O301" s="1">
        <f t="shared" si="285"/>
        <v>6600</v>
      </c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 spans="1:33" s="32" customFormat="1" ht="15" customHeight="1">
      <c r="A302" s="37">
        <v>43955</v>
      </c>
      <c r="B302" s="20" t="s">
        <v>471</v>
      </c>
      <c r="C302" s="20" t="s">
        <v>47</v>
      </c>
      <c r="D302" s="20">
        <v>740</v>
      </c>
      <c r="E302" s="38">
        <v>1000</v>
      </c>
      <c r="F302" s="20" t="s">
        <v>8</v>
      </c>
      <c r="G302" s="43">
        <v>20</v>
      </c>
      <c r="H302" s="43">
        <v>23</v>
      </c>
      <c r="I302" s="43">
        <v>26</v>
      </c>
      <c r="J302" s="43">
        <v>32</v>
      </c>
      <c r="K302" s="1">
        <f t="shared" ref="K302" si="345">(IF(F302="SELL",G302-H302,IF(F302="BUY",H302-G302)))*E302</f>
        <v>3000</v>
      </c>
      <c r="L302" s="43">
        <v>3000</v>
      </c>
      <c r="M302" s="43">
        <v>7000</v>
      </c>
      <c r="N302" s="1">
        <f t="shared" si="284"/>
        <v>13</v>
      </c>
      <c r="O302" s="1">
        <f t="shared" si="285"/>
        <v>13000</v>
      </c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1:33" s="32" customFormat="1" ht="15" customHeight="1">
      <c r="A303" s="37">
        <v>43951</v>
      </c>
      <c r="B303" s="20" t="s">
        <v>128</v>
      </c>
      <c r="C303" s="20" t="s">
        <v>47</v>
      </c>
      <c r="D303" s="20">
        <v>1340</v>
      </c>
      <c r="E303" s="38">
        <v>400</v>
      </c>
      <c r="F303" s="20" t="s">
        <v>8</v>
      </c>
      <c r="G303" s="43">
        <v>20</v>
      </c>
      <c r="H303" s="43">
        <v>26</v>
      </c>
      <c r="I303" s="43">
        <v>36</v>
      </c>
      <c r="J303" s="43">
        <v>0</v>
      </c>
      <c r="K303" s="1">
        <f t="shared" ref="K303" si="346">(IF(F303="SELL",G303-H303,IF(F303="BUY",H303-G303)))*E303</f>
        <v>2400</v>
      </c>
      <c r="L303" s="43">
        <v>4000</v>
      </c>
      <c r="M303" s="43">
        <v>0</v>
      </c>
      <c r="N303" s="1">
        <f t="shared" si="284"/>
        <v>16</v>
      </c>
      <c r="O303" s="1">
        <f t="shared" si="285"/>
        <v>6400</v>
      </c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  <row r="304" spans="1:33" s="32" customFormat="1" ht="15" customHeight="1">
      <c r="A304" s="37">
        <v>43951</v>
      </c>
      <c r="B304" s="20" t="s">
        <v>122</v>
      </c>
      <c r="C304" s="20" t="s">
        <v>47</v>
      </c>
      <c r="D304" s="20">
        <v>2100</v>
      </c>
      <c r="E304" s="38">
        <v>250</v>
      </c>
      <c r="F304" s="20" t="s">
        <v>8</v>
      </c>
      <c r="G304" s="43">
        <v>28</v>
      </c>
      <c r="H304" s="43">
        <v>33.450000000000003</v>
      </c>
      <c r="I304" s="43">
        <v>0</v>
      </c>
      <c r="J304" s="43">
        <v>0</v>
      </c>
      <c r="K304" s="1">
        <f t="shared" ref="K304" si="347">(IF(F304="SELL",G304-H304,IF(F304="BUY",H304-G304)))*E304</f>
        <v>1362.5000000000007</v>
      </c>
      <c r="L304" s="43">
        <v>0</v>
      </c>
      <c r="M304" s="43">
        <v>0</v>
      </c>
      <c r="N304" s="1">
        <f t="shared" si="284"/>
        <v>5.4500000000000028</v>
      </c>
      <c r="O304" s="1">
        <f t="shared" si="285"/>
        <v>1362.5000000000007</v>
      </c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</row>
    <row r="305" spans="1:33" s="32" customFormat="1" ht="15" customHeight="1">
      <c r="A305" s="37">
        <v>43950</v>
      </c>
      <c r="B305" s="20" t="s">
        <v>413</v>
      </c>
      <c r="C305" s="20" t="s">
        <v>47</v>
      </c>
      <c r="D305" s="20">
        <v>120</v>
      </c>
      <c r="E305" s="38">
        <v>1200</v>
      </c>
      <c r="F305" s="20" t="s">
        <v>8</v>
      </c>
      <c r="G305" s="43">
        <v>5</v>
      </c>
      <c r="H305" s="43">
        <v>7</v>
      </c>
      <c r="I305" s="43">
        <v>9</v>
      </c>
      <c r="J305" s="43">
        <v>13</v>
      </c>
      <c r="K305" s="1">
        <f t="shared" ref="K305" si="348">(IF(F305="SELL",G305-H305,IF(F305="BUY",H305-G305)))*E305</f>
        <v>2400</v>
      </c>
      <c r="L305" s="43">
        <v>2400</v>
      </c>
      <c r="M305" s="43">
        <v>4800</v>
      </c>
      <c r="N305" s="1">
        <f t="shared" ref="N305:N368" si="349">(L305+K305+M305)/E305</f>
        <v>8</v>
      </c>
      <c r="O305" s="1">
        <f t="shared" ref="O305:O368" si="350">N305*E305</f>
        <v>9600</v>
      </c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 spans="1:33" s="32" customFormat="1" ht="15" customHeight="1">
      <c r="A306" s="37">
        <v>43950</v>
      </c>
      <c r="B306" s="20" t="s">
        <v>467</v>
      </c>
      <c r="C306" s="20" t="s">
        <v>47</v>
      </c>
      <c r="D306" s="20">
        <v>980</v>
      </c>
      <c r="E306" s="38">
        <v>500</v>
      </c>
      <c r="F306" s="20" t="s">
        <v>8</v>
      </c>
      <c r="G306" s="43">
        <v>14</v>
      </c>
      <c r="H306" s="43">
        <v>18.850000000000001</v>
      </c>
      <c r="I306" s="43">
        <v>0</v>
      </c>
      <c r="J306" s="43">
        <v>0</v>
      </c>
      <c r="K306" s="1">
        <f t="shared" ref="K306" si="351">(IF(F306="SELL",G306-H306,IF(F306="BUY",H306-G306)))*E306</f>
        <v>2425.0000000000009</v>
      </c>
      <c r="L306" s="43">
        <v>0</v>
      </c>
      <c r="M306" s="43">
        <v>0</v>
      </c>
      <c r="N306" s="1">
        <f t="shared" si="349"/>
        <v>4.8500000000000014</v>
      </c>
      <c r="O306" s="1">
        <f t="shared" si="350"/>
        <v>2425.0000000000009</v>
      </c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pans="1:33" s="32" customFormat="1" ht="15" customHeight="1">
      <c r="A307" s="37">
        <v>43950</v>
      </c>
      <c r="B307" s="20" t="s">
        <v>24</v>
      </c>
      <c r="C307" s="20" t="s">
        <v>47</v>
      </c>
      <c r="D307" s="20">
        <v>77.5</v>
      </c>
      <c r="E307" s="38">
        <v>4300</v>
      </c>
      <c r="F307" s="20" t="s">
        <v>8</v>
      </c>
      <c r="G307" s="43">
        <v>2.2999999999999998</v>
      </c>
      <c r="H307" s="43">
        <v>1.7</v>
      </c>
      <c r="I307" s="43">
        <v>0</v>
      </c>
      <c r="J307" s="43">
        <v>0</v>
      </c>
      <c r="K307" s="1">
        <f t="shared" ref="K307" si="352">(IF(F307="SELL",G307-H307,IF(F307="BUY",H307-G307)))*E307</f>
        <v>-2579.9999999999995</v>
      </c>
      <c r="L307" s="43">
        <v>0</v>
      </c>
      <c r="M307" s="43">
        <v>0</v>
      </c>
      <c r="N307" s="1">
        <f t="shared" si="349"/>
        <v>-0.59999999999999987</v>
      </c>
      <c r="O307" s="1">
        <f t="shared" si="350"/>
        <v>-2579.9999999999995</v>
      </c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</row>
    <row r="308" spans="1:33" s="32" customFormat="1" ht="15" customHeight="1">
      <c r="A308" s="37">
        <v>43949</v>
      </c>
      <c r="B308" s="20" t="s">
        <v>488</v>
      </c>
      <c r="C308" s="20" t="s">
        <v>47</v>
      </c>
      <c r="D308" s="20">
        <v>1550</v>
      </c>
      <c r="E308" s="38">
        <v>500</v>
      </c>
      <c r="F308" s="20" t="s">
        <v>8</v>
      </c>
      <c r="G308" s="43">
        <v>34</v>
      </c>
      <c r="H308" s="43">
        <v>25</v>
      </c>
      <c r="I308" s="43">
        <v>0</v>
      </c>
      <c r="J308" s="43">
        <v>0</v>
      </c>
      <c r="K308" s="1">
        <f t="shared" ref="K308" si="353">(IF(F308="SELL",G308-H308,IF(F308="BUY",H308-G308)))*E308</f>
        <v>-4500</v>
      </c>
      <c r="L308" s="43">
        <v>0</v>
      </c>
      <c r="M308" s="43">
        <v>0</v>
      </c>
      <c r="N308" s="1">
        <f t="shared" si="349"/>
        <v>-9</v>
      </c>
      <c r="O308" s="1">
        <f t="shared" si="350"/>
        <v>-4500</v>
      </c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</row>
    <row r="309" spans="1:33" s="32" customFormat="1" ht="15" customHeight="1">
      <c r="A309" s="37">
        <v>43949</v>
      </c>
      <c r="B309" s="20" t="s">
        <v>122</v>
      </c>
      <c r="C309" s="20" t="s">
        <v>47</v>
      </c>
      <c r="D309" s="20">
        <v>1640</v>
      </c>
      <c r="E309" s="38">
        <v>250</v>
      </c>
      <c r="F309" s="20" t="s">
        <v>8</v>
      </c>
      <c r="G309" s="43">
        <v>41</v>
      </c>
      <c r="H309" s="43">
        <v>51</v>
      </c>
      <c r="I309" s="43">
        <v>61</v>
      </c>
      <c r="J309" s="43">
        <v>80</v>
      </c>
      <c r="K309" s="1">
        <f t="shared" ref="K309" si="354">(IF(F309="SELL",G309-H309,IF(F309="BUY",H309-G309)))*E309</f>
        <v>2500</v>
      </c>
      <c r="L309" s="43">
        <v>2500</v>
      </c>
      <c r="M309" s="43">
        <f>19*250</f>
        <v>4750</v>
      </c>
      <c r="N309" s="1">
        <f t="shared" si="349"/>
        <v>39</v>
      </c>
      <c r="O309" s="1">
        <f t="shared" si="350"/>
        <v>9750</v>
      </c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</row>
    <row r="310" spans="1:33" s="32" customFormat="1" ht="15" customHeight="1">
      <c r="A310" s="37">
        <v>43949</v>
      </c>
      <c r="B310" s="20" t="s">
        <v>128</v>
      </c>
      <c r="C310" s="20" t="s">
        <v>47</v>
      </c>
      <c r="D310" s="20">
        <v>1340</v>
      </c>
      <c r="E310" s="38">
        <v>400</v>
      </c>
      <c r="F310" s="20" t="s">
        <v>8</v>
      </c>
      <c r="G310" s="43">
        <v>21</v>
      </c>
      <c r="H310" s="43">
        <v>25.65</v>
      </c>
      <c r="I310" s="43">
        <v>0</v>
      </c>
      <c r="J310" s="43">
        <v>0</v>
      </c>
      <c r="K310" s="1">
        <f t="shared" ref="K310" si="355">(IF(F310="SELL",G310-H310,IF(F310="BUY",H310-G310)))*E310</f>
        <v>1859.9999999999995</v>
      </c>
      <c r="L310" s="43">
        <v>0</v>
      </c>
      <c r="M310" s="43">
        <v>0</v>
      </c>
      <c r="N310" s="1">
        <f t="shared" si="349"/>
        <v>4.6499999999999986</v>
      </c>
      <c r="O310" s="1">
        <f t="shared" si="350"/>
        <v>1859.9999999999995</v>
      </c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 spans="1:33" s="32" customFormat="1" ht="15" customHeight="1">
      <c r="A311" s="37">
        <v>43948</v>
      </c>
      <c r="B311" s="20" t="s">
        <v>128</v>
      </c>
      <c r="C311" s="20" t="s">
        <v>47</v>
      </c>
      <c r="D311" s="20">
        <v>1320</v>
      </c>
      <c r="E311" s="38">
        <v>400</v>
      </c>
      <c r="F311" s="20" t="s">
        <v>8</v>
      </c>
      <c r="G311" s="43">
        <v>21</v>
      </c>
      <c r="H311" s="43">
        <v>27</v>
      </c>
      <c r="I311" s="43">
        <v>37</v>
      </c>
      <c r="J311" s="43">
        <v>0</v>
      </c>
      <c r="K311" s="1">
        <f t="shared" ref="K311" si="356">(IF(F311="SELL",G311-H311,IF(F311="BUY",H311-G311)))*E311</f>
        <v>2400</v>
      </c>
      <c r="L311" s="43">
        <v>4000</v>
      </c>
      <c r="M311" s="43">
        <v>0</v>
      </c>
      <c r="N311" s="1">
        <f t="shared" si="349"/>
        <v>16</v>
      </c>
      <c r="O311" s="1">
        <f t="shared" si="350"/>
        <v>6400</v>
      </c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</row>
    <row r="312" spans="1:33" s="32" customFormat="1" ht="15" customHeight="1">
      <c r="A312" s="37">
        <v>43948</v>
      </c>
      <c r="B312" s="20" t="s">
        <v>20</v>
      </c>
      <c r="C312" s="20" t="s">
        <v>47</v>
      </c>
      <c r="D312" s="20">
        <v>690</v>
      </c>
      <c r="E312" s="38">
        <v>1200</v>
      </c>
      <c r="F312" s="20" t="s">
        <v>8</v>
      </c>
      <c r="G312" s="43">
        <v>6.2</v>
      </c>
      <c r="H312" s="43">
        <v>8.1999999999999993</v>
      </c>
      <c r="I312" s="43">
        <v>0</v>
      </c>
      <c r="J312" s="43">
        <v>0</v>
      </c>
      <c r="K312" s="1">
        <f t="shared" ref="K312" si="357">(IF(F312="SELL",G312-H312,IF(F312="BUY",H312-G312)))*E312</f>
        <v>2399.9999999999991</v>
      </c>
      <c r="L312" s="43">
        <v>0</v>
      </c>
      <c r="M312" s="43">
        <v>0</v>
      </c>
      <c r="N312" s="1">
        <f t="shared" si="349"/>
        <v>1.9999999999999993</v>
      </c>
      <c r="O312" s="1">
        <f t="shared" si="350"/>
        <v>2399.9999999999991</v>
      </c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</row>
    <row r="313" spans="1:33" s="32" customFormat="1" ht="15" customHeight="1">
      <c r="A313" s="37">
        <v>43945</v>
      </c>
      <c r="B313" s="20" t="s">
        <v>208</v>
      </c>
      <c r="C313" s="20" t="s">
        <v>47</v>
      </c>
      <c r="D313" s="20">
        <v>2500</v>
      </c>
      <c r="E313" s="38">
        <v>400</v>
      </c>
      <c r="F313" s="20" t="s">
        <v>8</v>
      </c>
      <c r="G313" s="43">
        <v>34</v>
      </c>
      <c r="H313" s="43">
        <v>40</v>
      </c>
      <c r="I313" s="43">
        <v>0</v>
      </c>
      <c r="J313" s="43">
        <v>0</v>
      </c>
      <c r="K313" s="1">
        <f t="shared" ref="K313" si="358">(IF(F313="SELL",G313-H313,IF(F313="BUY",H313-G313)))*E313</f>
        <v>2400</v>
      </c>
      <c r="L313" s="43">
        <v>0</v>
      </c>
      <c r="M313" s="43">
        <v>0</v>
      </c>
      <c r="N313" s="1">
        <f t="shared" si="349"/>
        <v>6</v>
      </c>
      <c r="O313" s="1">
        <f t="shared" si="350"/>
        <v>2400</v>
      </c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</row>
    <row r="314" spans="1:33" s="32" customFormat="1" ht="15" customHeight="1">
      <c r="A314" s="37">
        <v>43944</v>
      </c>
      <c r="B314" s="20" t="s">
        <v>417</v>
      </c>
      <c r="C314" s="20" t="s">
        <v>47</v>
      </c>
      <c r="D314" s="20">
        <v>430</v>
      </c>
      <c r="E314" s="38">
        <v>1400</v>
      </c>
      <c r="F314" s="20" t="s">
        <v>8</v>
      </c>
      <c r="G314" s="43">
        <v>6.5</v>
      </c>
      <c r="H314" s="43">
        <v>4.5</v>
      </c>
      <c r="I314" s="43">
        <v>0</v>
      </c>
      <c r="J314" s="43">
        <v>0</v>
      </c>
      <c r="K314" s="1">
        <f t="shared" ref="K314" si="359">(IF(F314="SELL",G314-H314,IF(F314="BUY",H314-G314)))*E314</f>
        <v>-2800</v>
      </c>
      <c r="L314" s="43">
        <v>0</v>
      </c>
      <c r="M314" s="43">
        <v>0</v>
      </c>
      <c r="N314" s="1">
        <f t="shared" si="349"/>
        <v>-2</v>
      </c>
      <c r="O314" s="1">
        <f t="shared" si="350"/>
        <v>-2800</v>
      </c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:33" s="32" customFormat="1" ht="15" customHeight="1">
      <c r="A315" s="37">
        <v>43945</v>
      </c>
      <c r="B315" s="20" t="s">
        <v>128</v>
      </c>
      <c r="C315" s="20" t="s">
        <v>47</v>
      </c>
      <c r="D315" s="20">
        <v>1300</v>
      </c>
      <c r="E315" s="38">
        <v>400</v>
      </c>
      <c r="F315" s="20" t="s">
        <v>8</v>
      </c>
      <c r="G315" s="43">
        <v>22</v>
      </c>
      <c r="H315" s="43">
        <v>15</v>
      </c>
      <c r="I315" s="43">
        <v>0</v>
      </c>
      <c r="J315" s="43">
        <v>0</v>
      </c>
      <c r="K315" s="1">
        <f t="shared" ref="K315" si="360">(IF(F315="SELL",G315-H315,IF(F315="BUY",H315-G315)))*E315</f>
        <v>-2800</v>
      </c>
      <c r="L315" s="43">
        <v>0</v>
      </c>
      <c r="M315" s="43">
        <v>0</v>
      </c>
      <c r="N315" s="1">
        <f t="shared" si="349"/>
        <v>-7</v>
      </c>
      <c r="O315" s="1">
        <f t="shared" si="350"/>
        <v>-2800</v>
      </c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</row>
    <row r="316" spans="1:33" s="32" customFormat="1" ht="15" customHeight="1">
      <c r="A316" s="37">
        <v>43944</v>
      </c>
      <c r="B316" s="20" t="s">
        <v>454</v>
      </c>
      <c r="C316" s="20" t="s">
        <v>47</v>
      </c>
      <c r="D316" s="20">
        <v>680</v>
      </c>
      <c r="E316" s="38">
        <v>700</v>
      </c>
      <c r="F316" s="20" t="s">
        <v>8</v>
      </c>
      <c r="G316" s="43">
        <v>24</v>
      </c>
      <c r="H316" s="43">
        <v>28</v>
      </c>
      <c r="I316" s="43">
        <v>0</v>
      </c>
      <c r="J316" s="43">
        <v>0</v>
      </c>
      <c r="K316" s="1">
        <f t="shared" ref="K316" si="361">(IF(F316="SELL",G316-H316,IF(F316="BUY",H316-G316)))*E316</f>
        <v>2800</v>
      </c>
      <c r="L316" s="43">
        <v>0</v>
      </c>
      <c r="M316" s="43">
        <v>0</v>
      </c>
      <c r="N316" s="1">
        <f t="shared" si="349"/>
        <v>4</v>
      </c>
      <c r="O316" s="1">
        <f t="shared" si="350"/>
        <v>2800</v>
      </c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</row>
    <row r="317" spans="1:33" s="32" customFormat="1" ht="15" customHeight="1">
      <c r="A317" s="37">
        <v>43944</v>
      </c>
      <c r="B317" s="20" t="s">
        <v>20</v>
      </c>
      <c r="C317" s="20" t="s">
        <v>47</v>
      </c>
      <c r="D317" s="20">
        <v>680</v>
      </c>
      <c r="E317" s="38">
        <v>1200</v>
      </c>
      <c r="F317" s="20" t="s">
        <v>8</v>
      </c>
      <c r="G317" s="43">
        <v>8.5</v>
      </c>
      <c r="H317" s="43">
        <v>10.5</v>
      </c>
      <c r="I317" s="43">
        <v>12.5</v>
      </c>
      <c r="J317" s="43">
        <v>15.5</v>
      </c>
      <c r="K317" s="1">
        <f t="shared" ref="K317" si="362">(IF(F317="SELL",G317-H317,IF(F317="BUY",H317-G317)))*E317</f>
        <v>2400</v>
      </c>
      <c r="L317" s="43">
        <v>2400</v>
      </c>
      <c r="M317" s="43">
        <v>3600</v>
      </c>
      <c r="N317" s="1">
        <f t="shared" si="349"/>
        <v>7</v>
      </c>
      <c r="O317" s="1">
        <f t="shared" si="350"/>
        <v>8400</v>
      </c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</row>
    <row r="318" spans="1:33" s="32" customFormat="1" ht="15" customHeight="1">
      <c r="A318" s="37">
        <v>43944</v>
      </c>
      <c r="B318" s="20" t="s">
        <v>428</v>
      </c>
      <c r="C318" s="20" t="s">
        <v>47</v>
      </c>
      <c r="D318" s="20">
        <v>420</v>
      </c>
      <c r="E318" s="38">
        <v>400</v>
      </c>
      <c r="F318" s="20" t="s">
        <v>8</v>
      </c>
      <c r="G318" s="43">
        <v>36</v>
      </c>
      <c r="H318" s="43">
        <v>29</v>
      </c>
      <c r="I318" s="43">
        <v>0</v>
      </c>
      <c r="J318" s="43">
        <v>0</v>
      </c>
      <c r="K318" s="1">
        <f t="shared" ref="K318" si="363">(IF(F318="SELL",G318-H318,IF(F318="BUY",H318-G318)))*E318</f>
        <v>-2800</v>
      </c>
      <c r="L318" s="43">
        <v>0</v>
      </c>
      <c r="M318" s="43">
        <v>0</v>
      </c>
      <c r="N318" s="1">
        <f t="shared" si="349"/>
        <v>-7</v>
      </c>
      <c r="O318" s="1">
        <f t="shared" si="350"/>
        <v>-2800</v>
      </c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</row>
    <row r="319" spans="1:33" s="32" customFormat="1" ht="15" customHeight="1">
      <c r="A319" s="37">
        <v>43943</v>
      </c>
      <c r="B319" s="20" t="s">
        <v>487</v>
      </c>
      <c r="C319" s="20" t="s">
        <v>47</v>
      </c>
      <c r="D319" s="20">
        <v>330</v>
      </c>
      <c r="E319" s="38">
        <v>2700</v>
      </c>
      <c r="F319" s="20" t="s">
        <v>8</v>
      </c>
      <c r="G319" s="43">
        <v>6.2</v>
      </c>
      <c r="H319" s="43">
        <v>7.2</v>
      </c>
      <c r="I319" s="43">
        <v>8.5</v>
      </c>
      <c r="J319" s="43">
        <v>10.5</v>
      </c>
      <c r="K319" s="1">
        <f t="shared" ref="K319" si="364">(IF(F319="SELL",G319-H319,IF(F319="BUY",H319-G319)))*E319</f>
        <v>2700</v>
      </c>
      <c r="L319" s="43">
        <f>E319*1.3</f>
        <v>3510</v>
      </c>
      <c r="M319" s="43">
        <f>E319*2</f>
        <v>5400</v>
      </c>
      <c r="N319" s="1">
        <f t="shared" si="349"/>
        <v>4.3</v>
      </c>
      <c r="O319" s="1">
        <f t="shared" si="350"/>
        <v>11610</v>
      </c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</row>
    <row r="320" spans="1:33" s="32" customFormat="1" ht="15" customHeight="1">
      <c r="A320" s="37">
        <v>43943</v>
      </c>
      <c r="B320" s="20" t="s">
        <v>420</v>
      </c>
      <c r="C320" s="20" t="s">
        <v>47</v>
      </c>
      <c r="D320" s="20">
        <v>1800</v>
      </c>
      <c r="E320" s="38">
        <v>600</v>
      </c>
      <c r="F320" s="20" t="s">
        <v>8</v>
      </c>
      <c r="G320" s="43">
        <v>29</v>
      </c>
      <c r="H320" s="43">
        <v>35</v>
      </c>
      <c r="I320" s="43">
        <v>45</v>
      </c>
      <c r="J320" s="43">
        <v>55</v>
      </c>
      <c r="K320" s="1">
        <f t="shared" ref="K320" si="365">(IF(F320="SELL",G320-H320,IF(F320="BUY",H320-G320)))*E320</f>
        <v>3600</v>
      </c>
      <c r="L320" s="43">
        <v>6000</v>
      </c>
      <c r="M320" s="43">
        <v>6000</v>
      </c>
      <c r="N320" s="1">
        <f t="shared" si="349"/>
        <v>26</v>
      </c>
      <c r="O320" s="1">
        <f t="shared" si="350"/>
        <v>15600</v>
      </c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</row>
    <row r="321" spans="1:33" s="32" customFormat="1" ht="15" customHeight="1">
      <c r="A321" s="37">
        <v>43943</v>
      </c>
      <c r="B321" s="20" t="s">
        <v>38</v>
      </c>
      <c r="C321" s="20" t="s">
        <v>47</v>
      </c>
      <c r="D321" s="20">
        <v>5400</v>
      </c>
      <c r="E321" s="38">
        <v>100</v>
      </c>
      <c r="F321" s="20" t="s">
        <v>8</v>
      </c>
      <c r="G321" s="43">
        <v>128</v>
      </c>
      <c r="H321" s="43">
        <v>105</v>
      </c>
      <c r="I321" s="43">
        <v>0</v>
      </c>
      <c r="J321" s="43">
        <v>0</v>
      </c>
      <c r="K321" s="1">
        <f t="shared" ref="K321" si="366">(IF(F321="SELL",G321-H321,IF(F321="BUY",H321-G321)))*E321</f>
        <v>-2300</v>
      </c>
      <c r="L321" s="43">
        <v>0</v>
      </c>
      <c r="M321" s="43">
        <v>0</v>
      </c>
      <c r="N321" s="1">
        <f t="shared" si="349"/>
        <v>-23</v>
      </c>
      <c r="O321" s="1">
        <f t="shared" si="350"/>
        <v>-2300</v>
      </c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</row>
    <row r="322" spans="1:33" s="32" customFormat="1" ht="15" customHeight="1">
      <c r="A322" s="37">
        <v>43942</v>
      </c>
      <c r="B322" s="20" t="s">
        <v>454</v>
      </c>
      <c r="C322" s="20" t="s">
        <v>47</v>
      </c>
      <c r="D322" s="20">
        <v>900</v>
      </c>
      <c r="E322" s="38">
        <v>700</v>
      </c>
      <c r="F322" s="20" t="s">
        <v>8</v>
      </c>
      <c r="G322" s="43">
        <v>14</v>
      </c>
      <c r="H322" s="43">
        <v>21</v>
      </c>
      <c r="I322" s="43">
        <v>0</v>
      </c>
      <c r="J322" s="43">
        <v>0</v>
      </c>
      <c r="K322" s="1">
        <f t="shared" ref="K322" si="367">(IF(F322="SELL",G322-H322,IF(F322="BUY",H322-G322)))*E322</f>
        <v>4900</v>
      </c>
      <c r="L322" s="43">
        <v>0</v>
      </c>
      <c r="M322" s="43">
        <v>0</v>
      </c>
      <c r="N322" s="1">
        <f t="shared" si="349"/>
        <v>7</v>
      </c>
      <c r="O322" s="1">
        <f t="shared" si="350"/>
        <v>4900</v>
      </c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</row>
    <row r="323" spans="1:33" s="32" customFormat="1" ht="15" customHeight="1">
      <c r="A323" s="37">
        <v>43942</v>
      </c>
      <c r="B323" s="20" t="s">
        <v>471</v>
      </c>
      <c r="C323" s="20" t="s">
        <v>47</v>
      </c>
      <c r="D323" s="20">
        <v>660</v>
      </c>
      <c r="E323" s="38">
        <v>1000</v>
      </c>
      <c r="F323" s="20" t="s">
        <v>8</v>
      </c>
      <c r="G323" s="43">
        <v>9</v>
      </c>
      <c r="H323" s="43">
        <v>13</v>
      </c>
      <c r="I323" s="43">
        <v>17</v>
      </c>
      <c r="J323" s="43">
        <v>23</v>
      </c>
      <c r="K323" s="1">
        <f t="shared" ref="K323" si="368">(IF(F323="SELL",G323-H323,IF(F323="BUY",H323-G323)))*E323</f>
        <v>4000</v>
      </c>
      <c r="L323" s="43">
        <v>4000</v>
      </c>
      <c r="M323" s="43">
        <v>6000</v>
      </c>
      <c r="N323" s="1">
        <f t="shared" si="349"/>
        <v>14</v>
      </c>
      <c r="O323" s="1">
        <f t="shared" si="350"/>
        <v>14000</v>
      </c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</row>
    <row r="324" spans="1:33" s="32" customFormat="1" ht="15" customHeight="1">
      <c r="A324" s="37">
        <v>43941</v>
      </c>
      <c r="B324" s="20" t="s">
        <v>24</v>
      </c>
      <c r="C324" s="20" t="s">
        <v>47</v>
      </c>
      <c r="D324" s="20">
        <v>90</v>
      </c>
      <c r="E324" s="38">
        <v>4300</v>
      </c>
      <c r="F324" s="20" t="s">
        <v>8</v>
      </c>
      <c r="G324" s="43">
        <v>2.8</v>
      </c>
      <c r="H324" s="43">
        <v>3.5</v>
      </c>
      <c r="I324" s="43">
        <v>36.450000000000003</v>
      </c>
      <c r="J324" s="43">
        <v>0</v>
      </c>
      <c r="K324" s="1">
        <f t="shared" ref="K324" si="369">(IF(F324="SELL",G324-H324,IF(F324="BUY",H324-G324)))*E324</f>
        <v>3010.0000000000009</v>
      </c>
      <c r="L324" s="43">
        <f>E324*3.45</f>
        <v>14835</v>
      </c>
      <c r="M324" s="43">
        <v>0</v>
      </c>
      <c r="N324" s="1">
        <f t="shared" si="349"/>
        <v>4.1500000000000004</v>
      </c>
      <c r="O324" s="1">
        <f t="shared" si="350"/>
        <v>17845</v>
      </c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 spans="1:33" s="32" customFormat="1" ht="15" customHeight="1">
      <c r="A325" s="37">
        <v>43941</v>
      </c>
      <c r="B325" s="20" t="s">
        <v>474</v>
      </c>
      <c r="C325" s="20" t="s">
        <v>47</v>
      </c>
      <c r="D325" s="20">
        <v>400</v>
      </c>
      <c r="E325" s="38">
        <v>2300</v>
      </c>
      <c r="F325" s="20" t="s">
        <v>8</v>
      </c>
      <c r="G325" s="43">
        <v>8.3000000000000007</v>
      </c>
      <c r="H325" s="43">
        <v>9.5</v>
      </c>
      <c r="I325" s="43">
        <v>0</v>
      </c>
      <c r="J325" s="43">
        <v>0</v>
      </c>
      <c r="K325" s="1">
        <f t="shared" ref="K325" si="370">(IF(F325="SELL",G325-H325,IF(F325="BUY",H325-G325)))*E325</f>
        <v>2759.9999999999982</v>
      </c>
      <c r="L325" s="43">
        <v>0</v>
      </c>
      <c r="M325" s="43">
        <v>0</v>
      </c>
      <c r="N325" s="1">
        <f t="shared" si="349"/>
        <v>1.1999999999999993</v>
      </c>
      <c r="O325" s="1">
        <f t="shared" si="350"/>
        <v>2759.9999999999982</v>
      </c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:33" s="32" customFormat="1" ht="15" customHeight="1">
      <c r="A326" s="37">
        <v>43938</v>
      </c>
      <c r="B326" s="20" t="s">
        <v>453</v>
      </c>
      <c r="C326" s="20" t="s">
        <v>47</v>
      </c>
      <c r="D326" s="20">
        <v>700</v>
      </c>
      <c r="E326" s="38">
        <v>1100</v>
      </c>
      <c r="F326" s="20" t="s">
        <v>8</v>
      </c>
      <c r="G326" s="43">
        <v>30</v>
      </c>
      <c r="H326" s="43">
        <v>33</v>
      </c>
      <c r="I326" s="43">
        <v>36.450000000000003</v>
      </c>
      <c r="J326" s="43">
        <v>0</v>
      </c>
      <c r="K326" s="1">
        <f t="shared" ref="K326:K332" si="371">(IF(F326="SELL",G326-H326,IF(F326="BUY",H326-G326)))*E326</f>
        <v>3300</v>
      </c>
      <c r="L326" s="43">
        <f>E326*3.45</f>
        <v>3795</v>
      </c>
      <c r="M326" s="43">
        <v>0</v>
      </c>
      <c r="N326" s="1">
        <f t="shared" si="349"/>
        <v>6.45</v>
      </c>
      <c r="O326" s="1">
        <f t="shared" si="350"/>
        <v>7095</v>
      </c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 spans="1:33" s="32" customFormat="1" ht="15" customHeight="1">
      <c r="A327" s="37">
        <v>43938</v>
      </c>
      <c r="B327" s="20" t="s">
        <v>69</v>
      </c>
      <c r="C327" s="20" t="s">
        <v>47</v>
      </c>
      <c r="D327" s="20">
        <v>110</v>
      </c>
      <c r="E327" s="38">
        <v>5000</v>
      </c>
      <c r="F327" s="20" t="s">
        <v>8</v>
      </c>
      <c r="G327" s="43">
        <v>1.7</v>
      </c>
      <c r="H327" s="43">
        <v>2.15</v>
      </c>
      <c r="I327" s="43">
        <v>0</v>
      </c>
      <c r="J327" s="43">
        <v>0</v>
      </c>
      <c r="K327" s="1">
        <f t="shared" si="371"/>
        <v>2250</v>
      </c>
      <c r="L327" s="43">
        <v>0</v>
      </c>
      <c r="M327" s="43">
        <v>0</v>
      </c>
      <c r="N327" s="1">
        <f t="shared" si="349"/>
        <v>0.45</v>
      </c>
      <c r="O327" s="1">
        <f t="shared" si="350"/>
        <v>2250</v>
      </c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 spans="1:33" s="32" customFormat="1" ht="15" customHeight="1">
      <c r="A328" s="37">
        <v>43938</v>
      </c>
      <c r="B328" s="20" t="s">
        <v>38</v>
      </c>
      <c r="C328" s="20" t="s">
        <v>47</v>
      </c>
      <c r="D328" s="20">
        <v>5800</v>
      </c>
      <c r="E328" s="38">
        <v>100</v>
      </c>
      <c r="F328" s="20" t="s">
        <v>8</v>
      </c>
      <c r="G328" s="43">
        <v>112</v>
      </c>
      <c r="H328" s="43">
        <v>128</v>
      </c>
      <c r="I328" s="43">
        <v>148</v>
      </c>
      <c r="J328" s="43">
        <v>168</v>
      </c>
      <c r="K328" s="1">
        <f t="shared" si="371"/>
        <v>1600</v>
      </c>
      <c r="L328" s="43">
        <v>2000</v>
      </c>
      <c r="M328" s="43">
        <v>2000</v>
      </c>
      <c r="N328" s="1">
        <f t="shared" si="349"/>
        <v>56</v>
      </c>
      <c r="O328" s="1">
        <f t="shared" si="350"/>
        <v>5600</v>
      </c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 spans="1:33" s="32" customFormat="1" ht="15" customHeight="1">
      <c r="A329" s="37">
        <v>43938</v>
      </c>
      <c r="B329" s="20" t="s">
        <v>369</v>
      </c>
      <c r="C329" s="20" t="s">
        <v>46</v>
      </c>
      <c r="D329" s="20">
        <v>80</v>
      </c>
      <c r="E329" s="38">
        <v>2600</v>
      </c>
      <c r="F329" s="20" t="s">
        <v>8</v>
      </c>
      <c r="G329" s="43">
        <v>4.8</v>
      </c>
      <c r="H329" s="43">
        <v>4.8</v>
      </c>
      <c r="I329" s="43">
        <v>0</v>
      </c>
      <c r="J329" s="43">
        <v>0</v>
      </c>
      <c r="K329" s="1">
        <f t="shared" si="371"/>
        <v>0</v>
      </c>
      <c r="L329" s="43">
        <v>0</v>
      </c>
      <c r="M329" s="43">
        <v>0</v>
      </c>
      <c r="N329" s="1">
        <f t="shared" si="349"/>
        <v>0</v>
      </c>
      <c r="O329" s="1">
        <f t="shared" si="350"/>
        <v>0</v>
      </c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 spans="1:33" s="32" customFormat="1" ht="15" customHeight="1">
      <c r="A330" s="37">
        <v>43937</v>
      </c>
      <c r="B330" s="20" t="s">
        <v>413</v>
      </c>
      <c r="C330" s="20" t="s">
        <v>47</v>
      </c>
      <c r="D330" s="20">
        <v>160</v>
      </c>
      <c r="E330" s="38">
        <v>1200</v>
      </c>
      <c r="F330" s="20" t="s">
        <v>8</v>
      </c>
      <c r="G330" s="43">
        <v>4.5</v>
      </c>
      <c r="H330" s="43">
        <v>6.25</v>
      </c>
      <c r="I330" s="43">
        <v>0</v>
      </c>
      <c r="J330" s="43">
        <v>0</v>
      </c>
      <c r="K330" s="1">
        <f t="shared" si="371"/>
        <v>2100</v>
      </c>
      <c r="L330" s="43">
        <v>0</v>
      </c>
      <c r="M330" s="43">
        <v>0</v>
      </c>
      <c r="N330" s="1">
        <f t="shared" si="349"/>
        <v>1.75</v>
      </c>
      <c r="O330" s="1">
        <f t="shared" si="350"/>
        <v>2100</v>
      </c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 spans="1:33" s="32" customFormat="1" ht="15" customHeight="1">
      <c r="A331" s="37">
        <v>43937</v>
      </c>
      <c r="B331" s="20" t="s">
        <v>406</v>
      </c>
      <c r="C331" s="20" t="s">
        <v>47</v>
      </c>
      <c r="D331" s="20">
        <v>520</v>
      </c>
      <c r="E331" s="38">
        <v>1200</v>
      </c>
      <c r="F331" s="20" t="s">
        <v>8</v>
      </c>
      <c r="G331" s="43">
        <v>17.2</v>
      </c>
      <c r="H331" s="43">
        <v>15</v>
      </c>
      <c r="I331" s="43">
        <v>0</v>
      </c>
      <c r="J331" s="43">
        <v>0</v>
      </c>
      <c r="K331" s="1">
        <f t="shared" si="371"/>
        <v>-2639.9999999999991</v>
      </c>
      <c r="L331" s="43">
        <v>0</v>
      </c>
      <c r="M331" s="43">
        <v>0</v>
      </c>
      <c r="N331" s="1">
        <f t="shared" si="349"/>
        <v>-2.1999999999999993</v>
      </c>
      <c r="O331" s="1">
        <f t="shared" si="350"/>
        <v>-2639.9999999999991</v>
      </c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 spans="1:33" s="32" customFormat="1" ht="15" customHeight="1">
      <c r="A332" s="37">
        <v>43936</v>
      </c>
      <c r="B332" s="20" t="s">
        <v>21</v>
      </c>
      <c r="C332" s="20" t="s">
        <v>425</v>
      </c>
      <c r="D332" s="20">
        <v>150</v>
      </c>
      <c r="E332" s="38">
        <v>3000</v>
      </c>
      <c r="F332" s="20" t="s">
        <v>8</v>
      </c>
      <c r="G332" s="43">
        <v>2.5</v>
      </c>
      <c r="H332" s="43">
        <v>2.95</v>
      </c>
      <c r="I332" s="43">
        <v>0</v>
      </c>
      <c r="J332" s="43">
        <v>0</v>
      </c>
      <c r="K332" s="1">
        <f t="shared" si="371"/>
        <v>1350.0000000000005</v>
      </c>
      <c r="L332" s="43">
        <v>0</v>
      </c>
      <c r="M332" s="43">
        <v>0</v>
      </c>
      <c r="N332" s="1">
        <f t="shared" si="349"/>
        <v>0.45000000000000018</v>
      </c>
      <c r="O332" s="1">
        <f t="shared" si="350"/>
        <v>1350.0000000000005</v>
      </c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</row>
    <row r="333" spans="1:33" s="32" customFormat="1" ht="15" customHeight="1">
      <c r="A333" s="37">
        <v>43936</v>
      </c>
      <c r="B333" s="20" t="s">
        <v>17</v>
      </c>
      <c r="C333" s="20" t="s">
        <v>47</v>
      </c>
      <c r="D333" s="20">
        <v>520</v>
      </c>
      <c r="E333" s="38">
        <v>1200</v>
      </c>
      <c r="F333" s="20" t="s">
        <v>8</v>
      </c>
      <c r="G333" s="43">
        <v>12</v>
      </c>
      <c r="H333" s="43">
        <v>9</v>
      </c>
      <c r="I333" s="43">
        <v>0</v>
      </c>
      <c r="J333" s="43">
        <v>0</v>
      </c>
      <c r="K333" s="1">
        <f t="shared" ref="K333:K334" si="372">(IF(F333="SELL",G333-H333,IF(F333="BUY",H333-G333)))*E333</f>
        <v>-3600</v>
      </c>
      <c r="L333" s="43">
        <v>0</v>
      </c>
      <c r="M333" s="43">
        <v>0</v>
      </c>
      <c r="N333" s="1">
        <f t="shared" si="349"/>
        <v>-3</v>
      </c>
      <c r="O333" s="1">
        <f t="shared" si="350"/>
        <v>-3600</v>
      </c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</row>
    <row r="334" spans="1:33" s="32" customFormat="1" ht="15" customHeight="1">
      <c r="A334" s="37">
        <v>43936</v>
      </c>
      <c r="B334" s="20" t="s">
        <v>18</v>
      </c>
      <c r="C334" s="20" t="s">
        <v>47</v>
      </c>
      <c r="D334" s="20">
        <v>670</v>
      </c>
      <c r="E334" s="38">
        <v>1150</v>
      </c>
      <c r="F334" s="20" t="s">
        <v>8</v>
      </c>
      <c r="G334" s="43">
        <v>24</v>
      </c>
      <c r="H334" s="43">
        <v>20</v>
      </c>
      <c r="I334" s="43">
        <v>0</v>
      </c>
      <c r="J334" s="43">
        <v>0</v>
      </c>
      <c r="K334" s="1">
        <f t="shared" si="372"/>
        <v>-4600</v>
      </c>
      <c r="L334" s="43">
        <v>0</v>
      </c>
      <c r="M334" s="43">
        <v>0</v>
      </c>
      <c r="N334" s="1">
        <f t="shared" si="349"/>
        <v>-4</v>
      </c>
      <c r="O334" s="1">
        <f t="shared" si="350"/>
        <v>-4600</v>
      </c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</row>
    <row r="335" spans="1:33" s="32" customFormat="1" ht="15" customHeight="1">
      <c r="A335" s="37">
        <v>43934</v>
      </c>
      <c r="B335" s="20" t="s">
        <v>175</v>
      </c>
      <c r="C335" s="20" t="s">
        <v>46</v>
      </c>
      <c r="D335" s="20">
        <v>1800</v>
      </c>
      <c r="E335" s="38">
        <v>250</v>
      </c>
      <c r="F335" s="20" t="s">
        <v>8</v>
      </c>
      <c r="G335" s="43">
        <v>35</v>
      </c>
      <c r="H335" s="43">
        <v>43</v>
      </c>
      <c r="I335" s="43">
        <v>49.6</v>
      </c>
      <c r="J335" s="43">
        <v>0</v>
      </c>
      <c r="K335" s="1">
        <f t="shared" ref="K335" si="373">(IF(F335="SELL",G335-H335,IF(F335="BUY",H335-G335)))*E335</f>
        <v>2000</v>
      </c>
      <c r="L335" s="43">
        <f>E335*6.3</f>
        <v>1575</v>
      </c>
      <c r="M335" s="43">
        <v>0</v>
      </c>
      <c r="N335" s="1">
        <f t="shared" si="349"/>
        <v>14.3</v>
      </c>
      <c r="O335" s="1">
        <f t="shared" si="350"/>
        <v>3575</v>
      </c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</row>
    <row r="336" spans="1:33" s="32" customFormat="1" ht="15" customHeight="1">
      <c r="A336" s="37">
        <v>43934</v>
      </c>
      <c r="B336" s="20" t="s">
        <v>37</v>
      </c>
      <c r="C336" s="20" t="s">
        <v>47</v>
      </c>
      <c r="D336" s="20">
        <v>2000</v>
      </c>
      <c r="E336" s="38">
        <v>250</v>
      </c>
      <c r="F336" s="20" t="s">
        <v>8</v>
      </c>
      <c r="G336" s="43">
        <v>27</v>
      </c>
      <c r="H336" s="43">
        <v>27</v>
      </c>
      <c r="I336" s="43">
        <v>0</v>
      </c>
      <c r="J336" s="43">
        <v>0</v>
      </c>
      <c r="K336" s="1">
        <f t="shared" ref="K336" si="374">(IF(F336="SELL",G336-H336,IF(F336="BUY",H336-G336)))*E336</f>
        <v>0</v>
      </c>
      <c r="L336" s="43">
        <v>0</v>
      </c>
      <c r="M336" s="43">
        <v>0</v>
      </c>
      <c r="N336" s="1">
        <f t="shared" si="349"/>
        <v>0</v>
      </c>
      <c r="O336" s="1">
        <f t="shared" si="350"/>
        <v>0</v>
      </c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</row>
    <row r="337" spans="1:33" s="32" customFormat="1" ht="15" customHeight="1">
      <c r="A337" s="37">
        <v>43930</v>
      </c>
      <c r="B337" s="20" t="s">
        <v>24</v>
      </c>
      <c r="C337" s="20" t="s">
        <v>47</v>
      </c>
      <c r="D337" s="20">
        <v>85</v>
      </c>
      <c r="E337" s="38">
        <v>4300</v>
      </c>
      <c r="F337" s="20" t="s">
        <v>8</v>
      </c>
      <c r="G337" s="43">
        <v>3</v>
      </c>
      <c r="H337" s="43">
        <v>3.8</v>
      </c>
      <c r="I337" s="43">
        <v>4.8</v>
      </c>
      <c r="J337" s="43">
        <v>0</v>
      </c>
      <c r="K337" s="1">
        <f t="shared" ref="K337" si="375">(IF(F337="SELL",G337-H337,IF(F337="BUY",H337-G337)))*E337</f>
        <v>3439.9999999999991</v>
      </c>
      <c r="L337" s="43">
        <v>4300</v>
      </c>
      <c r="M337" s="43">
        <v>0</v>
      </c>
      <c r="N337" s="1">
        <f t="shared" si="349"/>
        <v>1.7999999999999998</v>
      </c>
      <c r="O337" s="1">
        <f t="shared" si="350"/>
        <v>7739.9999999999991</v>
      </c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</row>
    <row r="338" spans="1:33" s="32" customFormat="1" ht="15" customHeight="1">
      <c r="A338" s="37">
        <v>43930</v>
      </c>
      <c r="B338" s="20" t="s">
        <v>175</v>
      </c>
      <c r="C338" s="20" t="s">
        <v>47</v>
      </c>
      <c r="D338" s="20">
        <v>3000</v>
      </c>
      <c r="E338" s="38">
        <v>250</v>
      </c>
      <c r="F338" s="20" t="s">
        <v>8</v>
      </c>
      <c r="G338" s="43">
        <v>63</v>
      </c>
      <c r="H338" s="43">
        <v>67</v>
      </c>
      <c r="I338" s="43">
        <v>0</v>
      </c>
      <c r="J338" s="43">
        <v>0</v>
      </c>
      <c r="K338" s="1">
        <f t="shared" ref="K338" si="376">(IF(F338="SELL",G338-H338,IF(F338="BUY",H338-G338)))*E338</f>
        <v>1000</v>
      </c>
      <c r="L338" s="43">
        <v>0</v>
      </c>
      <c r="M338" s="43">
        <v>0</v>
      </c>
      <c r="N338" s="1">
        <f t="shared" si="349"/>
        <v>4</v>
      </c>
      <c r="O338" s="1">
        <f t="shared" si="350"/>
        <v>1000</v>
      </c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</row>
    <row r="339" spans="1:33" s="32" customFormat="1" ht="15" customHeight="1">
      <c r="A339" s="37">
        <v>43930</v>
      </c>
      <c r="B339" s="20" t="s">
        <v>391</v>
      </c>
      <c r="C339" s="20" t="s">
        <v>47</v>
      </c>
      <c r="D339" s="20">
        <v>560</v>
      </c>
      <c r="E339" s="38">
        <v>1250</v>
      </c>
      <c r="F339" s="20" t="s">
        <v>8</v>
      </c>
      <c r="G339" s="43">
        <v>11</v>
      </c>
      <c r="H339" s="43">
        <v>9</v>
      </c>
      <c r="I339" s="43">
        <v>0</v>
      </c>
      <c r="J339" s="43">
        <v>0</v>
      </c>
      <c r="K339" s="1">
        <f t="shared" ref="K339" si="377">(IF(F339="SELL",G339-H339,IF(F339="BUY",H339-G339)))*E339</f>
        <v>-2500</v>
      </c>
      <c r="L339" s="43">
        <v>0</v>
      </c>
      <c r="M339" s="43">
        <v>0</v>
      </c>
      <c r="N339" s="1">
        <f t="shared" si="349"/>
        <v>-2</v>
      </c>
      <c r="O339" s="1">
        <f t="shared" si="350"/>
        <v>-2500</v>
      </c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</row>
    <row r="340" spans="1:33" s="32" customFormat="1" ht="15" customHeight="1">
      <c r="A340" s="37">
        <v>43929</v>
      </c>
      <c r="B340" s="20" t="s">
        <v>428</v>
      </c>
      <c r="C340" s="20" t="s">
        <v>47</v>
      </c>
      <c r="D340" s="20">
        <v>600</v>
      </c>
      <c r="E340" s="38">
        <v>400</v>
      </c>
      <c r="F340" s="20" t="s">
        <v>8</v>
      </c>
      <c r="G340" s="43">
        <v>17</v>
      </c>
      <c r="H340" s="43">
        <v>23</v>
      </c>
      <c r="I340" s="43">
        <v>32.950000000000003</v>
      </c>
      <c r="J340" s="43">
        <v>20.9</v>
      </c>
      <c r="K340" s="1">
        <f t="shared" ref="K340" si="378">(IF(F340="SELL",G340-H340,IF(F340="BUY",H340-G340)))*E340</f>
        <v>2400</v>
      </c>
      <c r="L340" s="43">
        <f>E340*9.95</f>
        <v>3979.9999999999995</v>
      </c>
      <c r="M340" s="43">
        <v>0</v>
      </c>
      <c r="N340" s="1">
        <f t="shared" si="349"/>
        <v>15.95</v>
      </c>
      <c r="O340" s="1">
        <f t="shared" si="350"/>
        <v>6380</v>
      </c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</row>
    <row r="341" spans="1:33" s="32" customFormat="1" ht="15" customHeight="1">
      <c r="A341" s="37">
        <v>43929</v>
      </c>
      <c r="B341" s="20" t="s">
        <v>122</v>
      </c>
      <c r="C341" s="20" t="s">
        <v>47</v>
      </c>
      <c r="D341" s="20">
        <v>1900</v>
      </c>
      <c r="E341" s="38">
        <v>250</v>
      </c>
      <c r="F341" s="20" t="s">
        <v>8</v>
      </c>
      <c r="G341" s="43">
        <v>25</v>
      </c>
      <c r="H341" s="43">
        <v>32.75</v>
      </c>
      <c r="I341" s="43">
        <v>18.5</v>
      </c>
      <c r="J341" s="43">
        <v>0</v>
      </c>
      <c r="K341" s="1">
        <f t="shared" ref="K341" si="379">(IF(F341="SELL",G341-H341,IF(F341="BUY",H341-G341)))*E341</f>
        <v>1937.5</v>
      </c>
      <c r="L341" s="43">
        <v>0</v>
      </c>
      <c r="M341" s="43">
        <v>0</v>
      </c>
      <c r="N341" s="1">
        <f t="shared" si="349"/>
        <v>7.75</v>
      </c>
      <c r="O341" s="1">
        <f t="shared" si="350"/>
        <v>1937.5</v>
      </c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</row>
    <row r="342" spans="1:33" s="32" customFormat="1" ht="15" customHeight="1">
      <c r="A342" s="37">
        <v>43928</v>
      </c>
      <c r="B342" s="20" t="s">
        <v>39</v>
      </c>
      <c r="C342" s="20" t="s">
        <v>47</v>
      </c>
      <c r="D342" s="20">
        <v>1360</v>
      </c>
      <c r="E342" s="38">
        <v>500</v>
      </c>
      <c r="F342" s="20" t="s">
        <v>8</v>
      </c>
      <c r="G342" s="43">
        <v>11.5</v>
      </c>
      <c r="H342" s="43">
        <v>14.5</v>
      </c>
      <c r="I342" s="43">
        <v>18.5</v>
      </c>
      <c r="J342" s="43">
        <v>20.9</v>
      </c>
      <c r="K342" s="1">
        <f t="shared" ref="K342" si="380">(IF(F342="SELL",G342-H342,IF(F342="BUY",H342-G342)))*E342</f>
        <v>1500</v>
      </c>
      <c r="L342" s="43">
        <v>2000</v>
      </c>
      <c r="M342" s="43">
        <f>500*2.4</f>
        <v>1200</v>
      </c>
      <c r="N342" s="1">
        <f t="shared" si="349"/>
        <v>9.4</v>
      </c>
      <c r="O342" s="1">
        <f t="shared" si="350"/>
        <v>4700</v>
      </c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</row>
    <row r="343" spans="1:33" s="32" customFormat="1" ht="15" customHeight="1">
      <c r="A343" s="37">
        <v>43928</v>
      </c>
      <c r="B343" s="20" t="s">
        <v>446</v>
      </c>
      <c r="C343" s="20" t="s">
        <v>47</v>
      </c>
      <c r="D343" s="20">
        <v>2400</v>
      </c>
      <c r="E343" s="38">
        <v>300</v>
      </c>
      <c r="F343" s="20" t="s">
        <v>8</v>
      </c>
      <c r="G343" s="43">
        <v>55</v>
      </c>
      <c r="H343" s="43">
        <v>65</v>
      </c>
      <c r="I343" s="43">
        <v>75</v>
      </c>
      <c r="J343" s="43">
        <v>90</v>
      </c>
      <c r="K343" s="1">
        <f t="shared" ref="K343" si="381">(IF(F343="SELL",G343-H343,IF(F343="BUY",H343-G343)))*E343</f>
        <v>3000</v>
      </c>
      <c r="L343" s="43">
        <v>3000</v>
      </c>
      <c r="M343" s="43">
        <f>300*15</f>
        <v>4500</v>
      </c>
      <c r="N343" s="1">
        <f t="shared" si="349"/>
        <v>35</v>
      </c>
      <c r="O343" s="1">
        <f t="shared" si="350"/>
        <v>10500</v>
      </c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</row>
    <row r="344" spans="1:33" s="32" customFormat="1" ht="15" customHeight="1">
      <c r="A344" s="37">
        <v>43928</v>
      </c>
      <c r="B344" s="20" t="s">
        <v>60</v>
      </c>
      <c r="C344" s="20" t="s">
        <v>46</v>
      </c>
      <c r="D344" s="20">
        <v>60</v>
      </c>
      <c r="E344" s="38">
        <v>3500</v>
      </c>
      <c r="F344" s="20" t="s">
        <v>8</v>
      </c>
      <c r="G344" s="43">
        <v>3.5</v>
      </c>
      <c r="H344" s="43">
        <v>3.5</v>
      </c>
      <c r="I344" s="43">
        <v>0</v>
      </c>
      <c r="J344" s="43">
        <v>0</v>
      </c>
      <c r="K344" s="1">
        <f t="shared" ref="K344" si="382">(IF(F344="SELL",G344-H344,IF(F344="BUY",H344-G344)))*E344</f>
        <v>0</v>
      </c>
      <c r="L344" s="43">
        <v>0</v>
      </c>
      <c r="M344" s="43">
        <v>0</v>
      </c>
      <c r="N344" s="1">
        <f t="shared" si="349"/>
        <v>0</v>
      </c>
      <c r="O344" s="1">
        <f t="shared" si="350"/>
        <v>0</v>
      </c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</row>
    <row r="345" spans="1:33" s="32" customFormat="1" ht="15" customHeight="1">
      <c r="A345" s="37">
        <v>43924</v>
      </c>
      <c r="B345" s="20" t="s">
        <v>471</v>
      </c>
      <c r="C345" s="20" t="s">
        <v>47</v>
      </c>
      <c r="D345" s="20">
        <v>500</v>
      </c>
      <c r="E345" s="38">
        <v>1000</v>
      </c>
      <c r="F345" s="20" t="s">
        <v>8</v>
      </c>
      <c r="G345" s="43">
        <v>5.5</v>
      </c>
      <c r="H345" s="43">
        <v>7.5</v>
      </c>
      <c r="I345" s="43">
        <v>9.5</v>
      </c>
      <c r="J345" s="43">
        <v>11.5</v>
      </c>
      <c r="K345" s="1">
        <f t="shared" ref="K345" si="383">(IF(F345="SELL",G345-H345,IF(F345="BUY",H345-G345)))*E345</f>
        <v>2000</v>
      </c>
      <c r="L345" s="43">
        <f>E345*2</f>
        <v>2000</v>
      </c>
      <c r="M345" s="43">
        <f>E345*2</f>
        <v>2000</v>
      </c>
      <c r="N345" s="1">
        <f t="shared" si="349"/>
        <v>6</v>
      </c>
      <c r="O345" s="1">
        <f t="shared" si="350"/>
        <v>6000</v>
      </c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</row>
    <row r="346" spans="1:33" s="32" customFormat="1" ht="15" customHeight="1">
      <c r="A346" s="37">
        <v>43924</v>
      </c>
      <c r="B346" s="20" t="s">
        <v>473</v>
      </c>
      <c r="C346" s="20" t="s">
        <v>47</v>
      </c>
      <c r="D346" s="20">
        <v>175</v>
      </c>
      <c r="E346" s="38">
        <v>2400</v>
      </c>
      <c r="F346" s="20" t="s">
        <v>8</v>
      </c>
      <c r="G346" s="43">
        <v>7.8</v>
      </c>
      <c r="H346" s="43">
        <v>8.8000000000000007</v>
      </c>
      <c r="I346" s="43">
        <v>10</v>
      </c>
      <c r="J346" s="43">
        <v>12</v>
      </c>
      <c r="K346" s="1">
        <f t="shared" ref="K346" si="384">(IF(F346="SELL",G346-H346,IF(F346="BUY",H346-G346)))*E346</f>
        <v>2400.0000000000023</v>
      </c>
      <c r="L346" s="43">
        <f>E346*1.2</f>
        <v>2880</v>
      </c>
      <c r="M346" s="43">
        <f>E346*2</f>
        <v>4800</v>
      </c>
      <c r="N346" s="1">
        <f t="shared" si="349"/>
        <v>4.2000000000000011</v>
      </c>
      <c r="O346" s="1">
        <f t="shared" si="350"/>
        <v>10080.000000000002</v>
      </c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 spans="1:33" s="32" customFormat="1" ht="15" customHeight="1">
      <c r="A347" s="37">
        <v>43922</v>
      </c>
      <c r="B347" s="20" t="s">
        <v>27</v>
      </c>
      <c r="C347" s="20" t="s">
        <v>47</v>
      </c>
      <c r="D347" s="20">
        <v>140</v>
      </c>
      <c r="E347" s="38">
        <v>2700</v>
      </c>
      <c r="F347" s="20" t="s">
        <v>8</v>
      </c>
      <c r="G347" s="43">
        <v>9.5</v>
      </c>
      <c r="H347" s="43">
        <v>10.5</v>
      </c>
      <c r="I347" s="43">
        <v>6.7</v>
      </c>
      <c r="J347" s="43">
        <v>0</v>
      </c>
      <c r="K347" s="1">
        <f t="shared" ref="K347" si="385">(IF(F347="SELL",G347-H347,IF(F347="BUY",H347-G347)))*E347</f>
        <v>2700</v>
      </c>
      <c r="L347" s="43">
        <f>E347*1.2</f>
        <v>3240</v>
      </c>
      <c r="M347" s="43">
        <v>0</v>
      </c>
      <c r="N347" s="1">
        <f t="shared" si="349"/>
        <v>2.2000000000000002</v>
      </c>
      <c r="O347" s="1">
        <f t="shared" si="350"/>
        <v>5940.0000000000009</v>
      </c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</row>
    <row r="348" spans="1:33" s="32" customFormat="1" ht="15" customHeight="1">
      <c r="A348" s="37">
        <v>43922</v>
      </c>
      <c r="B348" s="20" t="s">
        <v>43</v>
      </c>
      <c r="C348" s="20" t="s">
        <v>47</v>
      </c>
      <c r="D348" s="20">
        <v>150</v>
      </c>
      <c r="E348" s="38">
        <v>500</v>
      </c>
      <c r="F348" s="20" t="s">
        <v>8</v>
      </c>
      <c r="G348" s="43">
        <v>20.5</v>
      </c>
      <c r="H348" s="43">
        <v>17.5</v>
      </c>
      <c r="I348" s="43">
        <v>0</v>
      </c>
      <c r="J348" s="43">
        <v>0</v>
      </c>
      <c r="K348" s="1">
        <f t="shared" ref="K348" si="386">(IF(F348="SELL",G348-H348,IF(F348="BUY",H348-G348)))*E348</f>
        <v>-1500</v>
      </c>
      <c r="L348" s="43">
        <v>0</v>
      </c>
      <c r="M348" s="43">
        <v>0</v>
      </c>
      <c r="N348" s="1">
        <f t="shared" si="349"/>
        <v>-3</v>
      </c>
      <c r="O348" s="1">
        <f t="shared" si="350"/>
        <v>-1500</v>
      </c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 spans="1:33" s="32" customFormat="1" ht="15" customHeight="1">
      <c r="A349" s="37">
        <v>43921</v>
      </c>
      <c r="B349" s="20" t="s">
        <v>27</v>
      </c>
      <c r="C349" s="20" t="s">
        <v>47</v>
      </c>
      <c r="D349" s="20">
        <v>150</v>
      </c>
      <c r="E349" s="38">
        <v>2700</v>
      </c>
      <c r="F349" s="20" t="s">
        <v>8</v>
      </c>
      <c r="G349" s="43">
        <v>4.5</v>
      </c>
      <c r="H349" s="43">
        <v>5.5</v>
      </c>
      <c r="I349" s="43">
        <v>6.7</v>
      </c>
      <c r="J349" s="43">
        <v>0</v>
      </c>
      <c r="K349" s="1">
        <f t="shared" ref="K349" si="387">(IF(F349="SELL",G349-H349,IF(F349="BUY",H349-G349)))*E349</f>
        <v>2700</v>
      </c>
      <c r="L349" s="43">
        <f>E349*1.2</f>
        <v>3240</v>
      </c>
      <c r="M349" s="43">
        <v>0</v>
      </c>
      <c r="N349" s="1">
        <f t="shared" si="349"/>
        <v>2.2000000000000002</v>
      </c>
      <c r="O349" s="1">
        <f t="shared" si="350"/>
        <v>5940.0000000000009</v>
      </c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</row>
    <row r="350" spans="1:33" s="32" customFormat="1" ht="15" customHeight="1">
      <c r="A350" s="37">
        <v>43921</v>
      </c>
      <c r="B350" s="20" t="s">
        <v>420</v>
      </c>
      <c r="C350" s="20" t="s">
        <v>47</v>
      </c>
      <c r="D350" s="20">
        <v>2000</v>
      </c>
      <c r="E350" s="38">
        <v>600</v>
      </c>
      <c r="F350" s="20" t="s">
        <v>8</v>
      </c>
      <c r="G350" s="43">
        <v>11</v>
      </c>
      <c r="H350" s="43">
        <v>12.8</v>
      </c>
      <c r="I350" s="43">
        <v>0</v>
      </c>
      <c r="J350" s="43">
        <v>0</v>
      </c>
      <c r="K350" s="1">
        <f t="shared" ref="K350" si="388">(IF(F350="SELL",G350-H350,IF(F350="BUY",H350-G350)))*E350</f>
        <v>1080.0000000000005</v>
      </c>
      <c r="L350" s="43">
        <v>0</v>
      </c>
      <c r="M350" s="43">
        <v>0</v>
      </c>
      <c r="N350" s="1">
        <f t="shared" si="349"/>
        <v>1.8000000000000007</v>
      </c>
      <c r="O350" s="1">
        <f t="shared" si="350"/>
        <v>1080.0000000000005</v>
      </c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</row>
    <row r="351" spans="1:33" s="32" customFormat="1" ht="15" customHeight="1">
      <c r="A351" s="37">
        <v>43920</v>
      </c>
      <c r="B351" s="20" t="s">
        <v>446</v>
      </c>
      <c r="C351" s="20" t="s">
        <v>47</v>
      </c>
      <c r="D351" s="20">
        <v>2500</v>
      </c>
      <c r="E351" s="38">
        <v>300</v>
      </c>
      <c r="F351" s="20" t="s">
        <v>8</v>
      </c>
      <c r="G351" s="43">
        <v>45</v>
      </c>
      <c r="H351" s="43">
        <v>55</v>
      </c>
      <c r="I351" s="43">
        <v>0</v>
      </c>
      <c r="J351" s="43">
        <v>0</v>
      </c>
      <c r="K351" s="1">
        <f t="shared" ref="K351" si="389">(IF(F351="SELL",G351-H351,IF(F351="BUY",H351-G351)))*E351</f>
        <v>3000</v>
      </c>
      <c r="L351" s="43">
        <v>0</v>
      </c>
      <c r="M351" s="43">
        <v>0</v>
      </c>
      <c r="N351" s="1">
        <f t="shared" si="349"/>
        <v>10</v>
      </c>
      <c r="O351" s="1">
        <f t="shared" si="350"/>
        <v>3000</v>
      </c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</row>
    <row r="352" spans="1:33" s="32" customFormat="1" ht="15" customHeight="1">
      <c r="A352" s="37">
        <v>43920</v>
      </c>
      <c r="B352" s="20" t="s">
        <v>37</v>
      </c>
      <c r="C352" s="20" t="s">
        <v>47</v>
      </c>
      <c r="D352" s="20">
        <v>2300</v>
      </c>
      <c r="E352" s="38">
        <v>250</v>
      </c>
      <c r="F352" s="20" t="s">
        <v>8</v>
      </c>
      <c r="G352" s="43">
        <v>17</v>
      </c>
      <c r="H352" s="43">
        <v>26</v>
      </c>
      <c r="I352" s="43">
        <v>0</v>
      </c>
      <c r="J352" s="43">
        <v>0</v>
      </c>
      <c r="K352" s="1">
        <f t="shared" ref="K352:K354" si="390">(IF(F352="SELL",G352-H352,IF(F352="BUY",H352-G352)))*E352</f>
        <v>2250</v>
      </c>
      <c r="L352" s="43">
        <v>0</v>
      </c>
      <c r="M352" s="43">
        <v>0</v>
      </c>
      <c r="N352" s="1">
        <f t="shared" si="349"/>
        <v>9</v>
      </c>
      <c r="O352" s="1">
        <f t="shared" si="350"/>
        <v>2250</v>
      </c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</row>
    <row r="353" spans="1:33" s="32" customFormat="1" ht="15" customHeight="1">
      <c r="A353" s="37">
        <v>43920</v>
      </c>
      <c r="B353" s="20" t="s">
        <v>486</v>
      </c>
      <c r="C353" s="20" t="s">
        <v>47</v>
      </c>
      <c r="D353" s="20">
        <v>90</v>
      </c>
      <c r="E353" s="38">
        <v>480</v>
      </c>
      <c r="F353" s="20" t="s">
        <v>8</v>
      </c>
      <c r="G353" s="43">
        <v>4.2</v>
      </c>
      <c r="H353" s="43">
        <v>4.2</v>
      </c>
      <c r="I353" s="43">
        <v>0</v>
      </c>
      <c r="J353" s="43">
        <v>0</v>
      </c>
      <c r="K353" s="1">
        <f t="shared" ref="K353" si="391">(IF(F353="SELL",G353-H353,IF(F353="BUY",H353-G353)))*E353</f>
        <v>0</v>
      </c>
      <c r="L353" s="43">
        <v>0</v>
      </c>
      <c r="M353" s="43">
        <v>0</v>
      </c>
      <c r="N353" s="1">
        <f t="shared" si="349"/>
        <v>0</v>
      </c>
      <c r="O353" s="1">
        <f t="shared" si="350"/>
        <v>0</v>
      </c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</row>
    <row r="354" spans="1:33" s="32" customFormat="1" ht="15" customHeight="1">
      <c r="A354" s="37">
        <v>43920</v>
      </c>
      <c r="B354" s="20" t="s">
        <v>24</v>
      </c>
      <c r="C354" s="20" t="s">
        <v>47</v>
      </c>
      <c r="D354" s="20">
        <v>110</v>
      </c>
      <c r="E354" s="38">
        <v>4300</v>
      </c>
      <c r="F354" s="20" t="s">
        <v>8</v>
      </c>
      <c r="G354" s="43">
        <v>2.2999999999999998</v>
      </c>
      <c r="H354" s="43">
        <v>1.8</v>
      </c>
      <c r="I354" s="43">
        <v>0</v>
      </c>
      <c r="J354" s="43">
        <v>0</v>
      </c>
      <c r="K354" s="1">
        <f t="shared" si="390"/>
        <v>-2149.9999999999991</v>
      </c>
      <c r="L354" s="43">
        <v>0</v>
      </c>
      <c r="M354" s="43">
        <v>0</v>
      </c>
      <c r="N354" s="1">
        <f t="shared" si="349"/>
        <v>-0.49999999999999978</v>
      </c>
      <c r="O354" s="1">
        <f t="shared" si="350"/>
        <v>-2149.9999999999991</v>
      </c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</row>
    <row r="355" spans="1:33" s="32" customFormat="1" ht="15" customHeight="1">
      <c r="A355" s="37">
        <v>43916</v>
      </c>
      <c r="B355" s="20" t="s">
        <v>175</v>
      </c>
      <c r="C355" s="20" t="s">
        <v>47</v>
      </c>
      <c r="D355" s="20">
        <v>2900</v>
      </c>
      <c r="E355" s="38">
        <v>250</v>
      </c>
      <c r="F355" s="20" t="s">
        <v>8</v>
      </c>
      <c r="G355" s="43">
        <v>10</v>
      </c>
      <c r="H355" s="43">
        <v>17</v>
      </c>
      <c r="I355" s="43">
        <v>27</v>
      </c>
      <c r="J355" s="43">
        <v>40</v>
      </c>
      <c r="K355" s="1">
        <f t="shared" ref="K355" si="392">(IF(F355="SELL",G355-H355,IF(F355="BUY",H355-G355)))*E355</f>
        <v>1750</v>
      </c>
      <c r="L355" s="43">
        <f>E355*10</f>
        <v>2500</v>
      </c>
      <c r="M355" s="43">
        <f>E355*13</f>
        <v>3250</v>
      </c>
      <c r="N355" s="1">
        <f t="shared" si="349"/>
        <v>30</v>
      </c>
      <c r="O355" s="1">
        <f t="shared" si="350"/>
        <v>7500</v>
      </c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</row>
    <row r="356" spans="1:33" s="32" customFormat="1" ht="15" customHeight="1">
      <c r="A356" s="37">
        <v>43916</v>
      </c>
      <c r="B356" s="20" t="s">
        <v>473</v>
      </c>
      <c r="C356" s="20" t="s">
        <v>47</v>
      </c>
      <c r="D356" s="20">
        <v>150</v>
      </c>
      <c r="E356" s="38">
        <v>2400</v>
      </c>
      <c r="F356" s="20" t="s">
        <v>8</v>
      </c>
      <c r="G356" s="43">
        <v>4.5</v>
      </c>
      <c r="H356" s="43">
        <v>6</v>
      </c>
      <c r="I356" s="43">
        <v>7</v>
      </c>
      <c r="J356" s="43">
        <v>0</v>
      </c>
      <c r="K356" s="1">
        <f t="shared" ref="K356" si="393">(IF(F356="SELL",G356-H356,IF(F356="BUY",H356-G356)))*E356</f>
        <v>3600</v>
      </c>
      <c r="L356" s="43">
        <v>2400</v>
      </c>
      <c r="M356" s="43">
        <v>0</v>
      </c>
      <c r="N356" s="1">
        <f t="shared" si="349"/>
        <v>2.5</v>
      </c>
      <c r="O356" s="1">
        <f t="shared" si="350"/>
        <v>6000</v>
      </c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</row>
    <row r="357" spans="1:33" s="32" customFormat="1" ht="15" customHeight="1">
      <c r="A357" s="37">
        <v>43916</v>
      </c>
      <c r="B357" s="20" t="s">
        <v>179</v>
      </c>
      <c r="C357" s="20" t="s">
        <v>47</v>
      </c>
      <c r="D357" s="20">
        <v>60</v>
      </c>
      <c r="E357" s="38">
        <v>5400</v>
      </c>
      <c r="F357" s="20" t="s">
        <v>8</v>
      </c>
      <c r="G357" s="43">
        <v>1.4</v>
      </c>
      <c r="H357" s="43">
        <v>0.65</v>
      </c>
      <c r="I357" s="43">
        <v>0</v>
      </c>
      <c r="J357" s="43">
        <v>0</v>
      </c>
      <c r="K357" s="1">
        <f t="shared" ref="K357" si="394">(IF(F357="SELL",G357-H357,IF(F357="BUY",H357-G357)))*E357</f>
        <v>-4049.9999999999995</v>
      </c>
      <c r="L357" s="43">
        <v>0</v>
      </c>
      <c r="M357" s="43">
        <v>0</v>
      </c>
      <c r="N357" s="1">
        <f t="shared" si="349"/>
        <v>-0.74999999999999989</v>
      </c>
      <c r="O357" s="1">
        <f t="shared" si="350"/>
        <v>-4049.9999999999995</v>
      </c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</row>
    <row r="358" spans="1:33" s="32" customFormat="1" ht="15" customHeight="1">
      <c r="A358" s="37">
        <v>43915</v>
      </c>
      <c r="B358" s="20" t="s">
        <v>179</v>
      </c>
      <c r="C358" s="20" t="s">
        <v>47</v>
      </c>
      <c r="D358" s="20">
        <v>60</v>
      </c>
      <c r="E358" s="38">
        <v>5400</v>
      </c>
      <c r="F358" s="20" t="s">
        <v>8</v>
      </c>
      <c r="G358" s="43">
        <v>0.9</v>
      </c>
      <c r="H358" s="43">
        <v>1.3</v>
      </c>
      <c r="I358" s="43">
        <v>2</v>
      </c>
      <c r="J358" s="43">
        <v>0</v>
      </c>
      <c r="K358" s="1">
        <f t="shared" ref="K358" si="395">(IF(F358="SELL",G358-H358,IF(F358="BUY",H358-G358)))*E358</f>
        <v>2160</v>
      </c>
      <c r="L358" s="43">
        <f>E358*0.7</f>
        <v>3779.9999999999995</v>
      </c>
      <c r="M358" s="43">
        <v>0</v>
      </c>
      <c r="N358" s="1">
        <f t="shared" si="349"/>
        <v>1.1000000000000001</v>
      </c>
      <c r="O358" s="1">
        <f t="shared" si="350"/>
        <v>5940.0000000000009</v>
      </c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</row>
    <row r="359" spans="1:33" s="32" customFormat="1" ht="15" customHeight="1">
      <c r="A359" s="37">
        <v>43915</v>
      </c>
      <c r="B359" s="20" t="s">
        <v>122</v>
      </c>
      <c r="C359" s="20" t="s">
        <v>47</v>
      </c>
      <c r="D359" s="20">
        <v>1600</v>
      </c>
      <c r="E359" s="38">
        <v>250</v>
      </c>
      <c r="F359" s="20" t="s">
        <v>8</v>
      </c>
      <c r="G359" s="43">
        <v>32</v>
      </c>
      <c r="H359" s="43">
        <v>42</v>
      </c>
      <c r="I359" s="43">
        <v>55</v>
      </c>
      <c r="J359" s="43">
        <v>70</v>
      </c>
      <c r="K359" s="1">
        <f t="shared" ref="K359:K361" si="396">(IF(F359="SELL",G359-H359,IF(F359="BUY",H359-G359)))*E359</f>
        <v>2500</v>
      </c>
      <c r="L359" s="43">
        <f>E359*13</f>
        <v>3250</v>
      </c>
      <c r="M359" s="43">
        <f>E359*15</f>
        <v>3750</v>
      </c>
      <c r="N359" s="1">
        <f t="shared" si="349"/>
        <v>38</v>
      </c>
      <c r="O359" s="1">
        <f t="shared" si="350"/>
        <v>9500</v>
      </c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</row>
    <row r="360" spans="1:33" s="32" customFormat="1" ht="15" customHeight="1">
      <c r="A360" s="37">
        <v>43913</v>
      </c>
      <c r="B360" s="20" t="s">
        <v>39</v>
      </c>
      <c r="C360" s="20" t="s">
        <v>47</v>
      </c>
      <c r="D360" s="20">
        <v>720</v>
      </c>
      <c r="E360" s="38">
        <v>500</v>
      </c>
      <c r="F360" s="20" t="s">
        <v>8</v>
      </c>
      <c r="G360" s="43">
        <v>20</v>
      </c>
      <c r="H360" s="43">
        <v>20</v>
      </c>
      <c r="I360" s="43">
        <v>0</v>
      </c>
      <c r="J360" s="43">
        <v>0</v>
      </c>
      <c r="K360" s="1">
        <f t="shared" ref="K360" si="397">(IF(F360="SELL",G360-H360,IF(F360="BUY",H360-G360)))*E360</f>
        <v>0</v>
      </c>
      <c r="L360" s="43">
        <v>0</v>
      </c>
      <c r="M360" s="43">
        <v>0</v>
      </c>
      <c r="N360" s="1">
        <f t="shared" si="349"/>
        <v>0</v>
      </c>
      <c r="O360" s="1">
        <f t="shared" si="350"/>
        <v>0</v>
      </c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</row>
    <row r="361" spans="1:33" s="32" customFormat="1" ht="15" customHeight="1">
      <c r="A361" s="37">
        <v>43913</v>
      </c>
      <c r="B361" s="20" t="s">
        <v>21</v>
      </c>
      <c r="C361" s="20" t="s">
        <v>46</v>
      </c>
      <c r="D361" s="20">
        <v>130</v>
      </c>
      <c r="E361" s="38">
        <v>3000</v>
      </c>
      <c r="F361" s="20" t="s">
        <v>8</v>
      </c>
      <c r="G361" s="43">
        <v>1.7</v>
      </c>
      <c r="H361" s="43">
        <v>1.7</v>
      </c>
      <c r="I361" s="43">
        <v>0</v>
      </c>
      <c r="J361" s="43">
        <v>0</v>
      </c>
      <c r="K361" s="1">
        <f t="shared" si="396"/>
        <v>0</v>
      </c>
      <c r="L361" s="43">
        <v>0</v>
      </c>
      <c r="M361" s="43">
        <v>0</v>
      </c>
      <c r="N361" s="1">
        <f t="shared" si="349"/>
        <v>0</v>
      </c>
      <c r="O361" s="1">
        <f t="shared" si="350"/>
        <v>0</v>
      </c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</row>
    <row r="362" spans="1:33" s="32" customFormat="1" ht="15" customHeight="1">
      <c r="A362" s="37">
        <v>43910</v>
      </c>
      <c r="B362" s="20" t="s">
        <v>20</v>
      </c>
      <c r="C362" s="20" t="s">
        <v>47</v>
      </c>
      <c r="D362" s="20">
        <v>620</v>
      </c>
      <c r="E362" s="38">
        <v>1200</v>
      </c>
      <c r="F362" s="20" t="s">
        <v>8</v>
      </c>
      <c r="G362" s="43">
        <v>8.8000000000000007</v>
      </c>
      <c r="H362" s="43">
        <v>10.5</v>
      </c>
      <c r="I362" s="43">
        <v>12.5</v>
      </c>
      <c r="J362" s="43">
        <v>15.5</v>
      </c>
      <c r="K362" s="1">
        <f t="shared" ref="K362" si="398">(IF(F362="SELL",G362-H362,IF(F362="BUY",H362-G362)))*E362</f>
        <v>2039.9999999999991</v>
      </c>
      <c r="L362" s="43">
        <f>E362*2</f>
        <v>2400</v>
      </c>
      <c r="M362" s="43">
        <f>E362*3</f>
        <v>3600</v>
      </c>
      <c r="N362" s="1">
        <f t="shared" si="349"/>
        <v>6.6999999999999993</v>
      </c>
      <c r="O362" s="1">
        <f t="shared" si="350"/>
        <v>8039.9999999999991</v>
      </c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</row>
    <row r="363" spans="1:33" s="32" customFormat="1" ht="15" customHeight="1">
      <c r="A363" s="37">
        <v>43910</v>
      </c>
      <c r="B363" s="20" t="s">
        <v>37</v>
      </c>
      <c r="C363" s="20" t="s">
        <v>47</v>
      </c>
      <c r="D363" s="20">
        <v>1740</v>
      </c>
      <c r="E363" s="38">
        <v>250</v>
      </c>
      <c r="F363" s="20" t="s">
        <v>8</v>
      </c>
      <c r="G363" s="43">
        <v>50</v>
      </c>
      <c r="H363" s="43">
        <v>58</v>
      </c>
      <c r="I363" s="43">
        <v>68</v>
      </c>
      <c r="J363" s="43">
        <v>85</v>
      </c>
      <c r="K363" s="1">
        <f t="shared" ref="K363" si="399">(IF(F363="SELL",G363-H363,IF(F363="BUY",H363-G363)))*E363</f>
        <v>2000</v>
      </c>
      <c r="L363" s="43">
        <f>E363*10</f>
        <v>2500</v>
      </c>
      <c r="M363" s="43">
        <f>E363*17</f>
        <v>4250</v>
      </c>
      <c r="N363" s="1">
        <f t="shared" si="349"/>
        <v>35</v>
      </c>
      <c r="O363" s="1">
        <f t="shared" si="350"/>
        <v>8750</v>
      </c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</row>
    <row r="364" spans="1:33" s="32" customFormat="1" ht="15" customHeight="1">
      <c r="A364" s="37">
        <v>43909</v>
      </c>
      <c r="B364" s="20" t="s">
        <v>391</v>
      </c>
      <c r="C364" s="20" t="s">
        <v>47</v>
      </c>
      <c r="D364" s="20">
        <v>390</v>
      </c>
      <c r="E364" s="38">
        <v>1250</v>
      </c>
      <c r="F364" s="20" t="s">
        <v>8</v>
      </c>
      <c r="G364" s="43">
        <v>9.1999999999999993</v>
      </c>
      <c r="H364" s="43">
        <v>11.2</v>
      </c>
      <c r="I364" s="43">
        <v>13.55</v>
      </c>
      <c r="J364" s="43">
        <v>73</v>
      </c>
      <c r="K364" s="1">
        <f t="shared" ref="K364" si="400">(IF(F364="SELL",G364-H364,IF(F364="BUY",H364-G364)))*E364</f>
        <v>2500</v>
      </c>
      <c r="L364" s="43">
        <f>E364*2.35</f>
        <v>2937.5</v>
      </c>
      <c r="M364" s="43">
        <v>0</v>
      </c>
      <c r="N364" s="1">
        <f t="shared" si="349"/>
        <v>4.3499999999999996</v>
      </c>
      <c r="O364" s="1">
        <f t="shared" si="350"/>
        <v>5437.5</v>
      </c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</row>
    <row r="365" spans="1:33" s="32" customFormat="1" ht="15" customHeight="1">
      <c r="A365" s="37">
        <v>43909</v>
      </c>
      <c r="B365" s="20" t="s">
        <v>26</v>
      </c>
      <c r="C365" s="20" t="s">
        <v>47</v>
      </c>
      <c r="D365" s="20">
        <v>330</v>
      </c>
      <c r="E365" s="38">
        <v>1500</v>
      </c>
      <c r="F365" s="20" t="s">
        <v>8</v>
      </c>
      <c r="G365" s="43">
        <v>4</v>
      </c>
      <c r="H365" s="43">
        <v>5</v>
      </c>
      <c r="I365" s="43">
        <v>6.5</v>
      </c>
      <c r="J365" s="43">
        <v>0</v>
      </c>
      <c r="K365" s="1">
        <f t="shared" ref="K365" si="401">(IF(F365="SELL",G365-H365,IF(F365="BUY",H365-G365)))*E365</f>
        <v>1500</v>
      </c>
      <c r="L365" s="43">
        <f>E365*1.5</f>
        <v>2250</v>
      </c>
      <c r="M365" s="43">
        <v>0</v>
      </c>
      <c r="N365" s="1">
        <f t="shared" si="349"/>
        <v>2.5</v>
      </c>
      <c r="O365" s="1">
        <f t="shared" si="350"/>
        <v>3750</v>
      </c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</row>
    <row r="366" spans="1:33" s="32" customFormat="1" ht="15" customHeight="1">
      <c r="A366" s="37">
        <v>43908</v>
      </c>
      <c r="B366" s="20" t="s">
        <v>43</v>
      </c>
      <c r="C366" s="20" t="s">
        <v>46</v>
      </c>
      <c r="D366" s="20">
        <v>940</v>
      </c>
      <c r="E366" s="38">
        <v>500</v>
      </c>
      <c r="F366" s="20" t="s">
        <v>8</v>
      </c>
      <c r="G366" s="43">
        <v>48</v>
      </c>
      <c r="H366" s="43">
        <v>54</v>
      </c>
      <c r="I366" s="43">
        <v>63</v>
      </c>
      <c r="J366" s="43">
        <v>73</v>
      </c>
      <c r="K366" s="1">
        <f t="shared" ref="K366" si="402">(IF(F366="SELL",G366-H366,IF(F366="BUY",H366-G366)))*E366</f>
        <v>3000</v>
      </c>
      <c r="L366" s="43">
        <f>E366*9</f>
        <v>4500</v>
      </c>
      <c r="M366" s="43">
        <f>E366*10</f>
        <v>5000</v>
      </c>
      <c r="N366" s="1">
        <f t="shared" si="349"/>
        <v>25</v>
      </c>
      <c r="O366" s="1">
        <f t="shared" si="350"/>
        <v>12500</v>
      </c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 spans="1:33" s="32" customFormat="1" ht="15" customHeight="1">
      <c r="A367" s="37">
        <v>43908</v>
      </c>
      <c r="B367" s="20" t="s">
        <v>415</v>
      </c>
      <c r="C367" s="20" t="s">
        <v>46</v>
      </c>
      <c r="D367" s="20">
        <v>1700</v>
      </c>
      <c r="E367" s="38">
        <v>200</v>
      </c>
      <c r="F367" s="20" t="s">
        <v>8</v>
      </c>
      <c r="G367" s="43">
        <v>84</v>
      </c>
      <c r="H367" s="43">
        <v>100</v>
      </c>
      <c r="I367" s="43">
        <v>120</v>
      </c>
      <c r="J367" s="43">
        <v>0</v>
      </c>
      <c r="K367" s="1">
        <f t="shared" ref="K367" si="403">(IF(F367="SELL",G367-H367,IF(F367="BUY",H367-G367)))*E367</f>
        <v>3200</v>
      </c>
      <c r="L367" s="43">
        <f>E367*20</f>
        <v>4000</v>
      </c>
      <c r="M367" s="43">
        <v>0</v>
      </c>
      <c r="N367" s="1">
        <f t="shared" si="349"/>
        <v>36</v>
      </c>
      <c r="O367" s="1">
        <f t="shared" si="350"/>
        <v>7200</v>
      </c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 spans="1:33" s="32" customFormat="1" ht="15" customHeight="1">
      <c r="A368" s="37">
        <v>43908</v>
      </c>
      <c r="B368" s="20" t="s">
        <v>28</v>
      </c>
      <c r="C368" s="20" t="s">
        <v>47</v>
      </c>
      <c r="D368" s="20">
        <v>560</v>
      </c>
      <c r="E368" s="38">
        <v>1851</v>
      </c>
      <c r="F368" s="20" t="s">
        <v>8</v>
      </c>
      <c r="G368" s="43">
        <v>2.8</v>
      </c>
      <c r="H368" s="43">
        <v>1.7</v>
      </c>
      <c r="I368" s="43">
        <v>0</v>
      </c>
      <c r="J368" s="43">
        <v>0</v>
      </c>
      <c r="K368" s="1">
        <f t="shared" ref="K368" si="404">(IF(F368="SELL",G368-H368,IF(F368="BUY",H368-G368)))*E368</f>
        <v>-2036.0999999999997</v>
      </c>
      <c r="L368" s="43">
        <v>0</v>
      </c>
      <c r="M368" s="43">
        <v>0</v>
      </c>
      <c r="N368" s="1">
        <f t="shared" si="349"/>
        <v>-1.0999999999999999</v>
      </c>
      <c r="O368" s="1">
        <f t="shared" si="350"/>
        <v>-2036.0999999999997</v>
      </c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</row>
    <row r="369" spans="1:33" s="32" customFormat="1" ht="15" customHeight="1">
      <c r="A369" s="37">
        <v>43907</v>
      </c>
      <c r="B369" s="20" t="s">
        <v>485</v>
      </c>
      <c r="C369" s="20" t="s">
        <v>47</v>
      </c>
      <c r="D369" s="20">
        <v>1700</v>
      </c>
      <c r="E369" s="38">
        <v>500</v>
      </c>
      <c r="F369" s="20" t="s">
        <v>8</v>
      </c>
      <c r="G369" s="43">
        <v>14.2</v>
      </c>
      <c r="H369" s="43">
        <v>18.2</v>
      </c>
      <c r="I369" s="43">
        <v>0</v>
      </c>
      <c r="J369" s="43">
        <v>0</v>
      </c>
      <c r="K369" s="1">
        <f t="shared" ref="K369" si="405">(IF(F369="SELL",G369-H369,IF(F369="BUY",H369-G369)))*E369</f>
        <v>2000</v>
      </c>
      <c r="L369" s="43">
        <v>0</v>
      </c>
      <c r="M369" s="43">
        <v>0</v>
      </c>
      <c r="N369" s="1">
        <f t="shared" ref="N369:N432" si="406">(L369+K369+M369)/E369</f>
        <v>4</v>
      </c>
      <c r="O369" s="1">
        <f t="shared" ref="O369:O432" si="407">N369*E369</f>
        <v>2000</v>
      </c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</row>
    <row r="370" spans="1:33" s="32" customFormat="1" ht="15" customHeight="1">
      <c r="A370" s="37">
        <v>43907</v>
      </c>
      <c r="B370" s="20" t="s">
        <v>409</v>
      </c>
      <c r="C370" s="20" t="s">
        <v>46</v>
      </c>
      <c r="D370" s="20">
        <v>60</v>
      </c>
      <c r="E370" s="38">
        <v>5600</v>
      </c>
      <c r="F370" s="20" t="s">
        <v>8</v>
      </c>
      <c r="G370" s="43">
        <v>3.8</v>
      </c>
      <c r="H370" s="43">
        <v>4.5</v>
      </c>
      <c r="I370" s="43">
        <v>0</v>
      </c>
      <c r="J370" s="43">
        <v>0</v>
      </c>
      <c r="K370" s="1">
        <f t="shared" ref="K370" si="408">(IF(F370="SELL",G370-H370,IF(F370="BUY",H370-G370)))*E370</f>
        <v>3920.0000000000009</v>
      </c>
      <c r="L370" s="43">
        <v>0</v>
      </c>
      <c r="M370" s="43">
        <v>0</v>
      </c>
      <c r="N370" s="1">
        <f t="shared" si="406"/>
        <v>0.70000000000000018</v>
      </c>
      <c r="O370" s="1">
        <f t="shared" si="407"/>
        <v>3920.0000000000009</v>
      </c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</row>
    <row r="371" spans="1:33" s="32" customFormat="1" ht="15" customHeight="1">
      <c r="A371" s="37">
        <v>43907</v>
      </c>
      <c r="B371" s="20" t="s">
        <v>63</v>
      </c>
      <c r="C371" s="20" t="s">
        <v>47</v>
      </c>
      <c r="D371" s="20">
        <v>240</v>
      </c>
      <c r="E371" s="38">
        <v>2100</v>
      </c>
      <c r="F371" s="20" t="s">
        <v>8</v>
      </c>
      <c r="G371" s="43">
        <v>5</v>
      </c>
      <c r="H371" s="43">
        <v>5.65</v>
      </c>
      <c r="I371" s="43">
        <v>0</v>
      </c>
      <c r="J371" s="43">
        <v>0</v>
      </c>
      <c r="K371" s="1">
        <f t="shared" ref="K371" si="409">(IF(F371="SELL",G371-H371,IF(F371="BUY",H371-G371)))*E371</f>
        <v>1365.0000000000007</v>
      </c>
      <c r="L371" s="43">
        <v>0</v>
      </c>
      <c r="M371" s="43">
        <v>0</v>
      </c>
      <c r="N371" s="1">
        <f t="shared" si="406"/>
        <v>0.65000000000000036</v>
      </c>
      <c r="O371" s="1">
        <f t="shared" si="407"/>
        <v>1365.0000000000007</v>
      </c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 spans="1:33" s="32" customFormat="1" ht="15" customHeight="1">
      <c r="A372" s="37">
        <v>43906</v>
      </c>
      <c r="B372" s="20" t="s">
        <v>368</v>
      </c>
      <c r="C372" s="20" t="s">
        <v>46</v>
      </c>
      <c r="D372" s="20">
        <v>120</v>
      </c>
      <c r="E372" s="38">
        <v>1700</v>
      </c>
      <c r="F372" s="20" t="s">
        <v>8</v>
      </c>
      <c r="G372" s="43">
        <v>7</v>
      </c>
      <c r="H372" s="43">
        <v>7.6</v>
      </c>
      <c r="I372" s="43">
        <v>0</v>
      </c>
      <c r="J372" s="43">
        <v>0</v>
      </c>
      <c r="K372" s="1">
        <f t="shared" ref="K372:K373" si="410">(IF(F372="SELL",G372-H372,IF(F372="BUY",H372-G372)))*E372</f>
        <v>1019.9999999999994</v>
      </c>
      <c r="L372" s="43">
        <v>0</v>
      </c>
      <c r="M372" s="43">
        <v>0</v>
      </c>
      <c r="N372" s="1">
        <f t="shared" si="406"/>
        <v>0.59999999999999964</v>
      </c>
      <c r="O372" s="1">
        <f t="shared" si="407"/>
        <v>1019.9999999999994</v>
      </c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</row>
    <row r="373" spans="1:33" s="32" customFormat="1" ht="15" customHeight="1">
      <c r="A373" s="37">
        <v>43906</v>
      </c>
      <c r="B373" s="20" t="s">
        <v>26</v>
      </c>
      <c r="C373" s="20" t="s">
        <v>47</v>
      </c>
      <c r="D373" s="20">
        <v>380</v>
      </c>
      <c r="E373" s="38">
        <v>1500</v>
      </c>
      <c r="F373" s="20" t="s">
        <v>8</v>
      </c>
      <c r="G373" s="43">
        <v>4</v>
      </c>
      <c r="H373" s="43">
        <v>5.5</v>
      </c>
      <c r="I373" s="43">
        <v>30</v>
      </c>
      <c r="J373" s="43">
        <v>0</v>
      </c>
      <c r="K373" s="1">
        <f t="shared" si="410"/>
        <v>2250</v>
      </c>
      <c r="L373" s="43">
        <v>0</v>
      </c>
      <c r="M373" s="43">
        <v>0</v>
      </c>
      <c r="N373" s="1">
        <f t="shared" si="406"/>
        <v>1.5</v>
      </c>
      <c r="O373" s="1">
        <f t="shared" si="407"/>
        <v>2250</v>
      </c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</row>
    <row r="374" spans="1:33" s="32" customFormat="1" ht="15" customHeight="1">
      <c r="A374" s="37">
        <v>43906</v>
      </c>
      <c r="B374" s="20" t="s">
        <v>37</v>
      </c>
      <c r="C374" s="20" t="s">
        <v>47</v>
      </c>
      <c r="D374" s="20">
        <v>1900</v>
      </c>
      <c r="E374" s="38">
        <v>250</v>
      </c>
      <c r="F374" s="20" t="s">
        <v>8</v>
      </c>
      <c r="G374" s="43">
        <v>60</v>
      </c>
      <c r="H374" s="43">
        <v>45</v>
      </c>
      <c r="I374" s="43">
        <v>30</v>
      </c>
      <c r="J374" s="43">
        <v>0</v>
      </c>
      <c r="K374" s="1">
        <f t="shared" ref="K374" si="411">(IF(F374="SELL",G374-H374,IF(F374="BUY",H374-G374)))*E374</f>
        <v>-3750</v>
      </c>
      <c r="L374" s="43">
        <v>0</v>
      </c>
      <c r="M374" s="43">
        <v>0</v>
      </c>
      <c r="N374" s="1">
        <f t="shared" si="406"/>
        <v>-15</v>
      </c>
      <c r="O374" s="1">
        <f t="shared" si="407"/>
        <v>-3750</v>
      </c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</row>
    <row r="375" spans="1:33" s="32" customFormat="1" ht="15" customHeight="1">
      <c r="A375" s="37">
        <v>43903</v>
      </c>
      <c r="B375" s="20" t="s">
        <v>428</v>
      </c>
      <c r="C375" s="20" t="s">
        <v>47</v>
      </c>
      <c r="D375" s="20">
        <v>1000</v>
      </c>
      <c r="E375" s="38">
        <v>400</v>
      </c>
      <c r="F375" s="20" t="s">
        <v>8</v>
      </c>
      <c r="G375" s="43">
        <v>13</v>
      </c>
      <c r="H375" s="43">
        <v>20</v>
      </c>
      <c r="I375" s="43">
        <v>30</v>
      </c>
      <c r="J375" s="43">
        <v>0</v>
      </c>
      <c r="K375" s="1">
        <f t="shared" ref="K375" si="412">(IF(F375="SELL",G375-H375,IF(F375="BUY",H375-G375)))*E375</f>
        <v>2800</v>
      </c>
      <c r="L375" s="43">
        <v>4000</v>
      </c>
      <c r="M375" s="43">
        <v>0</v>
      </c>
      <c r="N375" s="1">
        <f t="shared" si="406"/>
        <v>17</v>
      </c>
      <c r="O375" s="1">
        <f t="shared" si="407"/>
        <v>6800</v>
      </c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</row>
    <row r="376" spans="1:33" s="32" customFormat="1" ht="15" customHeight="1">
      <c r="A376" s="37">
        <v>43903</v>
      </c>
      <c r="B376" s="20" t="s">
        <v>26</v>
      </c>
      <c r="C376" s="20" t="s">
        <v>47</v>
      </c>
      <c r="D376" s="20">
        <v>360</v>
      </c>
      <c r="E376" s="38">
        <v>1500</v>
      </c>
      <c r="F376" s="20" t="s">
        <v>8</v>
      </c>
      <c r="G376" s="43">
        <v>4</v>
      </c>
      <c r="H376" s="43">
        <v>6</v>
      </c>
      <c r="I376" s="43">
        <v>8</v>
      </c>
      <c r="J376" s="43">
        <v>9</v>
      </c>
      <c r="K376" s="1">
        <f t="shared" ref="K376" si="413">(IF(F376="SELL",G376-H376,IF(F376="BUY",H376-G376)))*E376</f>
        <v>3000</v>
      </c>
      <c r="L376" s="43">
        <v>3000</v>
      </c>
      <c r="M376" s="43">
        <v>1500</v>
      </c>
      <c r="N376" s="1">
        <f t="shared" si="406"/>
        <v>5</v>
      </c>
      <c r="O376" s="1">
        <f t="shared" si="407"/>
        <v>7500</v>
      </c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</row>
    <row r="377" spans="1:33" s="32" customFormat="1" ht="15" customHeight="1">
      <c r="A377" s="37">
        <v>43902</v>
      </c>
      <c r="B377" s="20" t="s">
        <v>26</v>
      </c>
      <c r="C377" s="20" t="s">
        <v>47</v>
      </c>
      <c r="D377" s="20">
        <v>320</v>
      </c>
      <c r="E377" s="38">
        <v>1500</v>
      </c>
      <c r="F377" s="20" t="s">
        <v>8</v>
      </c>
      <c r="G377" s="43">
        <v>7.5</v>
      </c>
      <c r="H377" s="43">
        <v>9</v>
      </c>
      <c r="I377" s="43">
        <v>0</v>
      </c>
      <c r="J377" s="43">
        <v>0</v>
      </c>
      <c r="K377" s="1">
        <f t="shared" ref="K377" si="414">(IF(F377="SELL",G377-H377,IF(F377="BUY",H377-G377)))*E377</f>
        <v>2250</v>
      </c>
      <c r="L377" s="43">
        <v>0</v>
      </c>
      <c r="M377" s="43">
        <v>0</v>
      </c>
      <c r="N377" s="1">
        <f t="shared" si="406"/>
        <v>1.5</v>
      </c>
      <c r="O377" s="1">
        <f t="shared" si="407"/>
        <v>2250</v>
      </c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</row>
    <row r="378" spans="1:33" s="32" customFormat="1" ht="15" customHeight="1">
      <c r="A378" s="37">
        <v>43902</v>
      </c>
      <c r="B378" s="20" t="s">
        <v>415</v>
      </c>
      <c r="C378" s="20" t="s">
        <v>47</v>
      </c>
      <c r="D378" s="20">
        <v>1750</v>
      </c>
      <c r="E378" s="38">
        <v>200</v>
      </c>
      <c r="F378" s="20" t="s">
        <v>8</v>
      </c>
      <c r="G378" s="43">
        <v>35</v>
      </c>
      <c r="H378" s="43">
        <v>45</v>
      </c>
      <c r="I378" s="43">
        <v>60</v>
      </c>
      <c r="J378" s="43">
        <v>0</v>
      </c>
      <c r="K378" s="1">
        <f t="shared" ref="K378" si="415">(IF(F378="SELL",G378-H378,IF(F378="BUY",H378-G378)))*E378</f>
        <v>2000</v>
      </c>
      <c r="L378" s="43">
        <f>E378*15</f>
        <v>3000</v>
      </c>
      <c r="M378" s="43">
        <v>0</v>
      </c>
      <c r="N378" s="1">
        <f t="shared" si="406"/>
        <v>25</v>
      </c>
      <c r="O378" s="1">
        <f t="shared" si="407"/>
        <v>5000</v>
      </c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</row>
    <row r="379" spans="1:33" s="32" customFormat="1" ht="15" customHeight="1">
      <c r="A379" s="37">
        <v>43902</v>
      </c>
      <c r="B379" s="20" t="s">
        <v>428</v>
      </c>
      <c r="C379" s="20" t="s">
        <v>47</v>
      </c>
      <c r="D379" s="20">
        <v>950</v>
      </c>
      <c r="E379" s="38">
        <v>400</v>
      </c>
      <c r="F379" s="20" t="s">
        <v>8</v>
      </c>
      <c r="G379" s="43">
        <v>19</v>
      </c>
      <c r="H379" s="43">
        <v>20</v>
      </c>
      <c r="I379" s="43">
        <v>0</v>
      </c>
      <c r="J379" s="43">
        <v>0</v>
      </c>
      <c r="K379" s="1">
        <f t="shared" ref="K379" si="416">(IF(F379="SELL",G379-H379,IF(F379="BUY",H379-G379)))*E379</f>
        <v>400</v>
      </c>
      <c r="L379" s="43">
        <v>0</v>
      </c>
      <c r="M379" s="43">
        <v>0</v>
      </c>
      <c r="N379" s="1">
        <f t="shared" si="406"/>
        <v>1</v>
      </c>
      <c r="O379" s="1">
        <f t="shared" si="407"/>
        <v>400</v>
      </c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</row>
    <row r="380" spans="1:33" s="32" customFormat="1" ht="15" customHeight="1">
      <c r="A380" s="37">
        <v>43901</v>
      </c>
      <c r="B380" s="20" t="s">
        <v>446</v>
      </c>
      <c r="C380" s="20" t="s">
        <v>47</v>
      </c>
      <c r="D380" s="20">
        <v>2180</v>
      </c>
      <c r="E380" s="38">
        <v>300</v>
      </c>
      <c r="F380" s="20" t="s">
        <v>8</v>
      </c>
      <c r="G380" s="43">
        <v>38</v>
      </c>
      <c r="H380" s="43">
        <v>46</v>
      </c>
      <c r="I380" s="43">
        <v>56</v>
      </c>
      <c r="J380" s="43">
        <v>0</v>
      </c>
      <c r="K380" s="1">
        <f t="shared" ref="K380" si="417">(IF(F380="SELL",G380-H380,IF(F380="BUY",H380-G380)))*E380</f>
        <v>2400</v>
      </c>
      <c r="L380" s="43">
        <v>3000</v>
      </c>
      <c r="M380" s="43">
        <v>0</v>
      </c>
      <c r="N380" s="1">
        <f t="shared" si="406"/>
        <v>18</v>
      </c>
      <c r="O380" s="1">
        <f t="shared" si="407"/>
        <v>5400</v>
      </c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</row>
    <row r="381" spans="1:33" s="32" customFormat="1" ht="15" customHeight="1">
      <c r="A381" s="37">
        <v>43901</v>
      </c>
      <c r="B381" s="20" t="s">
        <v>26</v>
      </c>
      <c r="C381" s="20" t="s">
        <v>46</v>
      </c>
      <c r="D381" s="20">
        <v>260</v>
      </c>
      <c r="E381" s="38">
        <v>1500</v>
      </c>
      <c r="F381" s="20" t="s">
        <v>8</v>
      </c>
      <c r="G381" s="43">
        <v>5.7</v>
      </c>
      <c r="H381" s="43">
        <v>7.2</v>
      </c>
      <c r="I381" s="43">
        <v>8.1999999999999993</v>
      </c>
      <c r="J381" s="43">
        <v>0</v>
      </c>
      <c r="K381" s="1">
        <f t="shared" ref="K381" si="418">(IF(F381="SELL",G381-H381,IF(F381="BUY",H381-G381)))*E381</f>
        <v>2250</v>
      </c>
      <c r="L381" s="43">
        <v>1500</v>
      </c>
      <c r="M381" s="43">
        <v>0</v>
      </c>
      <c r="N381" s="1">
        <f t="shared" si="406"/>
        <v>2.5</v>
      </c>
      <c r="O381" s="1">
        <f t="shared" si="407"/>
        <v>3750</v>
      </c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</row>
    <row r="382" spans="1:33" s="32" customFormat="1" ht="15" customHeight="1">
      <c r="A382" s="37">
        <v>43899</v>
      </c>
      <c r="B382" s="20" t="s">
        <v>369</v>
      </c>
      <c r="C382" s="20" t="s">
        <v>47</v>
      </c>
      <c r="D382" s="20">
        <v>1300</v>
      </c>
      <c r="E382" s="38">
        <v>2600</v>
      </c>
      <c r="F382" s="20" t="s">
        <v>8</v>
      </c>
      <c r="G382" s="43">
        <v>6.3</v>
      </c>
      <c r="H382" s="43">
        <v>7.1</v>
      </c>
      <c r="I382" s="43">
        <v>0</v>
      </c>
      <c r="J382" s="43">
        <v>0</v>
      </c>
      <c r="K382" s="1">
        <f t="shared" ref="K382" si="419">(IF(F382="SELL",G382-H382,IF(F382="BUY",H382-G382)))*E382</f>
        <v>2079.9999999999995</v>
      </c>
      <c r="L382" s="43">
        <v>0</v>
      </c>
      <c r="M382" s="43">
        <v>0</v>
      </c>
      <c r="N382" s="1">
        <f t="shared" si="406"/>
        <v>0.79999999999999982</v>
      </c>
      <c r="O382" s="1">
        <f t="shared" si="407"/>
        <v>2079.9999999999995</v>
      </c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</row>
    <row r="383" spans="1:33" s="32" customFormat="1" ht="15" customHeight="1">
      <c r="A383" s="37">
        <v>43899</v>
      </c>
      <c r="B383" s="20" t="s">
        <v>69</v>
      </c>
      <c r="C383" s="20" t="s">
        <v>46</v>
      </c>
      <c r="D383" s="20">
        <v>80</v>
      </c>
      <c r="E383" s="38">
        <v>5000</v>
      </c>
      <c r="F383" s="20" t="s">
        <v>8</v>
      </c>
      <c r="G383" s="43">
        <v>2.5</v>
      </c>
      <c r="H383" s="43">
        <v>2.5</v>
      </c>
      <c r="I383" s="43">
        <v>0</v>
      </c>
      <c r="J383" s="43">
        <v>0</v>
      </c>
      <c r="K383" s="1">
        <f t="shared" ref="K383" si="420">(IF(F383="SELL",G383-H383,IF(F383="BUY",H383-G383)))*E383</f>
        <v>0</v>
      </c>
      <c r="L383" s="43">
        <v>0</v>
      </c>
      <c r="M383" s="43">
        <v>0</v>
      </c>
      <c r="N383" s="1">
        <f t="shared" si="406"/>
        <v>0</v>
      </c>
      <c r="O383" s="1">
        <f t="shared" si="407"/>
        <v>0</v>
      </c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</row>
    <row r="384" spans="1:33" s="32" customFormat="1" ht="15" customHeight="1">
      <c r="A384" s="37">
        <v>43899</v>
      </c>
      <c r="B384" s="20" t="s">
        <v>18</v>
      </c>
      <c r="C384" s="20" t="s">
        <v>47</v>
      </c>
      <c r="D384" s="20">
        <v>440</v>
      </c>
      <c r="E384" s="38">
        <v>1150</v>
      </c>
      <c r="F384" s="20" t="s">
        <v>8</v>
      </c>
      <c r="G384" s="43">
        <v>12.8</v>
      </c>
      <c r="H384" s="43">
        <v>11.3</v>
      </c>
      <c r="I384" s="43">
        <v>0</v>
      </c>
      <c r="J384" s="43">
        <v>0</v>
      </c>
      <c r="K384" s="1">
        <f t="shared" ref="K384" si="421">(IF(F384="SELL",G384-H384,IF(F384="BUY",H384-G384)))*E384</f>
        <v>-1725</v>
      </c>
      <c r="L384" s="43">
        <v>0</v>
      </c>
      <c r="M384" s="43">
        <v>0</v>
      </c>
      <c r="N384" s="1">
        <f t="shared" si="406"/>
        <v>-1.5</v>
      </c>
      <c r="O384" s="1">
        <f t="shared" si="407"/>
        <v>-1725</v>
      </c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</row>
    <row r="385" spans="1:33" s="32" customFormat="1" ht="15" customHeight="1">
      <c r="A385" s="37">
        <v>43894</v>
      </c>
      <c r="B385" s="20" t="s">
        <v>208</v>
      </c>
      <c r="C385" s="20" t="s">
        <v>47</v>
      </c>
      <c r="D385" s="20">
        <v>2300</v>
      </c>
      <c r="E385" s="38">
        <v>400</v>
      </c>
      <c r="F385" s="20" t="s">
        <v>8</v>
      </c>
      <c r="G385" s="43">
        <v>44</v>
      </c>
      <c r="H385" s="43">
        <v>50</v>
      </c>
      <c r="I385" s="43">
        <v>57</v>
      </c>
      <c r="J385" s="43">
        <v>14</v>
      </c>
      <c r="K385" s="1">
        <f t="shared" ref="K385" si="422">(IF(F385="SELL",G385-H385,IF(F385="BUY",H385-G385)))*E385</f>
        <v>2400</v>
      </c>
      <c r="L385" s="43">
        <v>2800</v>
      </c>
      <c r="M385" s="43">
        <v>0</v>
      </c>
      <c r="N385" s="1">
        <f t="shared" si="406"/>
        <v>13</v>
      </c>
      <c r="O385" s="1">
        <f t="shared" si="407"/>
        <v>5200</v>
      </c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</row>
    <row r="386" spans="1:33" s="32" customFormat="1" ht="15" customHeight="1">
      <c r="A386" s="37">
        <v>43896</v>
      </c>
      <c r="B386" s="20" t="s">
        <v>37</v>
      </c>
      <c r="C386" s="20" t="s">
        <v>47</v>
      </c>
      <c r="D386" s="20">
        <v>2120</v>
      </c>
      <c r="E386" s="38">
        <v>250</v>
      </c>
      <c r="F386" s="20" t="s">
        <v>8</v>
      </c>
      <c r="G386" s="43">
        <v>37</v>
      </c>
      <c r="H386" s="43">
        <v>40</v>
      </c>
      <c r="I386" s="43">
        <v>0</v>
      </c>
      <c r="J386" s="43">
        <v>0</v>
      </c>
      <c r="K386" s="1">
        <f t="shared" ref="K386" si="423">(IF(F386="SELL",G386-H386,IF(F386="BUY",H386-G386)))*E386</f>
        <v>750</v>
      </c>
      <c r="L386" s="43">
        <v>0</v>
      </c>
      <c r="M386" s="43">
        <v>0</v>
      </c>
      <c r="N386" s="1">
        <f t="shared" si="406"/>
        <v>3</v>
      </c>
      <c r="O386" s="1">
        <f t="shared" si="407"/>
        <v>750</v>
      </c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</row>
    <row r="387" spans="1:33" s="32" customFormat="1" ht="15" customHeight="1">
      <c r="A387" s="37">
        <v>43895</v>
      </c>
      <c r="B387" s="20" t="s">
        <v>98</v>
      </c>
      <c r="C387" s="20" t="s">
        <v>47</v>
      </c>
      <c r="D387" s="20">
        <v>310</v>
      </c>
      <c r="E387" s="38">
        <v>2300</v>
      </c>
      <c r="F387" s="20" t="s">
        <v>8</v>
      </c>
      <c r="G387" s="43">
        <v>12.8</v>
      </c>
      <c r="H387" s="43">
        <v>14.5</v>
      </c>
      <c r="I387" s="43">
        <v>0</v>
      </c>
      <c r="J387" s="43">
        <v>0</v>
      </c>
      <c r="K387" s="1">
        <f t="shared" ref="K387" si="424">(IF(F387="SELL",G387-H387,IF(F387="BUY",H387-G387)))*E387</f>
        <v>3909.9999999999982</v>
      </c>
      <c r="L387" s="43">
        <v>0</v>
      </c>
      <c r="M387" s="43">
        <v>0</v>
      </c>
      <c r="N387" s="1">
        <f t="shared" si="406"/>
        <v>1.6999999999999993</v>
      </c>
      <c r="O387" s="1">
        <f t="shared" si="407"/>
        <v>3909.9999999999982</v>
      </c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</row>
    <row r="388" spans="1:33" s="32" customFormat="1" ht="15" customHeight="1">
      <c r="A388" s="37">
        <v>43895</v>
      </c>
      <c r="B388" s="20" t="s">
        <v>420</v>
      </c>
      <c r="C388" s="20" t="s">
        <v>47</v>
      </c>
      <c r="D388" s="20">
        <v>1960</v>
      </c>
      <c r="E388" s="38">
        <v>600</v>
      </c>
      <c r="F388" s="20" t="s">
        <v>8</v>
      </c>
      <c r="G388" s="43">
        <v>16.8</v>
      </c>
      <c r="H388" s="43">
        <v>19.75</v>
      </c>
      <c r="I388" s="43">
        <v>0</v>
      </c>
      <c r="J388" s="43">
        <v>0</v>
      </c>
      <c r="K388" s="1">
        <f t="shared" ref="K388" si="425">(IF(F388="SELL",G388-H388,IF(F388="BUY",H388-G388)))*E388</f>
        <v>1769.9999999999995</v>
      </c>
      <c r="L388" s="43">
        <v>0</v>
      </c>
      <c r="M388" s="43">
        <v>0</v>
      </c>
      <c r="N388" s="1">
        <f t="shared" si="406"/>
        <v>2.9499999999999993</v>
      </c>
      <c r="O388" s="1">
        <f t="shared" si="407"/>
        <v>1769.9999999999995</v>
      </c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</row>
    <row r="389" spans="1:33" s="32" customFormat="1" ht="15" customHeight="1">
      <c r="A389" s="37">
        <v>43894</v>
      </c>
      <c r="B389" s="20" t="s">
        <v>18</v>
      </c>
      <c r="C389" s="20" t="s">
        <v>47</v>
      </c>
      <c r="D389" s="20">
        <v>450</v>
      </c>
      <c r="E389" s="38">
        <v>1150</v>
      </c>
      <c r="F389" s="20" t="s">
        <v>8</v>
      </c>
      <c r="G389" s="43">
        <v>7</v>
      </c>
      <c r="H389" s="43">
        <v>9</v>
      </c>
      <c r="I389" s="43">
        <v>11</v>
      </c>
      <c r="J389" s="43">
        <v>14</v>
      </c>
      <c r="K389" s="1">
        <f t="shared" ref="K389" si="426">(IF(F389="SELL",G389-H389,IF(F389="BUY",H389-G389)))*E389</f>
        <v>2300</v>
      </c>
      <c r="L389" s="43">
        <f>E389*2</f>
        <v>2300</v>
      </c>
      <c r="M389" s="43">
        <f>E389*3</f>
        <v>3450</v>
      </c>
      <c r="N389" s="1">
        <f t="shared" si="406"/>
        <v>7</v>
      </c>
      <c r="O389" s="1">
        <f t="shared" si="407"/>
        <v>8050</v>
      </c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</row>
    <row r="390" spans="1:33" s="32" customFormat="1" ht="15" customHeight="1">
      <c r="A390" s="37">
        <v>43894</v>
      </c>
      <c r="B390" s="20" t="s">
        <v>420</v>
      </c>
      <c r="C390" s="20" t="s">
        <v>47</v>
      </c>
      <c r="D390" s="20">
        <v>1920</v>
      </c>
      <c r="E390" s="38">
        <v>600</v>
      </c>
      <c r="F390" s="20" t="s">
        <v>8</v>
      </c>
      <c r="G390" s="43">
        <v>19</v>
      </c>
      <c r="H390" s="43">
        <v>23</v>
      </c>
      <c r="I390" s="43">
        <v>0</v>
      </c>
      <c r="J390" s="43">
        <v>0</v>
      </c>
      <c r="K390" s="1">
        <f t="shared" ref="K390" si="427">(IF(F390="SELL",G390-H390,IF(F390="BUY",H390-G390)))*E390</f>
        <v>2400</v>
      </c>
      <c r="L390" s="43">
        <v>0</v>
      </c>
      <c r="M390" s="43">
        <v>0</v>
      </c>
      <c r="N390" s="1">
        <f t="shared" si="406"/>
        <v>4</v>
      </c>
      <c r="O390" s="1">
        <f t="shared" si="407"/>
        <v>2400</v>
      </c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</row>
    <row r="391" spans="1:33" s="32" customFormat="1" ht="15" customHeight="1">
      <c r="A391" s="37">
        <v>43894</v>
      </c>
      <c r="B391" s="20" t="s">
        <v>417</v>
      </c>
      <c r="C391" s="20" t="s">
        <v>47</v>
      </c>
      <c r="D391" s="20">
        <v>300</v>
      </c>
      <c r="E391" s="38">
        <v>1400</v>
      </c>
      <c r="F391" s="20" t="s">
        <v>8</v>
      </c>
      <c r="G391" s="43">
        <v>11</v>
      </c>
      <c r="H391" s="43">
        <v>11</v>
      </c>
      <c r="I391" s="43">
        <v>0</v>
      </c>
      <c r="J391" s="43">
        <v>0</v>
      </c>
      <c r="K391" s="1">
        <f t="shared" ref="K391" si="428">(IF(F391="SELL",G391-H391,IF(F391="BUY",H391-G391)))*E391</f>
        <v>0</v>
      </c>
      <c r="L391" s="43">
        <v>0</v>
      </c>
      <c r="M391" s="43">
        <v>0</v>
      </c>
      <c r="N391" s="1">
        <f t="shared" si="406"/>
        <v>0</v>
      </c>
      <c r="O391" s="1">
        <f t="shared" si="407"/>
        <v>0</v>
      </c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</row>
    <row r="392" spans="1:33" s="32" customFormat="1" ht="15" customHeight="1">
      <c r="A392" s="37">
        <v>43893</v>
      </c>
      <c r="B392" s="20" t="s">
        <v>208</v>
      </c>
      <c r="C392" s="20" t="s">
        <v>47</v>
      </c>
      <c r="D392" s="20">
        <v>2360</v>
      </c>
      <c r="E392" s="38">
        <v>400</v>
      </c>
      <c r="F392" s="20" t="s">
        <v>8</v>
      </c>
      <c r="G392" s="43">
        <v>28</v>
      </c>
      <c r="H392" s="43">
        <v>21</v>
      </c>
      <c r="I392" s="43">
        <v>9</v>
      </c>
      <c r="J392" s="43">
        <v>0</v>
      </c>
      <c r="K392" s="1">
        <f t="shared" ref="K392" si="429">(IF(F392="SELL",G392-H392,IF(F392="BUY",H392-G392)))*E392</f>
        <v>-2800</v>
      </c>
      <c r="L392" s="43">
        <v>0</v>
      </c>
      <c r="M392" s="43">
        <v>0</v>
      </c>
      <c r="N392" s="1">
        <f t="shared" si="406"/>
        <v>-7</v>
      </c>
      <c r="O392" s="1">
        <f t="shared" si="407"/>
        <v>-2800</v>
      </c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</row>
    <row r="393" spans="1:33" s="32" customFormat="1" ht="15" customHeight="1">
      <c r="A393" s="37">
        <v>43893</v>
      </c>
      <c r="B393" s="20" t="s">
        <v>18</v>
      </c>
      <c r="C393" s="20" t="s">
        <v>47</v>
      </c>
      <c r="D393" s="20">
        <v>420</v>
      </c>
      <c r="E393" s="38">
        <v>1150</v>
      </c>
      <c r="F393" s="20" t="s">
        <v>8</v>
      </c>
      <c r="G393" s="43">
        <v>12.2</v>
      </c>
      <c r="H393" s="43">
        <v>14.5</v>
      </c>
      <c r="I393" s="43">
        <v>17.5</v>
      </c>
      <c r="J393" s="43">
        <v>0</v>
      </c>
      <c r="K393" s="1">
        <f t="shared" ref="K393" si="430">(IF(F393="SELL",G393-H393,IF(F393="BUY",H393-G393)))*E393</f>
        <v>2645.0000000000009</v>
      </c>
      <c r="L393" s="43">
        <f>E393*3</f>
        <v>3450</v>
      </c>
      <c r="M393" s="43">
        <v>0</v>
      </c>
      <c r="N393" s="1">
        <f t="shared" si="406"/>
        <v>5.3000000000000007</v>
      </c>
      <c r="O393" s="1">
        <f t="shared" si="407"/>
        <v>6095.0000000000009</v>
      </c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</row>
    <row r="394" spans="1:33" s="32" customFormat="1" ht="15" customHeight="1">
      <c r="A394" s="37">
        <v>43892</v>
      </c>
      <c r="B394" s="20" t="s">
        <v>413</v>
      </c>
      <c r="C394" s="20" t="s">
        <v>46</v>
      </c>
      <c r="D394" s="20">
        <v>220</v>
      </c>
      <c r="E394" s="38">
        <v>1200</v>
      </c>
      <c r="F394" s="20" t="s">
        <v>8</v>
      </c>
      <c r="G394" s="43">
        <v>4.8</v>
      </c>
      <c r="H394" s="43">
        <v>6.8</v>
      </c>
      <c r="I394" s="43">
        <v>9</v>
      </c>
      <c r="J394" s="43">
        <v>0</v>
      </c>
      <c r="K394" s="1">
        <f t="shared" ref="K394" si="431">(IF(F394="SELL",G394-H394,IF(F394="BUY",H394-G394)))*E394</f>
        <v>2400</v>
      </c>
      <c r="L394" s="43">
        <f>E394*2.2</f>
        <v>2640</v>
      </c>
      <c r="M394" s="43">
        <v>0</v>
      </c>
      <c r="N394" s="1">
        <f t="shared" si="406"/>
        <v>4.2</v>
      </c>
      <c r="O394" s="1">
        <f t="shared" si="407"/>
        <v>5040</v>
      </c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 spans="1:33" s="32" customFormat="1" ht="15" customHeight="1">
      <c r="A395" s="37">
        <v>43892</v>
      </c>
      <c r="B395" s="20" t="s">
        <v>367</v>
      </c>
      <c r="C395" s="20" t="s">
        <v>46</v>
      </c>
      <c r="D395" s="20">
        <v>135</v>
      </c>
      <c r="E395" s="38">
        <v>3000</v>
      </c>
      <c r="F395" s="20" t="s">
        <v>8</v>
      </c>
      <c r="G395" s="43">
        <v>6.5</v>
      </c>
      <c r="H395" s="43">
        <v>7.3</v>
      </c>
      <c r="I395" s="43">
        <v>8.3000000000000007</v>
      </c>
      <c r="J395" s="43">
        <v>10</v>
      </c>
      <c r="K395" s="1">
        <f t="shared" ref="K395" si="432">(IF(F395="SELL",G395-H395,IF(F395="BUY",H395-G395)))*E395</f>
        <v>2399.9999999999995</v>
      </c>
      <c r="L395" s="43">
        <f>E395*1</f>
        <v>3000</v>
      </c>
      <c r="M395" s="43">
        <f>E395*1.7</f>
        <v>5100</v>
      </c>
      <c r="N395" s="1">
        <f t="shared" si="406"/>
        <v>3.5</v>
      </c>
      <c r="O395" s="1">
        <f t="shared" si="407"/>
        <v>10500</v>
      </c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 spans="1:33" s="32" customFormat="1" ht="15" customHeight="1">
      <c r="A396" s="37">
        <v>43892</v>
      </c>
      <c r="B396" s="20" t="s">
        <v>109</v>
      </c>
      <c r="C396" s="20" t="s">
        <v>47</v>
      </c>
      <c r="D396" s="20">
        <v>227.5</v>
      </c>
      <c r="E396" s="38">
        <v>3200</v>
      </c>
      <c r="F396" s="20" t="s">
        <v>8</v>
      </c>
      <c r="G396" s="43">
        <v>6.2</v>
      </c>
      <c r="H396" s="43">
        <v>5.6</v>
      </c>
      <c r="I396" s="43">
        <v>0</v>
      </c>
      <c r="J396" s="43">
        <v>0</v>
      </c>
      <c r="K396" s="1">
        <f t="shared" ref="K396" si="433">(IF(F396="SELL",G396-H396,IF(F396="BUY",H396-G396)))*E396</f>
        <v>-1920.0000000000018</v>
      </c>
      <c r="L396" s="43">
        <v>0</v>
      </c>
      <c r="M396" s="43">
        <v>0</v>
      </c>
      <c r="N396" s="1">
        <f t="shared" si="406"/>
        <v>-0.60000000000000053</v>
      </c>
      <c r="O396" s="1">
        <f t="shared" si="407"/>
        <v>-1920.0000000000018</v>
      </c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 spans="1:33" s="32" customFormat="1" ht="15" customHeight="1">
      <c r="A397" s="37">
        <v>43889</v>
      </c>
      <c r="B397" s="20" t="s">
        <v>413</v>
      </c>
      <c r="C397" s="20" t="s">
        <v>46</v>
      </c>
      <c r="D397" s="20">
        <v>200</v>
      </c>
      <c r="E397" s="38">
        <v>1200</v>
      </c>
      <c r="F397" s="20" t="s">
        <v>8</v>
      </c>
      <c r="G397" s="43">
        <v>4.7</v>
      </c>
      <c r="H397" s="43">
        <v>5.0999999999999996</v>
      </c>
      <c r="I397" s="43">
        <v>4.5</v>
      </c>
      <c r="J397" s="43">
        <v>5.8</v>
      </c>
      <c r="K397" s="1">
        <f t="shared" ref="K397" si="434">(IF(F397="SELL",G397-H397,IF(F397="BUY",H397-G397)))*E397</f>
        <v>479.99999999999937</v>
      </c>
      <c r="L397" s="43">
        <v>0</v>
      </c>
      <c r="M397" s="43">
        <v>0</v>
      </c>
      <c r="N397" s="1">
        <f t="shared" si="406"/>
        <v>0.39999999999999947</v>
      </c>
      <c r="O397" s="1">
        <f t="shared" si="407"/>
        <v>479.99999999999937</v>
      </c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</row>
    <row r="398" spans="1:33" s="32" customFormat="1" ht="15" customHeight="1">
      <c r="A398" s="37">
        <v>43888</v>
      </c>
      <c r="B398" s="20" t="s">
        <v>60</v>
      </c>
      <c r="C398" s="20" t="s">
        <v>47</v>
      </c>
      <c r="D398" s="20">
        <v>105</v>
      </c>
      <c r="E398" s="38">
        <v>3500</v>
      </c>
      <c r="F398" s="20" t="s">
        <v>8</v>
      </c>
      <c r="G398" s="43">
        <v>2.7</v>
      </c>
      <c r="H398" s="43">
        <v>3.5</v>
      </c>
      <c r="I398" s="43">
        <v>4.5</v>
      </c>
      <c r="J398" s="43">
        <v>5.8</v>
      </c>
      <c r="K398" s="1">
        <f t="shared" ref="K398" si="435">(IF(F398="SELL",G398-H398,IF(F398="BUY",H398-G398)))*E398</f>
        <v>2799.9999999999995</v>
      </c>
      <c r="L398" s="43">
        <f>E398*1</f>
        <v>3500</v>
      </c>
      <c r="M398" s="43">
        <f>E398*1.3</f>
        <v>4550</v>
      </c>
      <c r="N398" s="1">
        <f t="shared" si="406"/>
        <v>3.1</v>
      </c>
      <c r="O398" s="1">
        <f t="shared" si="407"/>
        <v>10850</v>
      </c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</row>
    <row r="399" spans="1:33" s="32" customFormat="1" ht="15" customHeight="1">
      <c r="A399" s="37">
        <v>43889</v>
      </c>
      <c r="B399" s="20" t="s">
        <v>60</v>
      </c>
      <c r="C399" s="20" t="s">
        <v>46</v>
      </c>
      <c r="D399" s="20">
        <v>120</v>
      </c>
      <c r="E399" s="38">
        <v>3500</v>
      </c>
      <c r="F399" s="20" t="s">
        <v>8</v>
      </c>
      <c r="G399" s="43">
        <v>4.8</v>
      </c>
      <c r="H399" s="43">
        <v>3.8</v>
      </c>
      <c r="I399" s="43">
        <v>0</v>
      </c>
      <c r="J399" s="43">
        <v>0</v>
      </c>
      <c r="K399" s="1">
        <f t="shared" ref="K399" si="436">(IF(F399="SELL",G399-H399,IF(F399="BUY",H399-G399)))*E399</f>
        <v>-3500</v>
      </c>
      <c r="L399" s="43">
        <v>0</v>
      </c>
      <c r="M399" s="43">
        <v>0</v>
      </c>
      <c r="N399" s="1">
        <f t="shared" si="406"/>
        <v>-1</v>
      </c>
      <c r="O399" s="1">
        <f t="shared" si="407"/>
        <v>-3500</v>
      </c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</row>
    <row r="400" spans="1:33" s="32" customFormat="1" ht="15" customHeight="1">
      <c r="A400" s="37">
        <v>43888</v>
      </c>
      <c r="B400" s="20" t="s">
        <v>60</v>
      </c>
      <c r="C400" s="20" t="s">
        <v>46</v>
      </c>
      <c r="D400" s="20">
        <v>120</v>
      </c>
      <c r="E400" s="38">
        <v>3500</v>
      </c>
      <c r="F400" s="20" t="s">
        <v>8</v>
      </c>
      <c r="G400" s="43">
        <v>4.8</v>
      </c>
      <c r="H400" s="43">
        <v>3.8</v>
      </c>
      <c r="I400" s="43">
        <v>0</v>
      </c>
      <c r="J400" s="43">
        <v>0</v>
      </c>
      <c r="K400" s="1">
        <f t="shared" ref="K400" si="437">(IF(F400="SELL",G400-H400,IF(F400="BUY",H400-G400)))*E400</f>
        <v>-3500</v>
      </c>
      <c r="L400" s="43">
        <v>0</v>
      </c>
      <c r="M400" s="43">
        <v>0</v>
      </c>
      <c r="N400" s="1">
        <f t="shared" si="406"/>
        <v>-1</v>
      </c>
      <c r="O400" s="1">
        <f t="shared" si="407"/>
        <v>-3500</v>
      </c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 spans="1:33" s="32" customFormat="1" ht="15" customHeight="1">
      <c r="A401" s="37">
        <v>43888</v>
      </c>
      <c r="B401" s="20" t="s">
        <v>478</v>
      </c>
      <c r="C401" s="20" t="s">
        <v>484</v>
      </c>
      <c r="D401" s="20">
        <v>100</v>
      </c>
      <c r="E401" s="38">
        <v>4000</v>
      </c>
      <c r="F401" s="20" t="s">
        <v>8</v>
      </c>
      <c r="G401" s="43">
        <v>2.5</v>
      </c>
      <c r="H401" s="43">
        <v>3.05</v>
      </c>
      <c r="I401" s="43">
        <v>0</v>
      </c>
      <c r="J401" s="43">
        <v>0</v>
      </c>
      <c r="K401" s="1">
        <f t="shared" ref="K401" si="438">(IF(F401="SELL",G401-H401,IF(F401="BUY",H401-G401)))*E401</f>
        <v>2199.9999999999991</v>
      </c>
      <c r="L401" s="43">
        <v>0</v>
      </c>
      <c r="M401" s="43">
        <v>0</v>
      </c>
      <c r="N401" s="1">
        <f t="shared" si="406"/>
        <v>0.54999999999999982</v>
      </c>
      <c r="O401" s="1">
        <f t="shared" si="407"/>
        <v>2199.9999999999991</v>
      </c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</row>
    <row r="402" spans="1:33" s="32" customFormat="1" ht="15" customHeight="1">
      <c r="A402" s="37">
        <v>43888</v>
      </c>
      <c r="B402" s="20" t="s">
        <v>208</v>
      </c>
      <c r="C402" s="20" t="s">
        <v>47</v>
      </c>
      <c r="D402" s="20">
        <v>2200</v>
      </c>
      <c r="E402" s="38">
        <v>400</v>
      </c>
      <c r="F402" s="20" t="s">
        <v>8</v>
      </c>
      <c r="G402" s="43">
        <v>51</v>
      </c>
      <c r="H402" s="43">
        <v>51</v>
      </c>
      <c r="I402" s="43">
        <v>0</v>
      </c>
      <c r="J402" s="43">
        <v>0</v>
      </c>
      <c r="K402" s="1">
        <f t="shared" ref="K402" si="439">(IF(F402="SELL",G402-H402,IF(F402="BUY",H402-G402)))*E402</f>
        <v>0</v>
      </c>
      <c r="L402" s="43">
        <v>0</v>
      </c>
      <c r="M402" s="43">
        <v>0</v>
      </c>
      <c r="N402" s="1">
        <f t="shared" si="406"/>
        <v>0</v>
      </c>
      <c r="O402" s="1">
        <f t="shared" si="407"/>
        <v>0</v>
      </c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pans="1:33" s="32" customFormat="1" ht="15" customHeight="1">
      <c r="A403" s="37">
        <v>43887</v>
      </c>
      <c r="B403" s="20" t="s">
        <v>131</v>
      </c>
      <c r="C403" s="20" t="s">
        <v>47</v>
      </c>
      <c r="D403" s="20">
        <v>215</v>
      </c>
      <c r="E403" s="38">
        <v>2500</v>
      </c>
      <c r="F403" s="20" t="s">
        <v>8</v>
      </c>
      <c r="G403" s="43">
        <v>1.5</v>
      </c>
      <c r="H403" s="43">
        <v>1</v>
      </c>
      <c r="I403" s="43">
        <v>0</v>
      </c>
      <c r="J403" s="43">
        <v>0</v>
      </c>
      <c r="K403" s="1">
        <f t="shared" ref="K403" si="440">(IF(F403="SELL",G403-H403,IF(F403="BUY",H403-G403)))*E403</f>
        <v>-1250</v>
      </c>
      <c r="L403" s="43">
        <v>0</v>
      </c>
      <c r="M403" s="43">
        <v>0</v>
      </c>
      <c r="N403" s="1">
        <f t="shared" si="406"/>
        <v>-0.5</v>
      </c>
      <c r="O403" s="1">
        <f t="shared" si="407"/>
        <v>-1250</v>
      </c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 spans="1:33" s="32" customFormat="1" ht="15" customHeight="1">
      <c r="A404" s="37">
        <v>43887</v>
      </c>
      <c r="B404" s="20" t="s">
        <v>21</v>
      </c>
      <c r="C404" s="20" t="s">
        <v>47</v>
      </c>
      <c r="D404" s="20">
        <v>330</v>
      </c>
      <c r="E404" s="38">
        <v>3000</v>
      </c>
      <c r="F404" s="20" t="s">
        <v>8</v>
      </c>
      <c r="G404" s="43">
        <v>3.1</v>
      </c>
      <c r="H404" s="43">
        <v>1.9</v>
      </c>
      <c r="I404" s="43">
        <v>0</v>
      </c>
      <c r="J404" s="43">
        <v>0</v>
      </c>
      <c r="K404" s="1">
        <f t="shared" ref="K404" si="441">(IF(F404="SELL",G404-H404,IF(F404="BUY",H404-G404)))*E404</f>
        <v>-3600.0000000000005</v>
      </c>
      <c r="L404" s="43">
        <v>0</v>
      </c>
      <c r="M404" s="43">
        <v>0</v>
      </c>
      <c r="N404" s="1">
        <f t="shared" si="406"/>
        <v>-1.2000000000000002</v>
      </c>
      <c r="O404" s="1">
        <f t="shared" si="407"/>
        <v>-3600.0000000000005</v>
      </c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</row>
    <row r="405" spans="1:33" s="32" customFormat="1" ht="15" customHeight="1">
      <c r="A405" s="37">
        <v>43886</v>
      </c>
      <c r="B405" s="20" t="s">
        <v>428</v>
      </c>
      <c r="C405" s="20" t="s">
        <v>46</v>
      </c>
      <c r="D405" s="20">
        <v>2100</v>
      </c>
      <c r="E405" s="38">
        <v>400</v>
      </c>
      <c r="F405" s="20" t="s">
        <v>8</v>
      </c>
      <c r="G405" s="43">
        <v>21</v>
      </c>
      <c r="H405" s="43">
        <v>28</v>
      </c>
      <c r="I405" s="43">
        <v>0</v>
      </c>
      <c r="J405" s="43">
        <v>0</v>
      </c>
      <c r="K405" s="1">
        <f t="shared" ref="K405" si="442">(IF(F405="SELL",G405-H405,IF(F405="BUY",H405-G405)))*E405</f>
        <v>2800</v>
      </c>
      <c r="L405" s="43">
        <v>0</v>
      </c>
      <c r="M405" s="43">
        <v>0</v>
      </c>
      <c r="N405" s="1">
        <f t="shared" si="406"/>
        <v>7</v>
      </c>
      <c r="O405" s="1">
        <f t="shared" si="407"/>
        <v>2800</v>
      </c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</row>
    <row r="406" spans="1:33" s="32" customFormat="1" ht="15" customHeight="1">
      <c r="A406" s="37">
        <v>43886</v>
      </c>
      <c r="B406" s="20" t="s">
        <v>73</v>
      </c>
      <c r="C406" s="20" t="s">
        <v>46</v>
      </c>
      <c r="D406" s="20">
        <v>1280</v>
      </c>
      <c r="E406" s="38">
        <v>375</v>
      </c>
      <c r="F406" s="20" t="s">
        <v>8</v>
      </c>
      <c r="G406" s="43">
        <v>33</v>
      </c>
      <c r="H406" s="43">
        <v>38.200000000000003</v>
      </c>
      <c r="I406" s="43">
        <v>0</v>
      </c>
      <c r="J406" s="43">
        <v>0</v>
      </c>
      <c r="K406" s="1">
        <f t="shared" ref="K406" si="443">(IF(F406="SELL",G406-H406,IF(F406="BUY",H406-G406)))*E406</f>
        <v>1950.0000000000011</v>
      </c>
      <c r="L406" s="43">
        <v>0</v>
      </c>
      <c r="M406" s="43">
        <v>0</v>
      </c>
      <c r="N406" s="1">
        <f t="shared" si="406"/>
        <v>5.2000000000000028</v>
      </c>
      <c r="O406" s="1">
        <f t="shared" si="407"/>
        <v>1950.0000000000011</v>
      </c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</row>
    <row r="407" spans="1:33" s="32" customFormat="1" ht="15" customHeight="1">
      <c r="A407" s="37">
        <v>43885</v>
      </c>
      <c r="B407" s="20" t="s">
        <v>63</v>
      </c>
      <c r="C407" s="20" t="s">
        <v>47</v>
      </c>
      <c r="D407" s="20">
        <v>225</v>
      </c>
      <c r="E407" s="38">
        <v>2100</v>
      </c>
      <c r="F407" s="20" t="s">
        <v>8</v>
      </c>
      <c r="G407" s="43">
        <v>6.8</v>
      </c>
      <c r="H407" s="43">
        <v>7.8</v>
      </c>
      <c r="I407" s="43">
        <v>9</v>
      </c>
      <c r="J407" s="43">
        <v>10.5</v>
      </c>
      <c r="K407" s="1">
        <f t="shared" ref="K407" si="444">(IF(F407="SELL",G407-H407,IF(F407="BUY",H407-G407)))*E407</f>
        <v>2100</v>
      </c>
      <c r="L407" s="43">
        <f>E407*1.2</f>
        <v>2520</v>
      </c>
      <c r="M407" s="43">
        <f>E407*1.4</f>
        <v>2940</v>
      </c>
      <c r="N407" s="1">
        <f t="shared" si="406"/>
        <v>3.6</v>
      </c>
      <c r="O407" s="1">
        <f t="shared" si="407"/>
        <v>7560</v>
      </c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</row>
    <row r="408" spans="1:33" s="32" customFormat="1" ht="15" customHeight="1">
      <c r="A408" s="37">
        <v>43885</v>
      </c>
      <c r="B408" s="20" t="s">
        <v>429</v>
      </c>
      <c r="C408" s="20" t="s">
        <v>47</v>
      </c>
      <c r="D408" s="20">
        <v>1340</v>
      </c>
      <c r="E408" s="38">
        <v>600</v>
      </c>
      <c r="F408" s="20" t="s">
        <v>8</v>
      </c>
      <c r="G408" s="43">
        <v>14</v>
      </c>
      <c r="H408" s="43">
        <v>9</v>
      </c>
      <c r="I408" s="43">
        <v>0</v>
      </c>
      <c r="J408" s="43">
        <v>0</v>
      </c>
      <c r="K408" s="1">
        <f t="shared" ref="K408" si="445">(IF(F408="SELL",G408-H408,IF(F408="BUY",H408-G408)))*E408</f>
        <v>-3000</v>
      </c>
      <c r="L408" s="43">
        <v>0</v>
      </c>
      <c r="M408" s="43">
        <v>0</v>
      </c>
      <c r="N408" s="1">
        <f t="shared" si="406"/>
        <v>-5</v>
      </c>
      <c r="O408" s="1">
        <f t="shared" si="407"/>
        <v>-3000</v>
      </c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</row>
    <row r="409" spans="1:33" s="32" customFormat="1" ht="15" customHeight="1">
      <c r="A409" s="37">
        <v>43885</v>
      </c>
      <c r="B409" s="20" t="s">
        <v>18</v>
      </c>
      <c r="C409" s="20" t="s">
        <v>46</v>
      </c>
      <c r="D409" s="20">
        <v>430</v>
      </c>
      <c r="E409" s="38">
        <v>1150</v>
      </c>
      <c r="F409" s="20" t="s">
        <v>8</v>
      </c>
      <c r="G409" s="43">
        <v>7</v>
      </c>
      <c r="H409" s="43">
        <v>4.5</v>
      </c>
      <c r="I409" s="43">
        <v>0</v>
      </c>
      <c r="J409" s="43">
        <v>0</v>
      </c>
      <c r="K409" s="1">
        <f t="shared" ref="K409" si="446">(IF(F409="SELL",G409-H409,IF(F409="BUY",H409-G409)))*E409</f>
        <v>-2875</v>
      </c>
      <c r="L409" s="43">
        <v>0</v>
      </c>
      <c r="M409" s="43">
        <v>0</v>
      </c>
      <c r="N409" s="1">
        <f t="shared" si="406"/>
        <v>-2.5</v>
      </c>
      <c r="O409" s="1">
        <f t="shared" si="407"/>
        <v>-2875</v>
      </c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</row>
    <row r="410" spans="1:33" s="32" customFormat="1" ht="15" customHeight="1">
      <c r="A410" s="37">
        <v>43881</v>
      </c>
      <c r="B410" s="20" t="s">
        <v>336</v>
      </c>
      <c r="C410" s="20" t="s">
        <v>47</v>
      </c>
      <c r="D410" s="20">
        <v>1340</v>
      </c>
      <c r="E410" s="38">
        <v>800</v>
      </c>
      <c r="F410" s="20" t="s">
        <v>8</v>
      </c>
      <c r="G410" s="43">
        <v>8</v>
      </c>
      <c r="H410" s="43">
        <v>5</v>
      </c>
      <c r="I410" s="43">
        <v>0</v>
      </c>
      <c r="J410" s="43">
        <v>0</v>
      </c>
      <c r="K410" s="1">
        <f t="shared" ref="K410" si="447">(IF(F410="SELL",G410-H410,IF(F410="BUY",H410-G410)))*E410</f>
        <v>-2400</v>
      </c>
      <c r="L410" s="43">
        <v>0</v>
      </c>
      <c r="M410" s="43">
        <v>0</v>
      </c>
      <c r="N410" s="1">
        <f t="shared" si="406"/>
        <v>-3</v>
      </c>
      <c r="O410" s="1">
        <f t="shared" si="407"/>
        <v>-2400</v>
      </c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</row>
    <row r="411" spans="1:33" s="32" customFormat="1" ht="15" customHeight="1">
      <c r="A411" s="37">
        <v>43881</v>
      </c>
      <c r="B411" s="20" t="s">
        <v>20</v>
      </c>
      <c r="C411" s="20" t="s">
        <v>47</v>
      </c>
      <c r="D411" s="20">
        <v>810</v>
      </c>
      <c r="E411" s="38">
        <v>1200</v>
      </c>
      <c r="F411" s="20" t="s">
        <v>8</v>
      </c>
      <c r="G411" s="43">
        <v>7</v>
      </c>
      <c r="H411" s="43">
        <v>4.8</v>
      </c>
      <c r="I411" s="43">
        <v>0</v>
      </c>
      <c r="J411" s="43">
        <v>0</v>
      </c>
      <c r="K411" s="1">
        <f t="shared" ref="K411" si="448">(IF(F411="SELL",G411-H411,IF(F411="BUY",H411-G411)))*E411</f>
        <v>-2640</v>
      </c>
      <c r="L411" s="43">
        <v>0</v>
      </c>
      <c r="M411" s="43">
        <v>0</v>
      </c>
      <c r="N411" s="1">
        <f t="shared" si="406"/>
        <v>-2.2000000000000002</v>
      </c>
      <c r="O411" s="1">
        <f t="shared" si="407"/>
        <v>-2640</v>
      </c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</row>
    <row r="412" spans="1:33" s="32" customFormat="1" ht="15" customHeight="1">
      <c r="A412" s="37">
        <v>43881</v>
      </c>
      <c r="B412" s="20" t="s">
        <v>116</v>
      </c>
      <c r="C412" s="20" t="s">
        <v>47</v>
      </c>
      <c r="D412" s="20">
        <v>255</v>
      </c>
      <c r="E412" s="38">
        <v>4000</v>
      </c>
      <c r="F412" s="20" t="s">
        <v>8</v>
      </c>
      <c r="G412" s="43">
        <v>5</v>
      </c>
      <c r="H412" s="43">
        <v>5.7</v>
      </c>
      <c r="I412" s="43">
        <v>6.7</v>
      </c>
      <c r="J412" s="43">
        <v>7.7</v>
      </c>
      <c r="K412" s="1">
        <f t="shared" ref="K412" si="449">(IF(F412="SELL",G412-H412,IF(F412="BUY",H412-G412)))*E412</f>
        <v>2800.0000000000009</v>
      </c>
      <c r="L412" s="43">
        <v>4000</v>
      </c>
      <c r="M412" s="43">
        <v>4000</v>
      </c>
      <c r="N412" s="1">
        <f t="shared" si="406"/>
        <v>2.7</v>
      </c>
      <c r="O412" s="1">
        <f t="shared" si="407"/>
        <v>10800</v>
      </c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</row>
    <row r="413" spans="1:33" s="32" customFormat="1" ht="15" customHeight="1">
      <c r="A413" s="37">
        <v>43880</v>
      </c>
      <c r="B413" s="20" t="s">
        <v>386</v>
      </c>
      <c r="C413" s="20" t="s">
        <v>47</v>
      </c>
      <c r="D413" s="20">
        <v>1340</v>
      </c>
      <c r="E413" s="38">
        <v>750</v>
      </c>
      <c r="F413" s="20" t="s">
        <v>8</v>
      </c>
      <c r="G413" s="43">
        <v>11</v>
      </c>
      <c r="H413" s="43">
        <v>14</v>
      </c>
      <c r="I413" s="43">
        <v>16</v>
      </c>
      <c r="J413" s="43">
        <v>0</v>
      </c>
      <c r="K413" s="1">
        <f t="shared" ref="K413" si="450">(IF(F413="SELL",G413-H413,IF(F413="BUY",H413-G413)))*E413</f>
        <v>2250</v>
      </c>
      <c r="L413" s="43">
        <v>1500</v>
      </c>
      <c r="M413" s="43">
        <v>0</v>
      </c>
      <c r="N413" s="1">
        <f t="shared" si="406"/>
        <v>5</v>
      </c>
      <c r="O413" s="1">
        <f t="shared" si="407"/>
        <v>3750</v>
      </c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</row>
    <row r="414" spans="1:33" s="32" customFormat="1" ht="15" customHeight="1">
      <c r="A414" s="37">
        <v>43880</v>
      </c>
      <c r="B414" s="20" t="s">
        <v>109</v>
      </c>
      <c r="C414" s="20" t="s">
        <v>47</v>
      </c>
      <c r="D414" s="20">
        <v>245</v>
      </c>
      <c r="E414" s="38">
        <v>2600</v>
      </c>
      <c r="F414" s="20" t="s">
        <v>8</v>
      </c>
      <c r="G414" s="43">
        <v>4.5999999999999996</v>
      </c>
      <c r="H414" s="43">
        <v>5.3</v>
      </c>
      <c r="I414" s="43">
        <v>0</v>
      </c>
      <c r="J414" s="43">
        <v>0</v>
      </c>
      <c r="K414" s="1">
        <f t="shared" ref="K414" si="451">(IF(F414="SELL",G414-H414,IF(F414="BUY",H414-G414)))*E414</f>
        <v>1820.0000000000005</v>
      </c>
      <c r="L414" s="43">
        <v>0</v>
      </c>
      <c r="M414" s="43">
        <v>0</v>
      </c>
      <c r="N414" s="1">
        <f t="shared" si="406"/>
        <v>0.70000000000000018</v>
      </c>
      <c r="O414" s="1">
        <f t="shared" si="407"/>
        <v>1820.0000000000005</v>
      </c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</row>
    <row r="415" spans="1:33" s="32" customFormat="1" ht="15" customHeight="1">
      <c r="A415" s="37">
        <v>43879</v>
      </c>
      <c r="B415" s="20" t="s">
        <v>483</v>
      </c>
      <c r="C415" s="20" t="s">
        <v>46</v>
      </c>
      <c r="D415" s="20">
        <v>460</v>
      </c>
      <c r="E415" s="38">
        <v>1400</v>
      </c>
      <c r="F415" s="20" t="s">
        <v>8</v>
      </c>
      <c r="G415" s="43">
        <v>8</v>
      </c>
      <c r="H415" s="43">
        <v>6</v>
      </c>
      <c r="I415" s="43">
        <v>6.7</v>
      </c>
      <c r="J415" s="43">
        <v>0</v>
      </c>
      <c r="K415" s="1">
        <f t="shared" ref="K415" si="452">(IF(F415="SELL",G415-H415,IF(F415="BUY",H415-G415)))*E415</f>
        <v>-2800</v>
      </c>
      <c r="L415" s="43">
        <v>0</v>
      </c>
      <c r="M415" s="43">
        <v>0</v>
      </c>
      <c r="N415" s="1">
        <f t="shared" si="406"/>
        <v>-2</v>
      </c>
      <c r="O415" s="1">
        <f t="shared" si="407"/>
        <v>-2800</v>
      </c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</row>
    <row r="416" spans="1:33" s="32" customFormat="1" ht="15" customHeight="1">
      <c r="A416" s="37">
        <v>43879</v>
      </c>
      <c r="B416" s="20" t="s">
        <v>75</v>
      </c>
      <c r="C416" s="20" t="s">
        <v>48</v>
      </c>
      <c r="D416" s="20">
        <v>1760</v>
      </c>
      <c r="E416" s="38">
        <v>500</v>
      </c>
      <c r="F416" s="20" t="s">
        <v>8</v>
      </c>
      <c r="G416" s="43">
        <v>23.5</v>
      </c>
      <c r="H416" s="43">
        <v>28.5</v>
      </c>
      <c r="I416" s="43">
        <v>33.5</v>
      </c>
      <c r="J416" s="43">
        <v>0</v>
      </c>
      <c r="K416" s="1">
        <f t="shared" ref="K416" si="453">(IF(F416="SELL",G416-H416,IF(F416="BUY",H416-G416)))*E416</f>
        <v>2500</v>
      </c>
      <c r="L416" s="43">
        <f>E416*5</f>
        <v>2500</v>
      </c>
      <c r="M416" s="43">
        <f>E416*6.5</f>
        <v>3250</v>
      </c>
      <c r="N416" s="1">
        <f t="shared" si="406"/>
        <v>16.5</v>
      </c>
      <c r="O416" s="1">
        <f t="shared" si="407"/>
        <v>8250</v>
      </c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</row>
    <row r="417" spans="1:33" s="32" customFormat="1" ht="15" customHeight="1">
      <c r="A417" s="37">
        <v>43879</v>
      </c>
      <c r="B417" s="20" t="s">
        <v>369</v>
      </c>
      <c r="C417" s="20" t="s">
        <v>48</v>
      </c>
      <c r="D417" s="20">
        <v>170</v>
      </c>
      <c r="E417" s="38">
        <v>2600</v>
      </c>
      <c r="F417" s="20" t="s">
        <v>8</v>
      </c>
      <c r="G417" s="43">
        <v>4.9000000000000004</v>
      </c>
      <c r="H417" s="43">
        <v>5.9</v>
      </c>
      <c r="I417" s="43">
        <v>0</v>
      </c>
      <c r="J417" s="43">
        <v>0</v>
      </c>
      <c r="K417" s="1">
        <f t="shared" ref="K417" si="454">(IF(F417="SELL",G417-H417,IF(F417="BUY",H417-G417)))*E417</f>
        <v>2600</v>
      </c>
      <c r="L417" s="43">
        <v>0</v>
      </c>
      <c r="M417" s="43">
        <v>0</v>
      </c>
      <c r="N417" s="1">
        <f t="shared" si="406"/>
        <v>1</v>
      </c>
      <c r="O417" s="1">
        <f t="shared" si="407"/>
        <v>2600</v>
      </c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</row>
    <row r="418" spans="1:33" s="32" customFormat="1" ht="15" customHeight="1">
      <c r="A418" s="37">
        <v>43878</v>
      </c>
      <c r="B418" s="20" t="s">
        <v>473</v>
      </c>
      <c r="C418" s="20" t="s">
        <v>48</v>
      </c>
      <c r="D418" s="20">
        <v>210</v>
      </c>
      <c r="E418" s="38">
        <v>2400</v>
      </c>
      <c r="F418" s="20" t="s">
        <v>8</v>
      </c>
      <c r="G418" s="43">
        <v>4.9000000000000004</v>
      </c>
      <c r="H418" s="43">
        <v>5.7</v>
      </c>
      <c r="I418" s="43">
        <v>6.7</v>
      </c>
      <c r="J418" s="43">
        <v>0</v>
      </c>
      <c r="K418" s="1">
        <f t="shared" ref="K418" si="455">(IF(F418="SELL",G418-H418,IF(F418="BUY",H418-G418)))*E418</f>
        <v>1919.9999999999995</v>
      </c>
      <c r="L418" s="43">
        <f>E418*1</f>
        <v>2400</v>
      </c>
      <c r="M418" s="43">
        <v>0</v>
      </c>
      <c r="N418" s="1">
        <f t="shared" si="406"/>
        <v>1.8</v>
      </c>
      <c r="O418" s="1">
        <f t="shared" si="407"/>
        <v>4320</v>
      </c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</row>
    <row r="419" spans="1:33" s="32" customFormat="1" ht="15" customHeight="1">
      <c r="A419" s="37">
        <v>43878</v>
      </c>
      <c r="B419" s="20" t="s">
        <v>404</v>
      </c>
      <c r="C419" s="20" t="s">
        <v>46</v>
      </c>
      <c r="D419" s="20">
        <v>139</v>
      </c>
      <c r="E419" s="38">
        <v>6000</v>
      </c>
      <c r="F419" s="20" t="s">
        <v>8</v>
      </c>
      <c r="G419" s="43">
        <v>3</v>
      </c>
      <c r="H419" s="43">
        <v>3.2</v>
      </c>
      <c r="I419" s="43">
        <v>0</v>
      </c>
      <c r="J419" s="43">
        <v>0</v>
      </c>
      <c r="K419" s="1">
        <f t="shared" ref="K419" si="456">(IF(F419="SELL",G419-H419,IF(F419="BUY",H419-G419)))*E419</f>
        <v>1200.0000000000011</v>
      </c>
      <c r="L419" s="43">
        <v>0</v>
      </c>
      <c r="M419" s="43">
        <v>0</v>
      </c>
      <c r="N419" s="1">
        <f t="shared" si="406"/>
        <v>0.20000000000000018</v>
      </c>
      <c r="O419" s="1">
        <f t="shared" si="407"/>
        <v>1200.0000000000011</v>
      </c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</row>
    <row r="420" spans="1:33" s="32" customFormat="1" ht="15" customHeight="1">
      <c r="A420" s="37">
        <v>43875</v>
      </c>
      <c r="B420" s="20" t="s">
        <v>208</v>
      </c>
      <c r="C420" s="20" t="s">
        <v>48</v>
      </c>
      <c r="D420" s="20">
        <v>2200</v>
      </c>
      <c r="E420" s="38">
        <v>400</v>
      </c>
      <c r="F420" s="20" t="s">
        <v>8</v>
      </c>
      <c r="G420" s="43">
        <v>27</v>
      </c>
      <c r="H420" s="43">
        <v>31</v>
      </c>
      <c r="I420" s="43">
        <v>35</v>
      </c>
      <c r="J420" s="43">
        <v>0</v>
      </c>
      <c r="K420" s="1">
        <f t="shared" ref="K420" si="457">(IF(F420="SELL",G420-H420,IF(F420="BUY",H420-G420)))*E420</f>
        <v>1600</v>
      </c>
      <c r="L420" s="43">
        <v>1500</v>
      </c>
      <c r="M420" s="43">
        <v>0</v>
      </c>
      <c r="N420" s="1">
        <f t="shared" si="406"/>
        <v>7.75</v>
      </c>
      <c r="O420" s="1">
        <f t="shared" si="407"/>
        <v>3100</v>
      </c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</row>
    <row r="421" spans="1:33" s="32" customFormat="1" ht="15" customHeight="1">
      <c r="A421" s="37">
        <v>43875</v>
      </c>
      <c r="B421" s="20" t="s">
        <v>369</v>
      </c>
      <c r="C421" s="20" t="s">
        <v>48</v>
      </c>
      <c r="D421" s="20">
        <v>180</v>
      </c>
      <c r="E421" s="38">
        <v>2600</v>
      </c>
      <c r="F421" s="20" t="s">
        <v>8</v>
      </c>
      <c r="G421" s="43">
        <v>5.4</v>
      </c>
      <c r="H421" s="43">
        <v>6.4</v>
      </c>
      <c r="I421" s="43">
        <v>0</v>
      </c>
      <c r="J421" s="43">
        <v>0</v>
      </c>
      <c r="K421" s="1">
        <f t="shared" ref="K421" si="458">(IF(F421="SELL",G421-H421,IF(F421="BUY",H421-G421)))*E421</f>
        <v>2600</v>
      </c>
      <c r="L421" s="43">
        <v>0</v>
      </c>
      <c r="M421" s="43">
        <v>0</v>
      </c>
      <c r="N421" s="1">
        <f t="shared" si="406"/>
        <v>1</v>
      </c>
      <c r="O421" s="1">
        <f t="shared" si="407"/>
        <v>2600</v>
      </c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</row>
    <row r="422" spans="1:33" s="32" customFormat="1" ht="15" customHeight="1">
      <c r="A422" s="37">
        <v>43875</v>
      </c>
      <c r="B422" s="20" t="s">
        <v>421</v>
      </c>
      <c r="C422" s="20" t="s">
        <v>48</v>
      </c>
      <c r="D422" s="20">
        <v>340</v>
      </c>
      <c r="E422" s="38">
        <v>3000</v>
      </c>
      <c r="F422" s="20" t="s">
        <v>8</v>
      </c>
      <c r="G422" s="43">
        <v>4.9000000000000004</v>
      </c>
      <c r="H422" s="43">
        <v>3.9</v>
      </c>
      <c r="I422" s="43">
        <v>0</v>
      </c>
      <c r="J422" s="43">
        <v>0</v>
      </c>
      <c r="K422" s="1">
        <f t="shared" ref="K422" si="459">(IF(F422="SELL",G422-H422,IF(F422="BUY",H422-G422)))*E422</f>
        <v>-3000.0000000000014</v>
      </c>
      <c r="L422" s="43">
        <v>0</v>
      </c>
      <c r="M422" s="43">
        <v>0</v>
      </c>
      <c r="N422" s="1">
        <f t="shared" si="406"/>
        <v>-1.0000000000000004</v>
      </c>
      <c r="O422" s="1">
        <f t="shared" si="407"/>
        <v>-3000.0000000000014</v>
      </c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</row>
    <row r="423" spans="1:33" s="32" customFormat="1" ht="15" customHeight="1">
      <c r="A423" s="37">
        <v>43874</v>
      </c>
      <c r="B423" s="20" t="s">
        <v>477</v>
      </c>
      <c r="C423" s="20" t="s">
        <v>48</v>
      </c>
      <c r="D423" s="20">
        <v>400</v>
      </c>
      <c r="E423" s="38">
        <v>1700</v>
      </c>
      <c r="F423" s="20" t="s">
        <v>8</v>
      </c>
      <c r="G423" s="43">
        <v>7.25</v>
      </c>
      <c r="H423" s="43">
        <v>8</v>
      </c>
      <c r="I423" s="43">
        <v>0</v>
      </c>
      <c r="J423" s="43">
        <v>0</v>
      </c>
      <c r="K423" s="1">
        <f t="shared" ref="K423" si="460">(IF(F423="SELL",G423-H423,IF(F423="BUY",H423-G423)))*E423</f>
        <v>1275</v>
      </c>
      <c r="L423" s="43">
        <v>0</v>
      </c>
      <c r="M423" s="43">
        <v>0</v>
      </c>
      <c r="N423" s="1">
        <f t="shared" si="406"/>
        <v>0.75</v>
      </c>
      <c r="O423" s="1">
        <f t="shared" si="407"/>
        <v>1275</v>
      </c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 spans="1:33" s="32" customFormat="1" ht="15" customHeight="1">
      <c r="A424" s="37">
        <v>43874</v>
      </c>
      <c r="B424" s="20" t="s">
        <v>21</v>
      </c>
      <c r="C424" s="20" t="s">
        <v>48</v>
      </c>
      <c r="D424" s="20">
        <v>345</v>
      </c>
      <c r="E424" s="38">
        <v>3000</v>
      </c>
      <c r="F424" s="20" t="s">
        <v>8</v>
      </c>
      <c r="G424" s="43">
        <v>3.5</v>
      </c>
      <c r="H424" s="43">
        <v>3</v>
      </c>
      <c r="I424" s="43">
        <v>0</v>
      </c>
      <c r="J424" s="43">
        <v>0</v>
      </c>
      <c r="K424" s="1">
        <f t="shared" ref="K424" si="461">(IF(F424="SELL",G424-H424,IF(F424="BUY",H424-G424)))*E424</f>
        <v>-1500</v>
      </c>
      <c r="L424" s="43">
        <v>0</v>
      </c>
      <c r="M424" s="43">
        <v>0</v>
      </c>
      <c r="N424" s="1">
        <f t="shared" si="406"/>
        <v>-0.5</v>
      </c>
      <c r="O424" s="1">
        <f t="shared" si="407"/>
        <v>-1500</v>
      </c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</row>
    <row r="425" spans="1:33" s="32" customFormat="1" ht="15" customHeight="1">
      <c r="A425" s="37">
        <v>43874</v>
      </c>
      <c r="B425" s="20" t="s">
        <v>479</v>
      </c>
      <c r="C425" s="20" t="s">
        <v>46</v>
      </c>
      <c r="D425" s="20">
        <v>1300</v>
      </c>
      <c r="E425" s="38">
        <v>500</v>
      </c>
      <c r="F425" s="20" t="s">
        <v>8</v>
      </c>
      <c r="G425" s="43">
        <v>11.5</v>
      </c>
      <c r="H425" s="43">
        <v>11.5</v>
      </c>
      <c r="I425" s="43">
        <v>0</v>
      </c>
      <c r="J425" s="43">
        <v>0</v>
      </c>
      <c r="K425" s="1">
        <f t="shared" ref="K425" si="462">(IF(F425="SELL",G425-H425,IF(F425="BUY",H425-G425)))*E425</f>
        <v>0</v>
      </c>
      <c r="L425" s="43">
        <v>0</v>
      </c>
      <c r="M425" s="43">
        <v>0</v>
      </c>
      <c r="N425" s="1">
        <f t="shared" si="406"/>
        <v>0</v>
      </c>
      <c r="O425" s="1">
        <f t="shared" si="407"/>
        <v>0</v>
      </c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</row>
    <row r="426" spans="1:33" s="32" customFormat="1" ht="15" customHeight="1">
      <c r="A426" s="37">
        <v>43873</v>
      </c>
      <c r="B426" s="20" t="s">
        <v>448</v>
      </c>
      <c r="C426" s="20" t="s">
        <v>48</v>
      </c>
      <c r="D426" s="20">
        <v>1600</v>
      </c>
      <c r="E426" s="38">
        <v>500</v>
      </c>
      <c r="F426" s="20" t="s">
        <v>8</v>
      </c>
      <c r="G426" s="43">
        <v>27.5</v>
      </c>
      <c r="H426" s="43">
        <v>24.5</v>
      </c>
      <c r="I426" s="43">
        <v>0</v>
      </c>
      <c r="J426" s="43">
        <v>0</v>
      </c>
      <c r="K426" s="1">
        <f t="shared" ref="K426" si="463">(IF(F426="SELL",G426-H426,IF(F426="BUY",H426-G426)))*E426</f>
        <v>-1500</v>
      </c>
      <c r="L426" s="43">
        <v>0</v>
      </c>
      <c r="M426" s="43">
        <v>0</v>
      </c>
      <c r="N426" s="1">
        <f t="shared" si="406"/>
        <v>-3</v>
      </c>
      <c r="O426" s="1">
        <f t="shared" si="407"/>
        <v>-1500</v>
      </c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</row>
    <row r="427" spans="1:33" s="32" customFormat="1" ht="15" customHeight="1">
      <c r="A427" s="37">
        <v>43873</v>
      </c>
      <c r="B427" s="20" t="s">
        <v>37</v>
      </c>
      <c r="C427" s="20" t="s">
        <v>48</v>
      </c>
      <c r="D427" s="20">
        <v>2160</v>
      </c>
      <c r="E427" s="38">
        <v>250</v>
      </c>
      <c r="F427" s="20" t="s">
        <v>8</v>
      </c>
      <c r="G427" s="43">
        <v>50</v>
      </c>
      <c r="H427" s="43">
        <v>46</v>
      </c>
      <c r="I427" s="43">
        <v>0</v>
      </c>
      <c r="J427" s="43">
        <v>0</v>
      </c>
      <c r="K427" s="1">
        <f t="shared" ref="K427" si="464">(IF(F427="SELL",G427-H427,IF(F427="BUY",H427-G427)))*E427</f>
        <v>-1000</v>
      </c>
      <c r="L427" s="43">
        <v>0</v>
      </c>
      <c r="M427" s="43">
        <v>0</v>
      </c>
      <c r="N427" s="1">
        <f t="shared" si="406"/>
        <v>-4</v>
      </c>
      <c r="O427" s="1">
        <f t="shared" si="407"/>
        <v>-1000</v>
      </c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</row>
    <row r="428" spans="1:33" s="32" customFormat="1" ht="15" customHeight="1">
      <c r="A428" s="37">
        <v>43873</v>
      </c>
      <c r="B428" s="20" t="s">
        <v>193</v>
      </c>
      <c r="C428" s="20" t="s">
        <v>48</v>
      </c>
      <c r="D428" s="20">
        <v>650</v>
      </c>
      <c r="E428" s="38">
        <v>2750</v>
      </c>
      <c r="F428" s="20" t="s">
        <v>8</v>
      </c>
      <c r="G428" s="43">
        <v>5.0999999999999996</v>
      </c>
      <c r="H428" s="43">
        <v>5.8</v>
      </c>
      <c r="I428" s="43">
        <v>6.8</v>
      </c>
      <c r="J428" s="43">
        <v>0</v>
      </c>
      <c r="K428" s="1">
        <f t="shared" ref="K428" si="465">(IF(F428="SELL",G428-H428,IF(F428="BUY",H428-G428)))*E428</f>
        <v>1925.0000000000005</v>
      </c>
      <c r="L428" s="43">
        <v>2750</v>
      </c>
      <c r="M428" s="43">
        <v>0</v>
      </c>
      <c r="N428" s="1">
        <f t="shared" si="406"/>
        <v>1.7</v>
      </c>
      <c r="O428" s="1">
        <f t="shared" si="407"/>
        <v>4675</v>
      </c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</row>
    <row r="429" spans="1:33" s="32" customFormat="1" ht="15" customHeight="1">
      <c r="A429" s="37">
        <v>43872</v>
      </c>
      <c r="B429" s="20" t="s">
        <v>75</v>
      </c>
      <c r="C429" s="20" t="s">
        <v>48</v>
      </c>
      <c r="D429" s="20">
        <v>1700</v>
      </c>
      <c r="E429" s="38">
        <v>500</v>
      </c>
      <c r="F429" s="20" t="s">
        <v>8</v>
      </c>
      <c r="G429" s="43">
        <v>48</v>
      </c>
      <c r="H429" s="43">
        <v>53</v>
      </c>
      <c r="I429" s="43">
        <v>0</v>
      </c>
      <c r="J429" s="43">
        <v>0</v>
      </c>
      <c r="K429" s="1">
        <f t="shared" ref="K429" si="466">(IF(F429="SELL",G429-H429,IF(F429="BUY",H429-G429)))*E429</f>
        <v>2500</v>
      </c>
      <c r="L429" s="43">
        <v>0</v>
      </c>
      <c r="M429" s="43">
        <v>0</v>
      </c>
      <c r="N429" s="1">
        <f t="shared" si="406"/>
        <v>5</v>
      </c>
      <c r="O429" s="1">
        <f t="shared" si="407"/>
        <v>2500</v>
      </c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</row>
    <row r="430" spans="1:33" s="32" customFormat="1" ht="15" customHeight="1">
      <c r="A430" s="37">
        <v>43872</v>
      </c>
      <c r="B430" s="20" t="s">
        <v>367</v>
      </c>
      <c r="C430" s="20" t="s">
        <v>48</v>
      </c>
      <c r="D430" s="20">
        <v>165</v>
      </c>
      <c r="E430" s="38">
        <v>3000</v>
      </c>
      <c r="F430" s="20" t="s">
        <v>8</v>
      </c>
      <c r="G430" s="43">
        <v>6.1</v>
      </c>
      <c r="H430" s="43">
        <v>6.85</v>
      </c>
      <c r="I430" s="43">
        <v>0</v>
      </c>
      <c r="J430" s="43">
        <v>0</v>
      </c>
      <c r="K430" s="1">
        <f t="shared" ref="K430" si="467">(IF(F430="SELL",G430-H430,IF(F430="BUY",H430-G430)))*E430</f>
        <v>2250</v>
      </c>
      <c r="L430" s="43">
        <v>0</v>
      </c>
      <c r="M430" s="43">
        <v>0</v>
      </c>
      <c r="N430" s="1">
        <f t="shared" si="406"/>
        <v>0.75</v>
      </c>
      <c r="O430" s="1">
        <f t="shared" si="407"/>
        <v>2250</v>
      </c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</row>
    <row r="431" spans="1:33" s="32" customFormat="1" ht="15" customHeight="1">
      <c r="A431" s="37">
        <v>43872</v>
      </c>
      <c r="B431" s="20" t="s">
        <v>28</v>
      </c>
      <c r="C431" s="20" t="s">
        <v>48</v>
      </c>
      <c r="D431" s="20">
        <v>600</v>
      </c>
      <c r="E431" s="38">
        <v>1851</v>
      </c>
      <c r="F431" s="20" t="s">
        <v>8</v>
      </c>
      <c r="G431" s="43">
        <v>11.5</v>
      </c>
      <c r="H431" s="43">
        <v>9.5</v>
      </c>
      <c r="I431" s="43">
        <v>0</v>
      </c>
      <c r="J431" s="43">
        <v>0</v>
      </c>
      <c r="K431" s="1">
        <f t="shared" ref="K431" si="468">(IF(F431="SELL",G431-H431,IF(F431="BUY",H431-G431)))*E431</f>
        <v>-3702</v>
      </c>
      <c r="L431" s="43">
        <v>0</v>
      </c>
      <c r="M431" s="43">
        <v>0</v>
      </c>
      <c r="N431" s="1">
        <f t="shared" si="406"/>
        <v>-2</v>
      </c>
      <c r="O431" s="1">
        <f t="shared" si="407"/>
        <v>-3702</v>
      </c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</row>
    <row r="432" spans="1:33" s="32" customFormat="1" ht="15" customHeight="1">
      <c r="A432" s="37">
        <v>43871</v>
      </c>
      <c r="B432" s="20" t="s">
        <v>480</v>
      </c>
      <c r="C432" s="20" t="s">
        <v>48</v>
      </c>
      <c r="D432" s="20">
        <v>600</v>
      </c>
      <c r="E432" s="38">
        <v>2200</v>
      </c>
      <c r="F432" s="20" t="s">
        <v>8</v>
      </c>
      <c r="G432" s="43">
        <v>6.8</v>
      </c>
      <c r="H432" s="43">
        <v>8.3000000000000007</v>
      </c>
      <c r="I432" s="43">
        <v>0</v>
      </c>
      <c r="J432" s="43">
        <v>0</v>
      </c>
      <c r="K432" s="1">
        <f t="shared" ref="K432" si="469">(IF(F432="SELL",G432-H432,IF(F432="BUY",H432-G432)))*E432</f>
        <v>3300.0000000000018</v>
      </c>
      <c r="L432" s="43">
        <v>0</v>
      </c>
      <c r="M432" s="43">
        <v>0</v>
      </c>
      <c r="N432" s="1">
        <f t="shared" si="406"/>
        <v>1.5000000000000009</v>
      </c>
      <c r="O432" s="1">
        <f t="shared" si="407"/>
        <v>3300.0000000000018</v>
      </c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</row>
    <row r="433" spans="1:33" s="32" customFormat="1" ht="15" customHeight="1">
      <c r="A433" s="37">
        <v>43871</v>
      </c>
      <c r="B433" s="20" t="s">
        <v>368</v>
      </c>
      <c r="C433" s="20" t="s">
        <v>48</v>
      </c>
      <c r="D433" s="20">
        <v>220</v>
      </c>
      <c r="E433" s="38">
        <v>1700</v>
      </c>
      <c r="F433" s="20" t="s">
        <v>8</v>
      </c>
      <c r="G433" s="43">
        <v>7</v>
      </c>
      <c r="H433" s="43">
        <v>9</v>
      </c>
      <c r="I433" s="43">
        <v>11</v>
      </c>
      <c r="J433" s="43">
        <v>0</v>
      </c>
      <c r="K433" s="1">
        <f t="shared" ref="K433" si="470">(IF(F433="SELL",G433-H433,IF(F433="BUY",H433-G433)))*E433</f>
        <v>3400</v>
      </c>
      <c r="L433" s="43">
        <v>3400</v>
      </c>
      <c r="M433" s="43">
        <v>0</v>
      </c>
      <c r="N433" s="1">
        <f t="shared" ref="N433:N496" si="471">(L433+K433+M433)/E433</f>
        <v>4</v>
      </c>
      <c r="O433" s="1">
        <f t="shared" ref="O433:O496" si="472">N433*E433</f>
        <v>6800</v>
      </c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</row>
    <row r="434" spans="1:33" s="32" customFormat="1" ht="15" customHeight="1">
      <c r="A434" s="37">
        <v>43871</v>
      </c>
      <c r="B434" s="20" t="s">
        <v>193</v>
      </c>
      <c r="C434" s="20" t="s">
        <v>48</v>
      </c>
      <c r="D434" s="20">
        <v>540</v>
      </c>
      <c r="E434" s="38">
        <v>2750</v>
      </c>
      <c r="F434" s="20" t="s">
        <v>8</v>
      </c>
      <c r="G434" s="43">
        <v>6.5</v>
      </c>
      <c r="H434" s="43">
        <v>6.5</v>
      </c>
      <c r="I434" s="43">
        <v>0</v>
      </c>
      <c r="J434" s="43">
        <v>0</v>
      </c>
      <c r="K434" s="1">
        <f t="shared" ref="K434" si="473">(IF(F434="SELL",G434-H434,IF(F434="BUY",H434-G434)))*E434</f>
        <v>0</v>
      </c>
      <c r="L434" s="43">
        <v>0</v>
      </c>
      <c r="M434" s="43">
        <v>0</v>
      </c>
      <c r="N434" s="1">
        <f t="shared" si="471"/>
        <v>0</v>
      </c>
      <c r="O434" s="1">
        <f t="shared" si="472"/>
        <v>0</v>
      </c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</row>
    <row r="435" spans="1:33" s="32" customFormat="1" ht="15" customHeight="1">
      <c r="A435" s="37">
        <v>43868</v>
      </c>
      <c r="B435" s="20" t="s">
        <v>404</v>
      </c>
      <c r="C435" s="20" t="s">
        <v>48</v>
      </c>
      <c r="D435" s="20">
        <v>160</v>
      </c>
      <c r="E435" s="38">
        <v>6000</v>
      </c>
      <c r="F435" s="20" t="s">
        <v>8</v>
      </c>
      <c r="G435" s="43">
        <v>2.5</v>
      </c>
      <c r="H435" s="43">
        <v>3</v>
      </c>
      <c r="I435" s="43">
        <v>0</v>
      </c>
      <c r="J435" s="43">
        <v>0</v>
      </c>
      <c r="K435" s="1">
        <f t="shared" ref="K435" si="474">(IF(F435="SELL",G435-H435,IF(F435="BUY",H435-G435)))*E435</f>
        <v>3000</v>
      </c>
      <c r="L435" s="43">
        <v>0</v>
      </c>
      <c r="M435" s="43">
        <v>0</v>
      </c>
      <c r="N435" s="1">
        <f t="shared" si="471"/>
        <v>0.5</v>
      </c>
      <c r="O435" s="1">
        <f t="shared" si="472"/>
        <v>3000</v>
      </c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</row>
    <row r="436" spans="1:33" s="32" customFormat="1" ht="15" customHeight="1">
      <c r="A436" s="37">
        <v>43868</v>
      </c>
      <c r="B436" s="20" t="s">
        <v>430</v>
      </c>
      <c r="C436" s="20" t="s">
        <v>48</v>
      </c>
      <c r="D436" s="20">
        <v>570</v>
      </c>
      <c r="E436" s="38">
        <v>1000</v>
      </c>
      <c r="F436" s="20" t="s">
        <v>8</v>
      </c>
      <c r="G436" s="43">
        <v>14</v>
      </c>
      <c r="H436" s="43">
        <v>16</v>
      </c>
      <c r="I436" s="43">
        <v>18</v>
      </c>
      <c r="J436" s="43">
        <v>20</v>
      </c>
      <c r="K436" s="1">
        <f t="shared" ref="K436" si="475">(IF(F436="SELL",G436-H436,IF(F436="BUY",H436-G436)))*E436</f>
        <v>2000</v>
      </c>
      <c r="L436" s="43">
        <v>2000</v>
      </c>
      <c r="M436" s="43">
        <v>2000</v>
      </c>
      <c r="N436" s="1">
        <f t="shared" si="471"/>
        <v>6</v>
      </c>
      <c r="O436" s="1">
        <f t="shared" si="472"/>
        <v>6000</v>
      </c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</row>
    <row r="437" spans="1:33" s="32" customFormat="1" ht="15" customHeight="1">
      <c r="A437" s="37">
        <v>43867</v>
      </c>
      <c r="B437" s="20" t="s">
        <v>482</v>
      </c>
      <c r="C437" s="20" t="s">
        <v>48</v>
      </c>
      <c r="D437" s="20">
        <v>1340</v>
      </c>
      <c r="E437" s="38">
        <v>400</v>
      </c>
      <c r="F437" s="20" t="s">
        <v>8</v>
      </c>
      <c r="G437" s="43">
        <v>32</v>
      </c>
      <c r="H437" s="43">
        <v>40</v>
      </c>
      <c r="I437" s="43">
        <v>45.5</v>
      </c>
      <c r="J437" s="43">
        <v>0</v>
      </c>
      <c r="K437" s="1">
        <f t="shared" ref="K437" si="476">(IF(F437="SELL",G437-H437,IF(F437="BUY",H437-G437)))*E437</f>
        <v>3200</v>
      </c>
      <c r="L437" s="43">
        <f>E437*5.5</f>
        <v>2200</v>
      </c>
      <c r="M437" s="43">
        <v>0</v>
      </c>
      <c r="N437" s="1">
        <f t="shared" si="471"/>
        <v>13.5</v>
      </c>
      <c r="O437" s="1">
        <f t="shared" si="472"/>
        <v>5400</v>
      </c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</row>
    <row r="438" spans="1:33" s="32" customFormat="1" ht="15" customHeight="1">
      <c r="A438" s="37">
        <v>43867</v>
      </c>
      <c r="B438" s="20" t="s">
        <v>466</v>
      </c>
      <c r="C438" s="20" t="s">
        <v>48</v>
      </c>
      <c r="D438" s="20">
        <v>545</v>
      </c>
      <c r="E438" s="38">
        <v>1375</v>
      </c>
      <c r="F438" s="20" t="s">
        <v>8</v>
      </c>
      <c r="G438" s="43">
        <v>13</v>
      </c>
      <c r="H438" s="43">
        <v>11</v>
      </c>
      <c r="I438" s="43">
        <v>0</v>
      </c>
      <c r="J438" s="43">
        <v>0</v>
      </c>
      <c r="K438" s="1">
        <f t="shared" ref="K438" si="477">(IF(F438="SELL",G438-H438,IF(F438="BUY",H438-G438)))*E438</f>
        <v>-2750</v>
      </c>
      <c r="L438" s="43">
        <v>0</v>
      </c>
      <c r="M438" s="43">
        <v>0</v>
      </c>
      <c r="N438" s="1">
        <f t="shared" si="471"/>
        <v>-2</v>
      </c>
      <c r="O438" s="1">
        <f t="shared" si="472"/>
        <v>-2750</v>
      </c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</row>
    <row r="439" spans="1:33" s="32" customFormat="1" ht="15" customHeight="1">
      <c r="A439" s="37">
        <v>43867</v>
      </c>
      <c r="B439" s="20" t="s">
        <v>400</v>
      </c>
      <c r="C439" s="20" t="s">
        <v>48</v>
      </c>
      <c r="D439" s="20">
        <v>520</v>
      </c>
      <c r="E439" s="38">
        <v>1500</v>
      </c>
      <c r="F439" s="20" t="s">
        <v>8</v>
      </c>
      <c r="G439" s="43">
        <v>5.6</v>
      </c>
      <c r="H439" s="43">
        <v>4.8</v>
      </c>
      <c r="I439" s="43">
        <v>0</v>
      </c>
      <c r="J439" s="43">
        <v>0</v>
      </c>
      <c r="K439" s="1">
        <f t="shared" ref="K439" si="478">(IF(F439="SELL",G439-H439,IF(F439="BUY",H439-G439)))*E439</f>
        <v>-1199.9999999999998</v>
      </c>
      <c r="L439" s="43">
        <v>0</v>
      </c>
      <c r="M439" s="43">
        <v>0</v>
      </c>
      <c r="N439" s="1">
        <f t="shared" si="471"/>
        <v>-0.79999999999999982</v>
      </c>
      <c r="O439" s="1">
        <f t="shared" si="472"/>
        <v>-1199.9999999999998</v>
      </c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</row>
    <row r="440" spans="1:33" s="32" customFormat="1" ht="15" customHeight="1">
      <c r="A440" s="37">
        <v>43866</v>
      </c>
      <c r="B440" s="20" t="s">
        <v>128</v>
      </c>
      <c r="C440" s="20" t="s">
        <v>48</v>
      </c>
      <c r="D440" s="20">
        <v>1700</v>
      </c>
      <c r="E440" s="38">
        <v>400</v>
      </c>
      <c r="F440" s="20" t="s">
        <v>8</v>
      </c>
      <c r="G440" s="43">
        <v>38</v>
      </c>
      <c r="H440" s="43">
        <v>31.5</v>
      </c>
      <c r="I440" s="43">
        <v>0</v>
      </c>
      <c r="J440" s="43">
        <v>0</v>
      </c>
      <c r="K440" s="1">
        <f t="shared" ref="K440" si="479">(IF(F440="SELL",G440-H440,IF(F440="BUY",H440-G440)))*E440</f>
        <v>-2600</v>
      </c>
      <c r="L440" s="43">
        <v>0</v>
      </c>
      <c r="M440" s="43">
        <v>0</v>
      </c>
      <c r="N440" s="1">
        <f t="shared" si="471"/>
        <v>-6.5</v>
      </c>
      <c r="O440" s="1">
        <f t="shared" si="472"/>
        <v>-2600</v>
      </c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</row>
    <row r="441" spans="1:33" s="32" customFormat="1" ht="15" customHeight="1">
      <c r="A441" s="37">
        <v>43866</v>
      </c>
      <c r="B441" s="20" t="s">
        <v>481</v>
      </c>
      <c r="C441" s="20" t="s">
        <v>48</v>
      </c>
      <c r="D441" s="20">
        <v>660</v>
      </c>
      <c r="E441" s="38">
        <v>600</v>
      </c>
      <c r="F441" s="20" t="s">
        <v>8</v>
      </c>
      <c r="G441" s="43">
        <v>10</v>
      </c>
      <c r="H441" s="43">
        <v>15</v>
      </c>
      <c r="I441" s="43">
        <v>0</v>
      </c>
      <c r="J441" s="43">
        <v>0</v>
      </c>
      <c r="K441" s="1">
        <f t="shared" ref="K441" si="480">(IF(F441="SELL",G441-H441,IF(F441="BUY",H441-G441)))*E441</f>
        <v>3000</v>
      </c>
      <c r="L441" s="43">
        <v>0</v>
      </c>
      <c r="M441" s="43">
        <v>0</v>
      </c>
      <c r="N441" s="1">
        <f t="shared" si="471"/>
        <v>5</v>
      </c>
      <c r="O441" s="1">
        <f t="shared" si="472"/>
        <v>3000</v>
      </c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</row>
    <row r="442" spans="1:33" s="32" customFormat="1" ht="15" customHeight="1">
      <c r="A442" s="37">
        <v>43866</v>
      </c>
      <c r="B442" s="20" t="s">
        <v>421</v>
      </c>
      <c r="C442" s="20" t="s">
        <v>48</v>
      </c>
      <c r="D442" s="20">
        <v>320</v>
      </c>
      <c r="E442" s="38">
        <v>3000</v>
      </c>
      <c r="F442" s="20" t="s">
        <v>8</v>
      </c>
      <c r="G442" s="43">
        <v>6.2</v>
      </c>
      <c r="H442" s="43">
        <v>7.2</v>
      </c>
      <c r="I442" s="43">
        <v>0</v>
      </c>
      <c r="J442" s="43">
        <v>0</v>
      </c>
      <c r="K442" s="1">
        <f t="shared" ref="K442" si="481">(IF(F442="SELL",G442-H442,IF(F442="BUY",H442-G442)))*E442</f>
        <v>3000</v>
      </c>
      <c r="L442" s="43">
        <v>0</v>
      </c>
      <c r="M442" s="43">
        <v>0</v>
      </c>
      <c r="N442" s="1">
        <f t="shared" si="471"/>
        <v>1</v>
      </c>
      <c r="O442" s="1">
        <f t="shared" si="472"/>
        <v>3000</v>
      </c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</row>
    <row r="443" spans="1:33" s="32" customFormat="1" ht="15" customHeight="1">
      <c r="A443" s="37">
        <v>43866</v>
      </c>
      <c r="B443" s="20" t="s">
        <v>467</v>
      </c>
      <c r="C443" s="20" t="s">
        <v>48</v>
      </c>
      <c r="D443" s="20">
        <v>1240</v>
      </c>
      <c r="E443" s="38">
        <v>500</v>
      </c>
      <c r="F443" s="20" t="s">
        <v>8</v>
      </c>
      <c r="G443" s="43">
        <v>25</v>
      </c>
      <c r="H443" s="43">
        <v>30</v>
      </c>
      <c r="I443" s="43">
        <v>35</v>
      </c>
      <c r="J443" s="43">
        <v>0</v>
      </c>
      <c r="K443" s="1">
        <f t="shared" ref="K443" si="482">(IF(F443="SELL",G443-H443,IF(F443="BUY",H443-G443)))*E443</f>
        <v>2500</v>
      </c>
      <c r="L443" s="43">
        <v>2500</v>
      </c>
      <c r="M443" s="43">
        <v>0</v>
      </c>
      <c r="N443" s="1">
        <f t="shared" si="471"/>
        <v>10</v>
      </c>
      <c r="O443" s="1">
        <f t="shared" si="472"/>
        <v>5000</v>
      </c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</row>
    <row r="444" spans="1:33" s="32" customFormat="1" ht="15" customHeight="1">
      <c r="A444" s="37">
        <v>43865</v>
      </c>
      <c r="B444" s="20" t="s">
        <v>480</v>
      </c>
      <c r="C444" s="20" t="s">
        <v>48</v>
      </c>
      <c r="D444" s="20">
        <v>580</v>
      </c>
      <c r="E444" s="38">
        <v>2200</v>
      </c>
      <c r="F444" s="20" t="s">
        <v>8</v>
      </c>
      <c r="G444" s="43">
        <v>17.5</v>
      </c>
      <c r="H444" s="43">
        <v>19.2</v>
      </c>
      <c r="I444" s="43">
        <v>21.2</v>
      </c>
      <c r="J444" s="43">
        <v>0</v>
      </c>
      <c r="K444" s="1">
        <f t="shared" ref="K444" si="483">(IF(F444="SELL",G444-H444,IF(F444="BUY",H444-G444)))*E444</f>
        <v>3739.9999999999986</v>
      </c>
      <c r="L444" s="43">
        <f>E444*2</f>
        <v>4400</v>
      </c>
      <c r="M444" s="43">
        <f>J568</f>
        <v>0</v>
      </c>
      <c r="N444" s="1">
        <f t="shared" si="471"/>
        <v>3.6999999999999993</v>
      </c>
      <c r="O444" s="1">
        <f t="shared" si="472"/>
        <v>8139.9999999999982</v>
      </c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</row>
    <row r="445" spans="1:33" s="32" customFormat="1" ht="15" customHeight="1">
      <c r="A445" s="37">
        <v>43865</v>
      </c>
      <c r="B445" s="20" t="s">
        <v>475</v>
      </c>
      <c r="C445" s="20" t="s">
        <v>48</v>
      </c>
      <c r="D445" s="20">
        <v>2000</v>
      </c>
      <c r="E445" s="38">
        <v>375</v>
      </c>
      <c r="F445" s="20" t="s">
        <v>8</v>
      </c>
      <c r="G445" s="43">
        <v>35</v>
      </c>
      <c r="H445" s="43">
        <v>42</v>
      </c>
      <c r="I445" s="43">
        <v>0</v>
      </c>
      <c r="J445" s="43">
        <v>0</v>
      </c>
      <c r="K445" s="1">
        <f t="shared" ref="K445" si="484">(IF(F445="SELL",G445-H445,IF(F445="BUY",H445-G445)))*E445</f>
        <v>2625</v>
      </c>
      <c r="L445" s="43">
        <v>0</v>
      </c>
      <c r="M445" s="43">
        <v>0</v>
      </c>
      <c r="N445" s="1">
        <f t="shared" si="471"/>
        <v>7</v>
      </c>
      <c r="O445" s="1">
        <f t="shared" si="472"/>
        <v>2625</v>
      </c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</row>
    <row r="446" spans="1:33" s="32" customFormat="1" ht="15" customHeight="1">
      <c r="A446" s="37">
        <v>43864</v>
      </c>
      <c r="B446" s="20" t="s">
        <v>438</v>
      </c>
      <c r="C446" s="20" t="s">
        <v>48</v>
      </c>
      <c r="D446" s="20">
        <v>2180</v>
      </c>
      <c r="E446" s="38">
        <v>250</v>
      </c>
      <c r="F446" s="20" t="s">
        <v>8</v>
      </c>
      <c r="G446" s="43">
        <v>54</v>
      </c>
      <c r="H446" s="43">
        <v>41</v>
      </c>
      <c r="I446" s="43">
        <v>0</v>
      </c>
      <c r="J446" s="43">
        <v>0</v>
      </c>
      <c r="K446" s="1">
        <f t="shared" ref="K446" si="485">(IF(F446="SELL",G446-H446,IF(F446="BUY",H446-G446)))*E446</f>
        <v>-3250</v>
      </c>
      <c r="L446" s="43">
        <v>0</v>
      </c>
      <c r="M446" s="43">
        <v>0</v>
      </c>
      <c r="N446" s="1">
        <f t="shared" si="471"/>
        <v>-13</v>
      </c>
      <c r="O446" s="1">
        <f t="shared" si="472"/>
        <v>-3250</v>
      </c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</row>
    <row r="447" spans="1:33" s="32" customFormat="1" ht="15" customHeight="1">
      <c r="A447" s="37">
        <v>43862</v>
      </c>
      <c r="B447" s="20" t="s">
        <v>421</v>
      </c>
      <c r="C447" s="20" t="s">
        <v>48</v>
      </c>
      <c r="D447" s="20">
        <v>350</v>
      </c>
      <c r="E447" s="38">
        <v>3000</v>
      </c>
      <c r="F447" s="20" t="s">
        <v>8</v>
      </c>
      <c r="G447" s="43">
        <v>4.5</v>
      </c>
      <c r="H447" s="43">
        <v>5.5</v>
      </c>
      <c r="I447" s="43">
        <v>0</v>
      </c>
      <c r="J447" s="43">
        <v>0</v>
      </c>
      <c r="K447" s="1">
        <f t="shared" ref="K447" si="486">(IF(F447="SELL",G447-H447,IF(F447="BUY",H447-G447)))*E447</f>
        <v>3000</v>
      </c>
      <c r="L447" s="43">
        <v>0</v>
      </c>
      <c r="M447" s="43">
        <v>0</v>
      </c>
      <c r="N447" s="1">
        <f t="shared" si="471"/>
        <v>1</v>
      </c>
      <c r="O447" s="1">
        <f t="shared" si="472"/>
        <v>3000</v>
      </c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</row>
    <row r="448" spans="1:33" s="32" customFormat="1" ht="15" customHeight="1">
      <c r="A448" s="37">
        <v>43862</v>
      </c>
      <c r="B448" s="20" t="s">
        <v>479</v>
      </c>
      <c r="C448" s="20" t="s">
        <v>425</v>
      </c>
      <c r="D448" s="20">
        <v>300</v>
      </c>
      <c r="E448" s="38">
        <v>1300</v>
      </c>
      <c r="F448" s="20" t="s">
        <v>8</v>
      </c>
      <c r="G448" s="43">
        <v>8.6</v>
      </c>
      <c r="H448" s="43">
        <v>10.6</v>
      </c>
      <c r="I448" s="43">
        <v>12.8</v>
      </c>
      <c r="J448" s="43">
        <v>0</v>
      </c>
      <c r="K448" s="1">
        <f t="shared" ref="K448" si="487">(IF(F448="SELL",G448-H448,IF(F448="BUY",H448-G448)))*E448</f>
        <v>2600</v>
      </c>
      <c r="L448" s="43">
        <v>3000</v>
      </c>
      <c r="M448" s="43">
        <v>0</v>
      </c>
      <c r="N448" s="1">
        <f t="shared" si="471"/>
        <v>4.3076923076923075</v>
      </c>
      <c r="O448" s="1">
        <f t="shared" si="472"/>
        <v>5600</v>
      </c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</row>
    <row r="449" spans="1:33" s="32" customFormat="1" ht="15" customHeight="1">
      <c r="A449" s="37">
        <v>43862</v>
      </c>
      <c r="B449" s="20" t="s">
        <v>478</v>
      </c>
      <c r="C449" s="20" t="s">
        <v>46</v>
      </c>
      <c r="D449" s="20">
        <v>105</v>
      </c>
      <c r="E449" s="38">
        <v>4000</v>
      </c>
      <c r="F449" s="20" t="s">
        <v>8</v>
      </c>
      <c r="G449" s="43">
        <v>3.5</v>
      </c>
      <c r="H449" s="43">
        <v>4.2</v>
      </c>
      <c r="I449" s="43">
        <v>5</v>
      </c>
      <c r="J449" s="43">
        <v>0</v>
      </c>
      <c r="K449" s="1">
        <f t="shared" ref="K449" si="488">(IF(F449="SELL",G449-H449,IF(F449="BUY",H449-G449)))*E449</f>
        <v>2800.0000000000009</v>
      </c>
      <c r="L449" s="43">
        <f>E449*0.8</f>
        <v>3200</v>
      </c>
      <c r="M449" s="43">
        <v>0</v>
      </c>
      <c r="N449" s="1">
        <f t="shared" si="471"/>
        <v>1.5000000000000002</v>
      </c>
      <c r="O449" s="1">
        <f t="shared" si="472"/>
        <v>6000.0000000000009</v>
      </c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</row>
    <row r="450" spans="1:33" s="32" customFormat="1" ht="15" customHeight="1">
      <c r="A450" s="37">
        <v>43861</v>
      </c>
      <c r="B450" s="20" t="s">
        <v>477</v>
      </c>
      <c r="C450" s="20" t="s">
        <v>47</v>
      </c>
      <c r="D450" s="20">
        <v>400</v>
      </c>
      <c r="E450" s="38">
        <v>1700</v>
      </c>
      <c r="F450" s="20" t="s">
        <v>8</v>
      </c>
      <c r="G450" s="43">
        <v>12</v>
      </c>
      <c r="H450" s="43">
        <v>13.5</v>
      </c>
      <c r="I450" s="43">
        <v>0</v>
      </c>
      <c r="J450" s="43">
        <v>0</v>
      </c>
      <c r="K450" s="1">
        <f t="shared" ref="K450" si="489">(IF(F450="SELL",G450-H450,IF(F450="BUY",H450-G450)))*E450</f>
        <v>2550</v>
      </c>
      <c r="L450" s="43">
        <v>0</v>
      </c>
      <c r="M450" s="43">
        <v>0</v>
      </c>
      <c r="N450" s="1">
        <f t="shared" si="471"/>
        <v>1.5</v>
      </c>
      <c r="O450" s="1">
        <f t="shared" si="472"/>
        <v>2550</v>
      </c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</row>
    <row r="451" spans="1:33" s="32" customFormat="1" ht="15" customHeight="1">
      <c r="A451" s="37">
        <v>43861</v>
      </c>
      <c r="B451" s="20" t="s">
        <v>406</v>
      </c>
      <c r="C451" s="20" t="s">
        <v>47</v>
      </c>
      <c r="D451" s="20">
        <v>500</v>
      </c>
      <c r="E451" s="38">
        <v>1250</v>
      </c>
      <c r="F451" s="20" t="s">
        <v>8</v>
      </c>
      <c r="G451" s="43">
        <v>13.5</v>
      </c>
      <c r="H451" s="43">
        <v>15.5</v>
      </c>
      <c r="I451" s="43">
        <v>17.5</v>
      </c>
      <c r="J451" s="43">
        <v>0</v>
      </c>
      <c r="K451" s="1">
        <f t="shared" ref="K451" si="490">(IF(F451="SELL",G451-H451,IF(F451="BUY",H451-G451)))*E451</f>
        <v>2500</v>
      </c>
      <c r="L451" s="43">
        <f>E451*2</f>
        <v>2500</v>
      </c>
      <c r="M451" s="43">
        <v>0</v>
      </c>
      <c r="N451" s="1">
        <f t="shared" si="471"/>
        <v>4</v>
      </c>
      <c r="O451" s="1">
        <f t="shared" si="472"/>
        <v>5000</v>
      </c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</row>
    <row r="452" spans="1:33" s="32" customFormat="1" ht="15" customHeight="1">
      <c r="A452" s="37">
        <v>43860</v>
      </c>
      <c r="B452" s="20" t="s">
        <v>473</v>
      </c>
      <c r="C452" s="20" t="s">
        <v>46</v>
      </c>
      <c r="D452" s="20">
        <v>235</v>
      </c>
      <c r="E452" s="38">
        <v>2400</v>
      </c>
      <c r="F452" s="20" t="s">
        <v>8</v>
      </c>
      <c r="G452" s="43">
        <v>1</v>
      </c>
      <c r="H452" s="43">
        <v>2</v>
      </c>
      <c r="I452" s="43">
        <v>0</v>
      </c>
      <c r="J452" s="43">
        <v>0</v>
      </c>
      <c r="K452" s="1">
        <f t="shared" ref="K452" si="491">(IF(F452="SELL",G452-H452,IF(F452="BUY",H452-G452)))*E452</f>
        <v>2400</v>
      </c>
      <c r="L452" s="43">
        <v>0</v>
      </c>
      <c r="M452" s="43">
        <v>0</v>
      </c>
      <c r="N452" s="1">
        <f t="shared" si="471"/>
        <v>1</v>
      </c>
      <c r="O452" s="1">
        <f t="shared" si="472"/>
        <v>2400</v>
      </c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</row>
    <row r="453" spans="1:33" s="32" customFormat="1" ht="15" customHeight="1">
      <c r="A453" s="37">
        <v>43859</v>
      </c>
      <c r="B453" s="20" t="s">
        <v>404</v>
      </c>
      <c r="C453" s="20" t="s">
        <v>47</v>
      </c>
      <c r="D453" s="20">
        <v>145</v>
      </c>
      <c r="E453" s="38">
        <v>6000</v>
      </c>
      <c r="F453" s="20" t="s">
        <v>8</v>
      </c>
      <c r="G453" s="43">
        <v>2.1</v>
      </c>
      <c r="H453" s="43">
        <v>2.5</v>
      </c>
      <c r="I453" s="43">
        <v>3</v>
      </c>
      <c r="J453" s="43">
        <v>0</v>
      </c>
      <c r="K453" s="1">
        <f t="shared" ref="K453" si="492">(IF(F453="SELL",G453-H453,IF(F453="BUY",H453-G453)))*E453</f>
        <v>2399.9999999999995</v>
      </c>
      <c r="L453" s="43">
        <f>E453*0.5</f>
        <v>3000</v>
      </c>
      <c r="M453" s="43">
        <v>0</v>
      </c>
      <c r="N453" s="1">
        <f t="shared" si="471"/>
        <v>0.9</v>
      </c>
      <c r="O453" s="1">
        <f t="shared" si="472"/>
        <v>5400</v>
      </c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</row>
    <row r="454" spans="1:33" s="32" customFormat="1" ht="15" customHeight="1">
      <c r="A454" s="37">
        <v>43859</v>
      </c>
      <c r="B454" s="20" t="s">
        <v>404</v>
      </c>
      <c r="C454" s="20" t="s">
        <v>47</v>
      </c>
      <c r="D454" s="20">
        <v>150</v>
      </c>
      <c r="E454" s="38">
        <v>6000</v>
      </c>
      <c r="F454" s="20" t="s">
        <v>8</v>
      </c>
      <c r="G454" s="43">
        <v>0.5</v>
      </c>
      <c r="H454" s="43">
        <v>0.8</v>
      </c>
      <c r="I454" s="43">
        <v>0</v>
      </c>
      <c r="J454" s="43">
        <v>0</v>
      </c>
      <c r="K454" s="1">
        <f t="shared" ref="K454" si="493">(IF(F454="SELL",G454-H454,IF(F454="BUY",H454-G454)))*E454</f>
        <v>1800.0000000000002</v>
      </c>
      <c r="L454" s="43">
        <v>0</v>
      </c>
      <c r="M454" s="43">
        <v>0</v>
      </c>
      <c r="N454" s="1">
        <f t="shared" si="471"/>
        <v>0.30000000000000004</v>
      </c>
      <c r="O454" s="1">
        <f t="shared" si="472"/>
        <v>1800.0000000000002</v>
      </c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</row>
    <row r="455" spans="1:33" s="32" customFormat="1" ht="15" customHeight="1">
      <c r="A455" s="37">
        <v>43859</v>
      </c>
      <c r="B455" s="20" t="s">
        <v>62</v>
      </c>
      <c r="C455" s="20" t="s">
        <v>47</v>
      </c>
      <c r="D455" s="20">
        <v>120</v>
      </c>
      <c r="E455" s="38">
        <v>6000</v>
      </c>
      <c r="F455" s="20" t="s">
        <v>8</v>
      </c>
      <c r="G455" s="43">
        <v>0.8</v>
      </c>
      <c r="H455" s="43">
        <v>0.65</v>
      </c>
      <c r="I455" s="43">
        <v>0</v>
      </c>
      <c r="J455" s="43">
        <v>0</v>
      </c>
      <c r="K455" s="1">
        <f t="shared" ref="K455:K456" si="494">(IF(F455="SELL",G455-H455,IF(F455="BUY",H455-G455)))*E455</f>
        <v>-900.00000000000011</v>
      </c>
      <c r="L455" s="43">
        <v>0</v>
      </c>
      <c r="M455" s="43">
        <v>0</v>
      </c>
      <c r="N455" s="1">
        <f t="shared" si="471"/>
        <v>-0.15000000000000002</v>
      </c>
      <c r="O455" s="1">
        <f t="shared" si="472"/>
        <v>-900.00000000000011</v>
      </c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</row>
    <row r="456" spans="1:33" s="32" customFormat="1" ht="15" customHeight="1">
      <c r="A456" s="37">
        <v>43859</v>
      </c>
      <c r="B456" s="20" t="s">
        <v>39</v>
      </c>
      <c r="C456" s="20" t="s">
        <v>47</v>
      </c>
      <c r="D456" s="20">
        <v>1500</v>
      </c>
      <c r="E456" s="38">
        <v>500</v>
      </c>
      <c r="F456" s="20" t="s">
        <v>8</v>
      </c>
      <c r="G456" s="43">
        <v>40</v>
      </c>
      <c r="H456" s="43">
        <v>40</v>
      </c>
      <c r="I456" s="43">
        <v>0</v>
      </c>
      <c r="J456" s="43">
        <v>0</v>
      </c>
      <c r="K456" s="1">
        <f t="shared" si="494"/>
        <v>0</v>
      </c>
      <c r="L456" s="43">
        <v>0</v>
      </c>
      <c r="M456" s="43">
        <v>0</v>
      </c>
      <c r="N456" s="1">
        <f t="shared" si="471"/>
        <v>0</v>
      </c>
      <c r="O456" s="1">
        <f t="shared" si="472"/>
        <v>0</v>
      </c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</row>
    <row r="457" spans="1:33" s="32" customFormat="1" ht="15" customHeight="1">
      <c r="A457" s="37">
        <v>43858</v>
      </c>
      <c r="B457" s="20" t="s">
        <v>473</v>
      </c>
      <c r="C457" s="20" t="s">
        <v>46</v>
      </c>
      <c r="D457" s="20">
        <v>235</v>
      </c>
      <c r="E457" s="38">
        <v>2400</v>
      </c>
      <c r="F457" s="20" t="s">
        <v>8</v>
      </c>
      <c r="G457" s="43">
        <v>3</v>
      </c>
      <c r="H457" s="43">
        <v>4</v>
      </c>
      <c r="I457" s="43">
        <v>4.8</v>
      </c>
      <c r="J457" s="43">
        <v>9.5</v>
      </c>
      <c r="K457" s="1">
        <f t="shared" ref="K457" si="495">(IF(F457="SELL",G457-H457,IF(F457="BUY",H457-G457)))*E457</f>
        <v>2400</v>
      </c>
      <c r="L457" s="43">
        <f>E457*0.8</f>
        <v>1920</v>
      </c>
      <c r="M457" s="43">
        <v>0</v>
      </c>
      <c r="N457" s="1">
        <f t="shared" si="471"/>
        <v>1.8</v>
      </c>
      <c r="O457" s="1">
        <f t="shared" si="472"/>
        <v>4320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</row>
    <row r="458" spans="1:33" s="32" customFormat="1" ht="15" customHeight="1">
      <c r="A458" s="37">
        <v>43858</v>
      </c>
      <c r="B458" s="20" t="s">
        <v>404</v>
      </c>
      <c r="C458" s="20" t="s">
        <v>46</v>
      </c>
      <c r="D458" s="20">
        <v>142.5</v>
      </c>
      <c r="E458" s="38">
        <v>6000</v>
      </c>
      <c r="F458" s="20" t="s">
        <v>8</v>
      </c>
      <c r="G458" s="43">
        <v>1.7</v>
      </c>
      <c r="H458" s="43">
        <v>2</v>
      </c>
      <c r="I458" s="43">
        <v>2.5</v>
      </c>
      <c r="J458" s="43">
        <v>9.5</v>
      </c>
      <c r="K458" s="1">
        <f t="shared" ref="K458" si="496">(IF(F458="SELL",G458-H458,IF(F458="BUY",H458-G458)))*E458</f>
        <v>1800.0000000000002</v>
      </c>
      <c r="L458" s="43">
        <f>E458*0.5</f>
        <v>3000</v>
      </c>
      <c r="M458" s="43">
        <v>0</v>
      </c>
      <c r="N458" s="1">
        <f t="shared" si="471"/>
        <v>0.8</v>
      </c>
      <c r="O458" s="1">
        <f t="shared" si="472"/>
        <v>4800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</row>
    <row r="459" spans="1:33" s="32" customFormat="1" ht="15" customHeight="1">
      <c r="A459" s="37">
        <v>43857</v>
      </c>
      <c r="B459" s="20" t="s">
        <v>328</v>
      </c>
      <c r="C459" s="20" t="s">
        <v>47</v>
      </c>
      <c r="D459" s="20">
        <v>230</v>
      </c>
      <c r="E459" s="38">
        <v>2500</v>
      </c>
      <c r="F459" s="20" t="s">
        <v>8</v>
      </c>
      <c r="G459" s="43">
        <v>6</v>
      </c>
      <c r="H459" s="43">
        <v>7</v>
      </c>
      <c r="I459" s="43">
        <v>8.5</v>
      </c>
      <c r="J459" s="43">
        <v>9.5</v>
      </c>
      <c r="K459" s="1">
        <f t="shared" ref="K459" si="497">(IF(F459="SELL",G459-H459,IF(F459="BUY",H459-G459)))*E459</f>
        <v>2500</v>
      </c>
      <c r="L459" s="43">
        <f>E459*1.5</f>
        <v>3750</v>
      </c>
      <c r="M459" s="43">
        <f>E459*1</f>
        <v>2500</v>
      </c>
      <c r="N459" s="1">
        <f t="shared" si="471"/>
        <v>3.5</v>
      </c>
      <c r="O459" s="1">
        <f t="shared" si="472"/>
        <v>8750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</row>
    <row r="460" spans="1:33" s="32" customFormat="1" ht="15" customHeight="1">
      <c r="A460" s="37">
        <v>43857</v>
      </c>
      <c r="B460" s="20" t="s">
        <v>116</v>
      </c>
      <c r="C460" s="20" t="s">
        <v>47</v>
      </c>
      <c r="D460" s="20">
        <v>230</v>
      </c>
      <c r="E460" s="38">
        <v>4000</v>
      </c>
      <c r="F460" s="20" t="s">
        <v>8</v>
      </c>
      <c r="G460" s="43">
        <v>7</v>
      </c>
      <c r="H460" s="43">
        <v>7.5</v>
      </c>
      <c r="I460" s="43">
        <v>0</v>
      </c>
      <c r="J460" s="43">
        <v>0</v>
      </c>
      <c r="K460" s="1">
        <f t="shared" ref="K460" si="498">(IF(F460="SELL",G460-H460,IF(F460="BUY",H460-G460)))*E460</f>
        <v>2000</v>
      </c>
      <c r="L460" s="43">
        <v>0</v>
      </c>
      <c r="M460" s="43">
        <v>0</v>
      </c>
      <c r="N460" s="1">
        <f t="shared" si="471"/>
        <v>0.5</v>
      </c>
      <c r="O460" s="1">
        <f t="shared" si="472"/>
        <v>2000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</row>
    <row r="461" spans="1:33" s="32" customFormat="1" ht="15" customHeight="1">
      <c r="A461" s="37">
        <v>43854</v>
      </c>
      <c r="B461" s="20" t="s">
        <v>58</v>
      </c>
      <c r="C461" s="20" t="s">
        <v>47</v>
      </c>
      <c r="D461" s="20">
        <v>730</v>
      </c>
      <c r="E461" s="38">
        <v>1000</v>
      </c>
      <c r="F461" s="20" t="s">
        <v>8</v>
      </c>
      <c r="G461" s="43">
        <v>6.5</v>
      </c>
      <c r="H461" s="43">
        <v>8.5</v>
      </c>
      <c r="I461" s="43">
        <v>10.5</v>
      </c>
      <c r="J461" s="43">
        <v>0</v>
      </c>
      <c r="K461" s="1">
        <f t="shared" ref="K461" si="499">(IF(F461="SELL",G461-H461,IF(F461="BUY",H461-G461)))*E461</f>
        <v>2000</v>
      </c>
      <c r="L461" s="43">
        <f>E461*2</f>
        <v>2000</v>
      </c>
      <c r="M461" s="43">
        <v>0</v>
      </c>
      <c r="N461" s="1">
        <f t="shared" si="471"/>
        <v>4</v>
      </c>
      <c r="O461" s="1">
        <f t="shared" si="472"/>
        <v>4000</v>
      </c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</row>
    <row r="462" spans="1:33" s="32" customFormat="1" ht="15" customHeight="1">
      <c r="A462" s="37">
        <v>43854</v>
      </c>
      <c r="B462" s="20" t="s">
        <v>406</v>
      </c>
      <c r="C462" s="20" t="s">
        <v>47</v>
      </c>
      <c r="D462" s="20">
        <v>500</v>
      </c>
      <c r="E462" s="38">
        <v>500</v>
      </c>
      <c r="F462" s="20" t="s">
        <v>8</v>
      </c>
      <c r="G462" s="43">
        <v>8</v>
      </c>
      <c r="H462" s="43">
        <v>8.5</v>
      </c>
      <c r="I462" s="43">
        <v>0</v>
      </c>
      <c r="J462" s="43">
        <v>0</v>
      </c>
      <c r="K462" s="1">
        <f t="shared" ref="K462" si="500">(IF(F462="SELL",G462-H462,IF(F462="BUY",H462-G462)))*E462</f>
        <v>250</v>
      </c>
      <c r="L462" s="43">
        <v>0</v>
      </c>
      <c r="M462" s="43">
        <v>0</v>
      </c>
      <c r="N462" s="1">
        <f t="shared" si="471"/>
        <v>0.5</v>
      </c>
      <c r="O462" s="1">
        <f t="shared" si="472"/>
        <v>250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</row>
    <row r="463" spans="1:33" s="32" customFormat="1" ht="15" customHeight="1">
      <c r="A463" s="37">
        <v>43853</v>
      </c>
      <c r="B463" s="20" t="s">
        <v>399</v>
      </c>
      <c r="C463" s="20" t="s">
        <v>47</v>
      </c>
      <c r="D463" s="20">
        <v>405</v>
      </c>
      <c r="E463" s="38">
        <v>2700</v>
      </c>
      <c r="F463" s="20" t="s">
        <v>8</v>
      </c>
      <c r="G463" s="43">
        <v>3.5</v>
      </c>
      <c r="H463" s="43">
        <v>4.5</v>
      </c>
      <c r="I463" s="43">
        <v>5.5</v>
      </c>
      <c r="J463" s="43">
        <v>0</v>
      </c>
      <c r="K463" s="1">
        <f t="shared" ref="K463:K469" si="501">(IF(F463="SELL",G463-H463,IF(F463="BUY",H463-G463)))*E463</f>
        <v>2700</v>
      </c>
      <c r="L463" s="43">
        <v>2700</v>
      </c>
      <c r="M463" s="43">
        <v>0</v>
      </c>
      <c r="N463" s="1">
        <f t="shared" si="471"/>
        <v>2</v>
      </c>
      <c r="O463" s="1">
        <f t="shared" si="472"/>
        <v>5400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</row>
    <row r="464" spans="1:33" s="32" customFormat="1" ht="15" customHeight="1">
      <c r="A464" s="37">
        <v>43853</v>
      </c>
      <c r="B464" s="20" t="s">
        <v>100</v>
      </c>
      <c r="C464" s="20" t="s">
        <v>47</v>
      </c>
      <c r="D464" s="20">
        <v>3650</v>
      </c>
      <c r="E464" s="38">
        <v>250</v>
      </c>
      <c r="F464" s="20" t="s">
        <v>8</v>
      </c>
      <c r="G464" s="43">
        <v>45</v>
      </c>
      <c r="H464" s="43">
        <v>52.5</v>
      </c>
      <c r="I464" s="43">
        <v>0</v>
      </c>
      <c r="J464" s="43">
        <v>0</v>
      </c>
      <c r="K464" s="1">
        <f t="shared" si="501"/>
        <v>1875</v>
      </c>
      <c r="L464" s="43">
        <v>0</v>
      </c>
      <c r="M464" s="43">
        <v>0</v>
      </c>
      <c r="N464" s="1">
        <f t="shared" si="471"/>
        <v>7.5</v>
      </c>
      <c r="O464" s="1">
        <f t="shared" si="472"/>
        <v>1875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</row>
    <row r="465" spans="1:33" s="32" customFormat="1" ht="15" customHeight="1">
      <c r="A465" s="37">
        <v>43852</v>
      </c>
      <c r="B465" s="20" t="s">
        <v>24</v>
      </c>
      <c r="C465" s="20" t="s">
        <v>46</v>
      </c>
      <c r="D465" s="20">
        <v>185</v>
      </c>
      <c r="E465" s="38">
        <v>4300</v>
      </c>
      <c r="F465" s="20" t="s">
        <v>8</v>
      </c>
      <c r="G465" s="43">
        <v>3.6</v>
      </c>
      <c r="H465" s="43">
        <v>4.4000000000000004</v>
      </c>
      <c r="I465" s="43">
        <v>0</v>
      </c>
      <c r="J465" s="43">
        <v>0</v>
      </c>
      <c r="K465" s="1">
        <f t="shared" si="501"/>
        <v>3440.0000000000014</v>
      </c>
      <c r="L465" s="43">
        <v>0</v>
      </c>
      <c r="M465" s="43">
        <v>0</v>
      </c>
      <c r="N465" s="1">
        <f t="shared" si="471"/>
        <v>0.80000000000000027</v>
      </c>
      <c r="O465" s="1">
        <f t="shared" si="472"/>
        <v>3440.0000000000014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</row>
    <row r="466" spans="1:33" s="32" customFormat="1" ht="15" customHeight="1">
      <c r="A466" s="37">
        <v>43852</v>
      </c>
      <c r="B466" s="20" t="s">
        <v>27</v>
      </c>
      <c r="C466" s="20" t="s">
        <v>46</v>
      </c>
      <c r="D466" s="20">
        <v>190</v>
      </c>
      <c r="E466" s="38">
        <v>2700</v>
      </c>
      <c r="F466" s="20" t="s">
        <v>8</v>
      </c>
      <c r="G466" s="43">
        <v>2.7</v>
      </c>
      <c r="H466" s="43">
        <v>3</v>
      </c>
      <c r="I466" s="43">
        <v>0</v>
      </c>
      <c r="J466" s="43">
        <v>0</v>
      </c>
      <c r="K466" s="1">
        <f t="shared" si="501"/>
        <v>809.99999999999955</v>
      </c>
      <c r="L466" s="43">
        <v>0</v>
      </c>
      <c r="M466" s="43">
        <v>0</v>
      </c>
      <c r="N466" s="1">
        <f t="shared" si="471"/>
        <v>0.29999999999999982</v>
      </c>
      <c r="O466" s="1">
        <f t="shared" si="472"/>
        <v>809.99999999999955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</row>
    <row r="467" spans="1:33" s="32" customFormat="1" ht="15" customHeight="1">
      <c r="A467" s="37">
        <v>43851</v>
      </c>
      <c r="B467" s="20" t="s">
        <v>38</v>
      </c>
      <c r="C467" s="20" t="s">
        <v>46</v>
      </c>
      <c r="D467" s="20">
        <v>7300</v>
      </c>
      <c r="E467" s="38">
        <v>100</v>
      </c>
      <c r="F467" s="20" t="s">
        <v>8</v>
      </c>
      <c r="G467" s="43">
        <v>102</v>
      </c>
      <c r="H467" s="43">
        <v>122</v>
      </c>
      <c r="I467" s="43">
        <v>0</v>
      </c>
      <c r="J467" s="43">
        <v>0</v>
      </c>
      <c r="K467" s="1">
        <f t="shared" si="501"/>
        <v>2000</v>
      </c>
      <c r="L467" s="43">
        <v>0</v>
      </c>
      <c r="M467" s="43">
        <v>0</v>
      </c>
      <c r="N467" s="1">
        <f t="shared" si="471"/>
        <v>20</v>
      </c>
      <c r="O467" s="1">
        <f t="shared" si="472"/>
        <v>2000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</row>
    <row r="468" spans="1:33" s="32" customFormat="1" ht="15" customHeight="1">
      <c r="A468" s="37">
        <v>43851</v>
      </c>
      <c r="B468" s="20" t="s">
        <v>466</v>
      </c>
      <c r="C468" s="20" t="s">
        <v>47</v>
      </c>
      <c r="D468" s="20">
        <v>550</v>
      </c>
      <c r="E468" s="38">
        <v>1375</v>
      </c>
      <c r="F468" s="20" t="s">
        <v>8</v>
      </c>
      <c r="G468" s="43">
        <v>8</v>
      </c>
      <c r="H468" s="43">
        <v>6.2</v>
      </c>
      <c r="I468" s="43">
        <v>0</v>
      </c>
      <c r="J468" s="43">
        <v>0</v>
      </c>
      <c r="K468" s="1">
        <f t="shared" si="501"/>
        <v>-2474.9999999999995</v>
      </c>
      <c r="L468" s="43">
        <v>0</v>
      </c>
      <c r="M468" s="43">
        <v>0</v>
      </c>
      <c r="N468" s="1">
        <f t="shared" si="471"/>
        <v>-1.7999999999999996</v>
      </c>
      <c r="O468" s="1">
        <f t="shared" si="472"/>
        <v>-2474.9999999999995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</row>
    <row r="469" spans="1:33" s="32" customFormat="1" ht="15" customHeight="1">
      <c r="A469" s="37">
        <v>43850</v>
      </c>
      <c r="B469" s="20" t="s">
        <v>476</v>
      </c>
      <c r="C469" s="20" t="s">
        <v>47</v>
      </c>
      <c r="D469" s="20">
        <v>187.5</v>
      </c>
      <c r="E469" s="38">
        <v>6000</v>
      </c>
      <c r="F469" s="20" t="s">
        <v>8</v>
      </c>
      <c r="G469" s="43">
        <v>4</v>
      </c>
      <c r="H469" s="43">
        <v>3.35</v>
      </c>
      <c r="I469" s="43">
        <v>0</v>
      </c>
      <c r="J469" s="43">
        <v>0</v>
      </c>
      <c r="K469" s="1">
        <f t="shared" si="501"/>
        <v>-3899.9999999999995</v>
      </c>
      <c r="L469" s="43">
        <v>0</v>
      </c>
      <c r="M469" s="43">
        <v>0</v>
      </c>
      <c r="N469" s="1">
        <f t="shared" si="471"/>
        <v>-0.64999999999999991</v>
      </c>
      <c r="O469" s="1">
        <f t="shared" si="472"/>
        <v>-3899.9999999999995</v>
      </c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</row>
    <row r="470" spans="1:33" s="32" customFormat="1" ht="15" customHeight="1">
      <c r="A470" s="37">
        <v>43850</v>
      </c>
      <c r="B470" s="20" t="s">
        <v>28</v>
      </c>
      <c r="C470" s="20" t="s">
        <v>47</v>
      </c>
      <c r="D470" s="20">
        <v>1580</v>
      </c>
      <c r="E470" s="38">
        <v>1851</v>
      </c>
      <c r="F470" s="20" t="s">
        <v>8</v>
      </c>
      <c r="G470" s="43">
        <v>5.8</v>
      </c>
      <c r="H470" s="43">
        <v>7</v>
      </c>
      <c r="I470" s="43">
        <v>0</v>
      </c>
      <c r="J470" s="43">
        <v>0</v>
      </c>
      <c r="K470" s="1">
        <f t="shared" ref="K470" si="502">(IF(F470="SELL",G470-H470,IF(F470="BUY",H470-G470)))*E470</f>
        <v>2221.2000000000003</v>
      </c>
      <c r="L470" s="43">
        <v>0</v>
      </c>
      <c r="M470" s="43">
        <v>0</v>
      </c>
      <c r="N470" s="1">
        <f t="shared" si="471"/>
        <v>1.2000000000000002</v>
      </c>
      <c r="O470" s="1">
        <f t="shared" si="472"/>
        <v>2221.2000000000003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</row>
    <row r="471" spans="1:33" s="32" customFormat="1" ht="15" customHeight="1">
      <c r="A471" s="37">
        <v>43850</v>
      </c>
      <c r="B471" s="20" t="s">
        <v>420</v>
      </c>
      <c r="C471" s="20" t="s">
        <v>47</v>
      </c>
      <c r="D471" s="20">
        <v>1880</v>
      </c>
      <c r="E471" s="38">
        <v>600</v>
      </c>
      <c r="F471" s="20" t="s">
        <v>8</v>
      </c>
      <c r="G471" s="43">
        <v>22.5</v>
      </c>
      <c r="H471" s="43">
        <v>24.5</v>
      </c>
      <c r="I471" s="43">
        <v>0</v>
      </c>
      <c r="J471" s="43">
        <v>0</v>
      </c>
      <c r="K471" s="1">
        <f t="shared" ref="K471" si="503">(IF(F471="SELL",G471-H471,IF(F471="BUY",H471-G471)))*E471</f>
        <v>1200</v>
      </c>
      <c r="L471" s="43">
        <v>0</v>
      </c>
      <c r="M471" s="43">
        <v>0</v>
      </c>
      <c r="N471" s="1">
        <f t="shared" si="471"/>
        <v>2</v>
      </c>
      <c r="O471" s="1">
        <f t="shared" si="472"/>
        <v>1200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</row>
    <row r="472" spans="1:33" s="32" customFormat="1" ht="15" customHeight="1">
      <c r="A472" s="37">
        <v>43847</v>
      </c>
      <c r="B472" s="20" t="s">
        <v>39</v>
      </c>
      <c r="C472" s="20" t="s">
        <v>47</v>
      </c>
      <c r="D472" s="20">
        <v>1580</v>
      </c>
      <c r="E472" s="38">
        <v>500</v>
      </c>
      <c r="F472" s="20" t="s">
        <v>8</v>
      </c>
      <c r="G472" s="43">
        <v>30</v>
      </c>
      <c r="H472" s="43">
        <v>35</v>
      </c>
      <c r="I472" s="43">
        <v>0</v>
      </c>
      <c r="J472" s="43">
        <v>0</v>
      </c>
      <c r="K472" s="1">
        <f t="shared" ref="K472" si="504">(IF(F472="SELL",G472-H472,IF(F472="BUY",H472-G472)))*E472</f>
        <v>2500</v>
      </c>
      <c r="L472" s="43">
        <v>0</v>
      </c>
      <c r="M472" s="43">
        <v>0</v>
      </c>
      <c r="N472" s="1">
        <f t="shared" si="471"/>
        <v>5</v>
      </c>
      <c r="O472" s="1">
        <f t="shared" si="472"/>
        <v>2500</v>
      </c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</row>
    <row r="473" spans="1:33" s="32" customFormat="1" ht="15" customHeight="1">
      <c r="A473" s="37">
        <v>43847</v>
      </c>
      <c r="B473" s="20" t="s">
        <v>22</v>
      </c>
      <c r="C473" s="20" t="s">
        <v>47</v>
      </c>
      <c r="D473" s="20">
        <v>260</v>
      </c>
      <c r="E473" s="38">
        <v>3300</v>
      </c>
      <c r="F473" s="20" t="s">
        <v>8</v>
      </c>
      <c r="G473" s="43">
        <v>7.8</v>
      </c>
      <c r="H473" s="43">
        <v>8.6</v>
      </c>
      <c r="I473" s="43">
        <v>0</v>
      </c>
      <c r="J473" s="43">
        <v>0</v>
      </c>
      <c r="K473" s="1">
        <f t="shared" ref="K473" si="505">(IF(F473="SELL",G473-H473,IF(F473="BUY",H473-G473)))*E473</f>
        <v>2639.9999999999995</v>
      </c>
      <c r="L473" s="43">
        <v>0</v>
      </c>
      <c r="M473" s="43">
        <v>0</v>
      </c>
      <c r="N473" s="1">
        <f t="shared" si="471"/>
        <v>0.79999999999999982</v>
      </c>
      <c r="O473" s="1">
        <f t="shared" si="472"/>
        <v>2639.9999999999995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</row>
    <row r="474" spans="1:33" s="32" customFormat="1" ht="15" customHeight="1">
      <c r="A474" s="37">
        <v>43846</v>
      </c>
      <c r="B474" s="20" t="s">
        <v>368</v>
      </c>
      <c r="C474" s="20" t="s">
        <v>47</v>
      </c>
      <c r="D474" s="20">
        <v>280</v>
      </c>
      <c r="E474" s="38">
        <v>1700</v>
      </c>
      <c r="F474" s="20" t="s">
        <v>8</v>
      </c>
      <c r="G474" s="43">
        <v>11</v>
      </c>
      <c r="H474" s="43">
        <v>12</v>
      </c>
      <c r="I474" s="43">
        <v>13</v>
      </c>
      <c r="J474" s="43">
        <v>0</v>
      </c>
      <c r="K474" s="1">
        <f t="shared" ref="K474" si="506">(IF(F474="SELL",G474-H474,IF(F474="BUY",H474-G474)))*E474</f>
        <v>1700</v>
      </c>
      <c r="L474" s="43">
        <f>E474*1</f>
        <v>1700</v>
      </c>
      <c r="M474" s="43">
        <v>0</v>
      </c>
      <c r="N474" s="1">
        <f t="shared" si="471"/>
        <v>2</v>
      </c>
      <c r="O474" s="1">
        <f t="shared" si="472"/>
        <v>3400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</row>
    <row r="475" spans="1:33" s="32" customFormat="1" ht="15" customHeight="1">
      <c r="A475" s="37">
        <v>43846</v>
      </c>
      <c r="B475" s="20" t="s">
        <v>26</v>
      </c>
      <c r="C475" s="20" t="s">
        <v>46</v>
      </c>
      <c r="D475" s="20">
        <v>1860</v>
      </c>
      <c r="E475" s="38">
        <v>1500</v>
      </c>
      <c r="F475" s="20" t="s">
        <v>8</v>
      </c>
      <c r="G475" s="43">
        <v>9.9</v>
      </c>
      <c r="H475" s="43">
        <v>11.5</v>
      </c>
      <c r="I475" s="43">
        <v>0</v>
      </c>
      <c r="J475" s="43">
        <v>0</v>
      </c>
      <c r="K475" s="1">
        <f t="shared" ref="K475" si="507">(IF(F475="SELL",G475-H475,IF(F475="BUY",H475-G475)))*E475</f>
        <v>2399.9999999999995</v>
      </c>
      <c r="L475" s="43">
        <v>0</v>
      </c>
      <c r="M475" s="43">
        <v>0</v>
      </c>
      <c r="N475" s="1">
        <f t="shared" si="471"/>
        <v>1.5999999999999996</v>
      </c>
      <c r="O475" s="1">
        <f t="shared" si="472"/>
        <v>2399.9999999999995</v>
      </c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</row>
    <row r="476" spans="1:33" s="32" customFormat="1" ht="15" customHeight="1">
      <c r="A476" s="37">
        <v>43846</v>
      </c>
      <c r="B476" s="20" t="s">
        <v>37</v>
      </c>
      <c r="C476" s="20" t="s">
        <v>47</v>
      </c>
      <c r="D476" s="20">
        <v>2240</v>
      </c>
      <c r="E476" s="38">
        <v>250</v>
      </c>
      <c r="F476" s="20" t="s">
        <v>8</v>
      </c>
      <c r="G476" s="43">
        <v>52</v>
      </c>
      <c r="H476" s="43">
        <v>53</v>
      </c>
      <c r="I476" s="43">
        <v>0</v>
      </c>
      <c r="J476" s="43">
        <v>0</v>
      </c>
      <c r="K476" s="1">
        <f t="shared" ref="K476" si="508">(IF(F476="SELL",G476-H476,IF(F476="BUY",H476-G476)))*E476</f>
        <v>250</v>
      </c>
      <c r="L476" s="43">
        <v>0</v>
      </c>
      <c r="M476" s="43">
        <v>0</v>
      </c>
      <c r="N476" s="1">
        <f t="shared" si="471"/>
        <v>1</v>
      </c>
      <c r="O476" s="1">
        <f t="shared" si="472"/>
        <v>250</v>
      </c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</row>
    <row r="477" spans="1:33" s="32" customFormat="1" ht="15" customHeight="1">
      <c r="A477" s="37">
        <v>43845</v>
      </c>
      <c r="B477" s="20" t="s">
        <v>420</v>
      </c>
      <c r="C477" s="20" t="s">
        <v>47</v>
      </c>
      <c r="D477" s="20">
        <v>1860</v>
      </c>
      <c r="E477" s="38">
        <v>600</v>
      </c>
      <c r="F477" s="20" t="s">
        <v>8</v>
      </c>
      <c r="G477" s="43">
        <v>23</v>
      </c>
      <c r="H477" s="43">
        <v>28</v>
      </c>
      <c r="I477" s="43">
        <v>0</v>
      </c>
      <c r="J477" s="43">
        <v>0</v>
      </c>
      <c r="K477" s="1">
        <f t="shared" ref="K477" si="509">(IF(F477="SELL",G477-H477,IF(F477="BUY",H477-G477)))*E477</f>
        <v>3000</v>
      </c>
      <c r="L477" s="43">
        <v>0</v>
      </c>
      <c r="M477" s="43">
        <v>0</v>
      </c>
      <c r="N477" s="1">
        <f t="shared" si="471"/>
        <v>5</v>
      </c>
      <c r="O477" s="1">
        <f t="shared" si="472"/>
        <v>3000</v>
      </c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</row>
    <row r="478" spans="1:33" s="32" customFormat="1" ht="15" customHeight="1">
      <c r="A478" s="37">
        <v>43845</v>
      </c>
      <c r="B478" s="20" t="s">
        <v>10</v>
      </c>
      <c r="C478" s="20" t="s">
        <v>46</v>
      </c>
      <c r="D478" s="20">
        <v>640</v>
      </c>
      <c r="E478" s="38">
        <v>1000</v>
      </c>
      <c r="F478" s="20" t="s">
        <v>8</v>
      </c>
      <c r="G478" s="43">
        <v>15</v>
      </c>
      <c r="H478" s="43">
        <v>16.5</v>
      </c>
      <c r="I478" s="43">
        <v>0</v>
      </c>
      <c r="J478" s="43">
        <v>0</v>
      </c>
      <c r="K478" s="1">
        <f t="shared" ref="K478" si="510">(IF(F478="SELL",G478-H478,IF(F478="BUY",H478-G478)))*E478</f>
        <v>1500</v>
      </c>
      <c r="L478" s="43">
        <v>0</v>
      </c>
      <c r="M478" s="43">
        <v>0</v>
      </c>
      <c r="N478" s="1">
        <f t="shared" si="471"/>
        <v>1.5</v>
      </c>
      <c r="O478" s="1">
        <f t="shared" si="472"/>
        <v>1500</v>
      </c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</row>
    <row r="479" spans="1:33" s="32" customFormat="1" ht="15" customHeight="1">
      <c r="A479" s="37">
        <v>43845</v>
      </c>
      <c r="B479" s="20" t="s">
        <v>473</v>
      </c>
      <c r="C479" s="20" t="s">
        <v>46</v>
      </c>
      <c r="D479" s="20">
        <v>245</v>
      </c>
      <c r="E479" s="38">
        <v>2400</v>
      </c>
      <c r="F479" s="20" t="s">
        <v>8</v>
      </c>
      <c r="G479" s="43">
        <v>6.1</v>
      </c>
      <c r="H479" s="43">
        <v>6.1</v>
      </c>
      <c r="I479" s="43">
        <v>0</v>
      </c>
      <c r="J479" s="43">
        <v>0</v>
      </c>
      <c r="K479" s="1">
        <f t="shared" ref="K479" si="511">(IF(F479="SELL",G479-H479,IF(F479="BUY",H479-G479)))*E479</f>
        <v>0</v>
      </c>
      <c r="L479" s="43">
        <v>0</v>
      </c>
      <c r="M479" s="43">
        <v>0</v>
      </c>
      <c r="N479" s="1">
        <f t="shared" si="471"/>
        <v>0</v>
      </c>
      <c r="O479" s="1">
        <f t="shared" si="472"/>
        <v>0</v>
      </c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</row>
    <row r="480" spans="1:33" s="32" customFormat="1" ht="15" customHeight="1">
      <c r="A480" s="37">
        <v>43844</v>
      </c>
      <c r="B480" s="20" t="s">
        <v>13</v>
      </c>
      <c r="C480" s="20" t="s">
        <v>47</v>
      </c>
      <c r="D480" s="20">
        <v>580</v>
      </c>
      <c r="E480" s="38">
        <v>1400</v>
      </c>
      <c r="F480" s="20" t="s">
        <v>8</v>
      </c>
      <c r="G480" s="43">
        <v>22.25</v>
      </c>
      <c r="H480" s="43">
        <v>24.02</v>
      </c>
      <c r="I480" s="43">
        <v>26.2</v>
      </c>
      <c r="J480" s="43">
        <v>0</v>
      </c>
      <c r="K480" s="1">
        <f t="shared" ref="K480" si="512">(IF(F480="SELL",G480-H480,IF(F480="BUY",H480-G480)))*E480</f>
        <v>2477.9999999999995</v>
      </c>
      <c r="L480" s="43">
        <f>E480*2</f>
        <v>2800</v>
      </c>
      <c r="M480" s="43">
        <v>0</v>
      </c>
      <c r="N480" s="1">
        <f t="shared" si="471"/>
        <v>3.77</v>
      </c>
      <c r="O480" s="1">
        <f t="shared" si="472"/>
        <v>5278</v>
      </c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</row>
    <row r="481" spans="1:33" s="32" customFormat="1" ht="15" customHeight="1">
      <c r="A481" s="37">
        <v>43844</v>
      </c>
      <c r="B481" s="20" t="s">
        <v>475</v>
      </c>
      <c r="C481" s="20" t="s">
        <v>47</v>
      </c>
      <c r="D481" s="20">
        <v>1800</v>
      </c>
      <c r="E481" s="38">
        <v>375</v>
      </c>
      <c r="F481" s="20" t="s">
        <v>8</v>
      </c>
      <c r="G481" s="43">
        <v>24</v>
      </c>
      <c r="H481" s="43">
        <v>27.65</v>
      </c>
      <c r="I481" s="43">
        <v>0</v>
      </c>
      <c r="J481" s="43">
        <v>0</v>
      </c>
      <c r="K481" s="1">
        <f t="shared" ref="K481" si="513">(IF(F481="SELL",G481-H481,IF(F481="BUY",H481-G481)))*E481</f>
        <v>1368.7499999999995</v>
      </c>
      <c r="L481" s="43">
        <v>0</v>
      </c>
      <c r="M481" s="43">
        <v>0</v>
      </c>
      <c r="N481" s="1">
        <f t="shared" si="471"/>
        <v>3.6499999999999986</v>
      </c>
      <c r="O481" s="1">
        <f t="shared" si="472"/>
        <v>1368.7499999999995</v>
      </c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</row>
    <row r="482" spans="1:33" s="32" customFormat="1" ht="15" customHeight="1">
      <c r="A482" s="37">
        <v>43843</v>
      </c>
      <c r="B482" s="20" t="s">
        <v>109</v>
      </c>
      <c r="C482" s="20" t="s">
        <v>47</v>
      </c>
      <c r="D482" s="20">
        <v>255</v>
      </c>
      <c r="E482" s="38">
        <v>3200</v>
      </c>
      <c r="F482" s="20" t="s">
        <v>8</v>
      </c>
      <c r="G482" s="43">
        <v>6.8</v>
      </c>
      <c r="H482" s="43">
        <v>7.6</v>
      </c>
      <c r="I482" s="43">
        <v>0</v>
      </c>
      <c r="J482" s="43">
        <v>0</v>
      </c>
      <c r="K482" s="1">
        <f t="shared" ref="K482" si="514">(IF(F482="SELL",G482-H482,IF(F482="BUY",H482-G482)))*E482</f>
        <v>2559.9999999999995</v>
      </c>
      <c r="L482" s="43">
        <v>0</v>
      </c>
      <c r="M482" s="43">
        <v>0</v>
      </c>
      <c r="N482" s="1">
        <f t="shared" si="471"/>
        <v>0.79999999999999982</v>
      </c>
      <c r="O482" s="1">
        <f t="shared" si="472"/>
        <v>2559.9999999999995</v>
      </c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 spans="1:33" s="32" customFormat="1" ht="15" customHeight="1">
      <c r="A483" s="37">
        <v>43843</v>
      </c>
      <c r="B483" s="20" t="s">
        <v>100</v>
      </c>
      <c r="C483" s="20" t="s">
        <v>47</v>
      </c>
      <c r="D483" s="20">
        <v>3550</v>
      </c>
      <c r="E483" s="38">
        <v>250</v>
      </c>
      <c r="F483" s="20" t="s">
        <v>8</v>
      </c>
      <c r="G483" s="43">
        <v>71</v>
      </c>
      <c r="H483" s="43">
        <v>73</v>
      </c>
      <c r="I483" s="43">
        <v>0</v>
      </c>
      <c r="J483" s="43">
        <v>0</v>
      </c>
      <c r="K483" s="1">
        <f t="shared" ref="K483" si="515">(IF(F483="SELL",G483-H483,IF(F483="BUY",H483-G483)))*E483</f>
        <v>500</v>
      </c>
      <c r="L483" s="43">
        <v>0</v>
      </c>
      <c r="M483" s="43">
        <v>0</v>
      </c>
      <c r="N483" s="1">
        <f t="shared" si="471"/>
        <v>2</v>
      </c>
      <c r="O483" s="1">
        <f t="shared" si="472"/>
        <v>500</v>
      </c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</row>
    <row r="484" spans="1:33" s="32" customFormat="1" ht="15" customHeight="1">
      <c r="A484" s="37">
        <v>43843</v>
      </c>
      <c r="B484" s="20" t="s">
        <v>94</v>
      </c>
      <c r="C484" s="20" t="s">
        <v>46</v>
      </c>
      <c r="D484" s="20">
        <v>1415.4</v>
      </c>
      <c r="E484" s="38">
        <v>309</v>
      </c>
      <c r="F484" s="20" t="s">
        <v>8</v>
      </c>
      <c r="G484" s="43">
        <v>50</v>
      </c>
      <c r="H484" s="43">
        <v>43</v>
      </c>
      <c r="I484" s="43">
        <v>0</v>
      </c>
      <c r="J484" s="43">
        <v>0</v>
      </c>
      <c r="K484" s="1">
        <f t="shared" ref="K484" si="516">(IF(F484="SELL",G484-H484,IF(F484="BUY",H484-G484)))*E484</f>
        <v>-2163</v>
      </c>
      <c r="L484" s="43">
        <v>0</v>
      </c>
      <c r="M484" s="43">
        <v>0</v>
      </c>
      <c r="N484" s="1">
        <f t="shared" si="471"/>
        <v>-7</v>
      </c>
      <c r="O484" s="1">
        <f t="shared" si="472"/>
        <v>-2163</v>
      </c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</row>
    <row r="485" spans="1:33" s="32" customFormat="1" ht="15" customHeight="1">
      <c r="A485" s="37">
        <v>43840</v>
      </c>
      <c r="B485" s="20" t="s">
        <v>122</v>
      </c>
      <c r="C485" s="20" t="s">
        <v>47</v>
      </c>
      <c r="D485" s="20">
        <v>2460</v>
      </c>
      <c r="E485" s="38">
        <v>250</v>
      </c>
      <c r="F485" s="20" t="s">
        <v>8</v>
      </c>
      <c r="G485" s="43">
        <v>58</v>
      </c>
      <c r="H485" s="43">
        <v>45</v>
      </c>
      <c r="I485" s="43">
        <v>9.5</v>
      </c>
      <c r="J485" s="43">
        <v>10.5</v>
      </c>
      <c r="K485" s="1">
        <f t="shared" ref="K485" si="517">(IF(F485="SELL",G485-H485,IF(F485="BUY",H485-G485)))*E485</f>
        <v>-3250</v>
      </c>
      <c r="L485" s="43">
        <v>0</v>
      </c>
      <c r="M485" s="43">
        <v>0</v>
      </c>
      <c r="N485" s="1">
        <f t="shared" si="471"/>
        <v>-13</v>
      </c>
      <c r="O485" s="1">
        <f t="shared" si="472"/>
        <v>-3250</v>
      </c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</row>
    <row r="486" spans="1:33" s="32" customFormat="1" ht="15" customHeight="1">
      <c r="A486" s="37">
        <v>43840</v>
      </c>
      <c r="B486" s="20" t="s">
        <v>420</v>
      </c>
      <c r="C486" s="20" t="s">
        <v>47</v>
      </c>
      <c r="D486" s="20">
        <v>1800</v>
      </c>
      <c r="E486" s="38">
        <v>600</v>
      </c>
      <c r="F486" s="20" t="s">
        <v>8</v>
      </c>
      <c r="G486" s="43">
        <v>33.5</v>
      </c>
      <c r="H486" s="43">
        <v>37.5</v>
      </c>
      <c r="I486" s="43">
        <v>0</v>
      </c>
      <c r="J486" s="43">
        <v>0</v>
      </c>
      <c r="K486" s="1">
        <f t="shared" ref="K486" si="518">(IF(F486="SELL",G486-H486,IF(F486="BUY",H486-G486)))*E486</f>
        <v>2400</v>
      </c>
      <c r="L486" s="43">
        <v>0</v>
      </c>
      <c r="M486" s="43">
        <v>0</v>
      </c>
      <c r="N486" s="1">
        <f t="shared" si="471"/>
        <v>4</v>
      </c>
      <c r="O486" s="1">
        <f t="shared" si="472"/>
        <v>2400</v>
      </c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</row>
    <row r="487" spans="1:33" s="32" customFormat="1" ht="15" customHeight="1">
      <c r="A487" s="37">
        <v>43840</v>
      </c>
      <c r="B487" s="20" t="s">
        <v>96</v>
      </c>
      <c r="C487" s="20" t="s">
        <v>47</v>
      </c>
      <c r="D487" s="20">
        <v>540</v>
      </c>
      <c r="E487" s="38">
        <v>1000</v>
      </c>
      <c r="F487" s="20" t="s">
        <v>8</v>
      </c>
      <c r="G487" s="43">
        <v>16</v>
      </c>
      <c r="H487" s="43">
        <v>18</v>
      </c>
      <c r="I487" s="43">
        <v>0</v>
      </c>
      <c r="J487" s="43">
        <v>0</v>
      </c>
      <c r="K487" s="1">
        <f t="shared" ref="K487" si="519">(IF(F487="SELL",G487-H487,IF(F487="BUY",H487-G487)))*E487</f>
        <v>2000</v>
      </c>
      <c r="L487" s="43">
        <v>0</v>
      </c>
      <c r="M487" s="43">
        <v>0</v>
      </c>
      <c r="N487" s="1">
        <f t="shared" si="471"/>
        <v>2</v>
      </c>
      <c r="O487" s="1">
        <f t="shared" si="472"/>
        <v>2000</v>
      </c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</row>
    <row r="488" spans="1:33" s="32" customFormat="1" ht="15" customHeight="1">
      <c r="A488" s="37">
        <v>43840</v>
      </c>
      <c r="B488" s="20" t="s">
        <v>10</v>
      </c>
      <c r="C488" s="20" t="s">
        <v>46</v>
      </c>
      <c r="D488" s="20">
        <v>630</v>
      </c>
      <c r="E488" s="38">
        <v>3300</v>
      </c>
      <c r="F488" s="20" t="s">
        <v>8</v>
      </c>
      <c r="G488" s="43">
        <v>12.2</v>
      </c>
      <c r="H488" s="43">
        <v>12</v>
      </c>
      <c r="I488" s="43">
        <v>0</v>
      </c>
      <c r="J488" s="43">
        <v>0</v>
      </c>
      <c r="K488" s="1">
        <v>0</v>
      </c>
      <c r="L488" s="43">
        <v>0</v>
      </c>
      <c r="M488" s="43">
        <v>0</v>
      </c>
      <c r="N488" s="1">
        <f t="shared" si="471"/>
        <v>0</v>
      </c>
      <c r="O488" s="1">
        <f t="shared" si="472"/>
        <v>0</v>
      </c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</row>
    <row r="489" spans="1:33" s="32" customFormat="1" ht="15" customHeight="1">
      <c r="A489" s="37">
        <v>43839</v>
      </c>
      <c r="B489" s="20" t="s">
        <v>22</v>
      </c>
      <c r="C489" s="20" t="s">
        <v>47</v>
      </c>
      <c r="D489" s="20">
        <v>235</v>
      </c>
      <c r="E489" s="38">
        <v>3300</v>
      </c>
      <c r="F489" s="20" t="s">
        <v>8</v>
      </c>
      <c r="G489" s="43">
        <v>7.5</v>
      </c>
      <c r="H489" s="43">
        <v>8.5</v>
      </c>
      <c r="I489" s="43">
        <v>9.5</v>
      </c>
      <c r="J489" s="43">
        <v>10.5</v>
      </c>
      <c r="K489" s="1">
        <f t="shared" ref="K489" si="520">(IF(F489="SELL",G489-H489,IF(F489="BUY",H489-G489)))*E489</f>
        <v>3300</v>
      </c>
      <c r="L489" s="43">
        <f>E489*1</f>
        <v>3300</v>
      </c>
      <c r="M489" s="43">
        <f>E489*1</f>
        <v>3300</v>
      </c>
      <c r="N489" s="1">
        <f t="shared" si="471"/>
        <v>3</v>
      </c>
      <c r="O489" s="1">
        <f t="shared" si="472"/>
        <v>9900</v>
      </c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</row>
    <row r="490" spans="1:33" s="32" customFormat="1" ht="15" customHeight="1">
      <c r="A490" s="37">
        <v>43839</v>
      </c>
      <c r="B490" s="20" t="s">
        <v>100</v>
      </c>
      <c r="C490" s="20" t="s">
        <v>47</v>
      </c>
      <c r="D490" s="20">
        <v>3500</v>
      </c>
      <c r="E490" s="38">
        <v>250</v>
      </c>
      <c r="F490" s="20" t="s">
        <v>8</v>
      </c>
      <c r="G490" s="43">
        <v>85</v>
      </c>
      <c r="H490" s="43">
        <v>95</v>
      </c>
      <c r="I490" s="43">
        <v>0</v>
      </c>
      <c r="J490" s="43">
        <v>0</v>
      </c>
      <c r="K490" s="1">
        <f t="shared" ref="K490" si="521">(IF(F490="SELL",G490-H490,IF(F490="BUY",H490-G490)))*E490</f>
        <v>2500</v>
      </c>
      <c r="L490" s="43">
        <v>0</v>
      </c>
      <c r="M490" s="43">
        <v>0</v>
      </c>
      <c r="N490" s="1">
        <f t="shared" si="471"/>
        <v>10</v>
      </c>
      <c r="O490" s="1">
        <f t="shared" si="472"/>
        <v>2500</v>
      </c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</row>
    <row r="491" spans="1:33" s="32" customFormat="1" ht="15" customHeight="1">
      <c r="A491" s="37">
        <v>43838</v>
      </c>
      <c r="B491" s="20" t="s">
        <v>20</v>
      </c>
      <c r="C491" s="20" t="s">
        <v>47</v>
      </c>
      <c r="D491" s="20">
        <v>590</v>
      </c>
      <c r="E491" s="38">
        <v>1200</v>
      </c>
      <c r="F491" s="20" t="s">
        <v>8</v>
      </c>
      <c r="G491" s="43">
        <v>16.5</v>
      </c>
      <c r="H491" s="43">
        <v>18.5</v>
      </c>
      <c r="I491" s="43">
        <v>20.5</v>
      </c>
      <c r="J491" s="43">
        <v>22.7</v>
      </c>
      <c r="K491" s="1">
        <f t="shared" ref="K491" si="522">(IF(F491="SELL",G491-H491,IF(F491="BUY",H491-G491)))*E491</f>
        <v>2400</v>
      </c>
      <c r="L491" s="43">
        <f>E491*2</f>
        <v>2400</v>
      </c>
      <c r="M491" s="43">
        <f>E491*2.2</f>
        <v>2640</v>
      </c>
      <c r="N491" s="1">
        <f t="shared" si="471"/>
        <v>6.2</v>
      </c>
      <c r="O491" s="1">
        <f t="shared" si="472"/>
        <v>7440</v>
      </c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</row>
    <row r="492" spans="1:33" s="32" customFormat="1" ht="15" customHeight="1">
      <c r="A492" s="37">
        <v>43838</v>
      </c>
      <c r="B492" s="20" t="s">
        <v>10</v>
      </c>
      <c r="C492" s="20" t="s">
        <v>47</v>
      </c>
      <c r="D492" s="20">
        <v>620</v>
      </c>
      <c r="E492" s="38">
        <v>1000</v>
      </c>
      <c r="F492" s="20" t="s">
        <v>8</v>
      </c>
      <c r="G492" s="43">
        <v>14.8</v>
      </c>
      <c r="H492" s="43">
        <v>16.8</v>
      </c>
      <c r="I492" s="43">
        <v>18</v>
      </c>
      <c r="J492" s="43">
        <v>0</v>
      </c>
      <c r="K492" s="1">
        <f t="shared" ref="K492" si="523">(IF(F492="SELL",G492-H492,IF(F492="BUY",H492-G492)))*E492</f>
        <v>2000</v>
      </c>
      <c r="L492" s="43">
        <f>E492*2</f>
        <v>2000</v>
      </c>
      <c r="M492" s="43">
        <v>0</v>
      </c>
      <c r="N492" s="1">
        <f t="shared" si="471"/>
        <v>4</v>
      </c>
      <c r="O492" s="1">
        <f t="shared" si="472"/>
        <v>4000</v>
      </c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</row>
    <row r="493" spans="1:33" s="32" customFormat="1" ht="15" customHeight="1">
      <c r="A493" s="37">
        <v>43837</v>
      </c>
      <c r="B493" s="20" t="s">
        <v>13</v>
      </c>
      <c r="C493" s="20" t="s">
        <v>47</v>
      </c>
      <c r="D493" s="20">
        <v>590</v>
      </c>
      <c r="E493" s="38">
        <v>1400</v>
      </c>
      <c r="F493" s="20" t="s">
        <v>8</v>
      </c>
      <c r="G493" s="43">
        <v>16</v>
      </c>
      <c r="H493" s="43">
        <v>15</v>
      </c>
      <c r="I493" s="43">
        <v>0</v>
      </c>
      <c r="J493" s="43">
        <v>0</v>
      </c>
      <c r="K493" s="1">
        <f t="shared" ref="K493" si="524">(IF(F493="SELL",G493-H493,IF(F493="BUY",H493-G493)))*E493</f>
        <v>-1400</v>
      </c>
      <c r="L493" s="43">
        <v>0</v>
      </c>
      <c r="M493" s="43">
        <v>0</v>
      </c>
      <c r="N493" s="1">
        <f t="shared" si="471"/>
        <v>-1</v>
      </c>
      <c r="O493" s="1">
        <f t="shared" si="472"/>
        <v>-1400</v>
      </c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</row>
    <row r="494" spans="1:33" s="32" customFormat="1" ht="15" customHeight="1">
      <c r="A494" s="37">
        <v>43837</v>
      </c>
      <c r="B494" s="20" t="s">
        <v>415</v>
      </c>
      <c r="C494" s="20" t="s">
        <v>46</v>
      </c>
      <c r="D494" s="20">
        <v>235</v>
      </c>
      <c r="E494" s="38">
        <v>200</v>
      </c>
      <c r="F494" s="20" t="s">
        <v>8</v>
      </c>
      <c r="G494" s="43">
        <v>52</v>
      </c>
      <c r="H494" s="43">
        <v>62</v>
      </c>
      <c r="I494" s="43">
        <v>0</v>
      </c>
      <c r="J494" s="43">
        <v>0</v>
      </c>
      <c r="K494" s="1">
        <f t="shared" ref="K494" si="525">(IF(F494="SELL",G494-H494,IF(F494="BUY",H494-G494)))*E494</f>
        <v>2000</v>
      </c>
      <c r="L494" s="43">
        <v>0</v>
      </c>
      <c r="M494" s="43">
        <v>0</v>
      </c>
      <c r="N494" s="1">
        <f t="shared" si="471"/>
        <v>10</v>
      </c>
      <c r="O494" s="1">
        <f t="shared" si="472"/>
        <v>2000</v>
      </c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</row>
    <row r="495" spans="1:33" s="32" customFormat="1" ht="15" customHeight="1">
      <c r="A495" s="37">
        <v>43836</v>
      </c>
      <c r="B495" s="20" t="s">
        <v>357</v>
      </c>
      <c r="C495" s="20" t="s">
        <v>47</v>
      </c>
      <c r="D495" s="20">
        <v>820</v>
      </c>
      <c r="E495" s="38">
        <v>800</v>
      </c>
      <c r="F495" s="20" t="s">
        <v>8</v>
      </c>
      <c r="G495" s="43">
        <v>32.5</v>
      </c>
      <c r="H495" s="43">
        <v>35.5</v>
      </c>
      <c r="I495" s="43">
        <v>0</v>
      </c>
      <c r="J495" s="43">
        <v>0</v>
      </c>
      <c r="K495" s="1">
        <f t="shared" ref="K495" si="526">(IF(F495="SELL",G495-H495,IF(F495="BUY",H495-G495)))*E495</f>
        <v>2400</v>
      </c>
      <c r="L495" s="43">
        <v>0</v>
      </c>
      <c r="M495" s="43">
        <v>0</v>
      </c>
      <c r="N495" s="1">
        <f t="shared" si="471"/>
        <v>3</v>
      </c>
      <c r="O495" s="1">
        <f t="shared" si="472"/>
        <v>2400</v>
      </c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</row>
    <row r="496" spans="1:33" s="32" customFormat="1" ht="15" customHeight="1">
      <c r="A496" s="37">
        <v>43836</v>
      </c>
      <c r="B496" s="20" t="s">
        <v>405</v>
      </c>
      <c r="C496" s="20" t="s">
        <v>46</v>
      </c>
      <c r="D496" s="20">
        <v>260</v>
      </c>
      <c r="E496" s="38">
        <v>1700</v>
      </c>
      <c r="F496" s="20" t="s">
        <v>8</v>
      </c>
      <c r="G496" s="43">
        <v>12.2</v>
      </c>
      <c r="H496" s="43">
        <v>14.2</v>
      </c>
      <c r="I496" s="43">
        <v>0</v>
      </c>
      <c r="J496" s="43">
        <v>0</v>
      </c>
      <c r="K496" s="1">
        <f t="shared" ref="K496" si="527">(IF(F496="SELL",G496-H496,IF(F496="BUY",H496-G496)))*E496</f>
        <v>3400</v>
      </c>
      <c r="L496" s="43">
        <v>0</v>
      </c>
      <c r="M496" s="43">
        <v>0</v>
      </c>
      <c r="N496" s="1">
        <f t="shared" si="471"/>
        <v>2</v>
      </c>
      <c r="O496" s="1">
        <f t="shared" si="472"/>
        <v>3400</v>
      </c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</row>
    <row r="497" spans="1:33" s="32" customFormat="1" ht="15" customHeight="1">
      <c r="A497" s="37">
        <v>43833</v>
      </c>
      <c r="B497" s="20" t="s">
        <v>62</v>
      </c>
      <c r="C497" s="20" t="s">
        <v>47</v>
      </c>
      <c r="D497" s="20">
        <v>145</v>
      </c>
      <c r="E497" s="38">
        <v>6200</v>
      </c>
      <c r="F497" s="20" t="s">
        <v>8</v>
      </c>
      <c r="G497" s="43">
        <v>4.3</v>
      </c>
      <c r="H497" s="43">
        <v>3.7</v>
      </c>
      <c r="I497" s="43">
        <v>0</v>
      </c>
      <c r="J497" s="43">
        <v>0</v>
      </c>
      <c r="K497" s="1">
        <f t="shared" ref="K497" si="528">(IF(F497="SELL",G497-H497,IF(F497="BUY",H497-G497)))*E497</f>
        <v>-3719.9999999999977</v>
      </c>
      <c r="L497" s="43">
        <v>0</v>
      </c>
      <c r="M497" s="43">
        <v>0</v>
      </c>
      <c r="N497" s="1">
        <f t="shared" ref="N497:N560" si="529">(L497+K497+M497)/E497</f>
        <v>-0.59999999999999964</v>
      </c>
      <c r="O497" s="1">
        <f t="shared" ref="O497:O560" si="530">N497*E497</f>
        <v>-3719.9999999999977</v>
      </c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</row>
    <row r="498" spans="1:33" s="32" customFormat="1" ht="15" customHeight="1">
      <c r="A498" s="37">
        <v>43833</v>
      </c>
      <c r="B498" s="20" t="s">
        <v>417</v>
      </c>
      <c r="C498" s="20" t="s">
        <v>47</v>
      </c>
      <c r="D498" s="20">
        <v>360</v>
      </c>
      <c r="E498" s="38">
        <v>1400</v>
      </c>
      <c r="F498" s="20" t="s">
        <v>8</v>
      </c>
      <c r="G498" s="43">
        <v>14.7</v>
      </c>
      <c r="H498" s="43">
        <v>12</v>
      </c>
      <c r="I498" s="43">
        <v>0</v>
      </c>
      <c r="J498" s="43">
        <v>0</v>
      </c>
      <c r="K498" s="1">
        <f t="shared" ref="K498" si="531">(IF(F498="SELL",G498-H498,IF(F498="BUY",H498-G498)))*E498</f>
        <v>-3779.9999999999991</v>
      </c>
      <c r="L498" s="43">
        <v>0</v>
      </c>
      <c r="M498" s="43">
        <v>0</v>
      </c>
      <c r="N498" s="1">
        <f t="shared" si="529"/>
        <v>-2.6999999999999993</v>
      </c>
      <c r="O498" s="1">
        <f t="shared" si="530"/>
        <v>-3779.9999999999991</v>
      </c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</row>
    <row r="499" spans="1:33" s="32" customFormat="1" ht="15" customHeight="1">
      <c r="A499" s="37">
        <v>43833</v>
      </c>
      <c r="B499" s="20" t="s">
        <v>128</v>
      </c>
      <c r="C499" s="20" t="s">
        <v>47</v>
      </c>
      <c r="D499" s="20">
        <v>1660</v>
      </c>
      <c r="E499" s="38">
        <v>400</v>
      </c>
      <c r="F499" s="20" t="s">
        <v>8</v>
      </c>
      <c r="G499" s="43">
        <v>43.5</v>
      </c>
      <c r="H499" s="43">
        <v>48.45</v>
      </c>
      <c r="I499" s="43">
        <v>0</v>
      </c>
      <c r="J499" s="43">
        <v>0</v>
      </c>
      <c r="K499" s="1">
        <f t="shared" ref="K499" si="532">(IF(F499="SELL",G499-H499,IF(F499="BUY",H499-G499)))*E499</f>
        <v>1980.0000000000011</v>
      </c>
      <c r="L499" s="43">
        <v>0</v>
      </c>
      <c r="M499" s="43">
        <v>0</v>
      </c>
      <c r="N499" s="1">
        <f t="shared" si="529"/>
        <v>4.9500000000000028</v>
      </c>
      <c r="O499" s="1">
        <f t="shared" si="530"/>
        <v>1980.0000000000011</v>
      </c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</row>
    <row r="500" spans="1:33" s="32" customFormat="1" ht="15" customHeight="1">
      <c r="A500" s="37">
        <v>43832</v>
      </c>
      <c r="B500" s="20" t="s">
        <v>404</v>
      </c>
      <c r="C500" s="20" t="s">
        <v>47</v>
      </c>
      <c r="D500" s="20">
        <v>145</v>
      </c>
      <c r="E500" s="38">
        <v>6000</v>
      </c>
      <c r="F500" s="20" t="s">
        <v>8</v>
      </c>
      <c r="G500" s="43">
        <v>4.7</v>
      </c>
      <c r="H500" s="43">
        <v>5.2</v>
      </c>
      <c r="I500" s="43">
        <v>0</v>
      </c>
      <c r="J500" s="43">
        <v>0</v>
      </c>
      <c r="K500" s="1">
        <f t="shared" ref="K500" si="533">(IF(F500="SELL",G500-H500,IF(F500="BUY",H500-G500)))*E500</f>
        <v>3000</v>
      </c>
      <c r="L500" s="43">
        <v>0</v>
      </c>
      <c r="M500" s="43">
        <v>0</v>
      </c>
      <c r="N500" s="1">
        <f t="shared" si="529"/>
        <v>0.5</v>
      </c>
      <c r="O500" s="1">
        <f t="shared" si="530"/>
        <v>3000</v>
      </c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</row>
    <row r="501" spans="1:33" s="32" customFormat="1" ht="15" customHeight="1">
      <c r="A501" s="37">
        <v>43832</v>
      </c>
      <c r="B501" s="20" t="s">
        <v>279</v>
      </c>
      <c r="C501" s="20" t="s">
        <v>47</v>
      </c>
      <c r="D501" s="20">
        <v>185</v>
      </c>
      <c r="E501" s="38">
        <v>2900</v>
      </c>
      <c r="F501" s="20" t="s">
        <v>8</v>
      </c>
      <c r="G501" s="43">
        <v>7.4</v>
      </c>
      <c r="H501" s="43">
        <v>8.1999999999999993</v>
      </c>
      <c r="I501" s="43">
        <v>0</v>
      </c>
      <c r="J501" s="43">
        <v>0</v>
      </c>
      <c r="K501" s="1">
        <f t="shared" ref="K501" si="534">(IF(F501="SELL",G501-H501,IF(F501="BUY",H501-G501)))*E501</f>
        <v>2319.9999999999968</v>
      </c>
      <c r="L501" s="43">
        <v>0</v>
      </c>
      <c r="M501" s="43">
        <v>0</v>
      </c>
      <c r="N501" s="1">
        <f t="shared" si="529"/>
        <v>0.79999999999999893</v>
      </c>
      <c r="O501" s="1">
        <f t="shared" si="530"/>
        <v>2319.9999999999968</v>
      </c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</row>
    <row r="502" spans="1:33" s="32" customFormat="1" ht="15" customHeight="1">
      <c r="A502" s="37">
        <v>43832</v>
      </c>
      <c r="B502" s="20" t="s">
        <v>474</v>
      </c>
      <c r="C502" s="20" t="s">
        <v>47</v>
      </c>
      <c r="D502" s="20">
        <v>290</v>
      </c>
      <c r="E502" s="38">
        <v>2300</v>
      </c>
      <c r="F502" s="20" t="s">
        <v>8</v>
      </c>
      <c r="G502" s="43">
        <v>13.5</v>
      </c>
      <c r="H502" s="43">
        <v>14.5</v>
      </c>
      <c r="I502" s="43">
        <v>0</v>
      </c>
      <c r="J502" s="43">
        <v>0</v>
      </c>
      <c r="K502" s="1">
        <f t="shared" ref="K502" si="535">(IF(F502="SELL",G502-H502,IF(F502="BUY",H502-G502)))*E502</f>
        <v>2300</v>
      </c>
      <c r="L502" s="43">
        <v>0</v>
      </c>
      <c r="M502" s="43">
        <v>0</v>
      </c>
      <c r="N502" s="1">
        <f t="shared" si="529"/>
        <v>1</v>
      </c>
      <c r="O502" s="1">
        <f t="shared" si="530"/>
        <v>2300</v>
      </c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</row>
    <row r="503" spans="1:33" s="32" customFormat="1" ht="15" customHeight="1">
      <c r="A503" s="37">
        <v>43831</v>
      </c>
      <c r="B503" s="20" t="s">
        <v>122</v>
      </c>
      <c r="C503" s="20" t="s">
        <v>47</v>
      </c>
      <c r="D503" s="20">
        <v>2400</v>
      </c>
      <c r="E503" s="38">
        <v>500</v>
      </c>
      <c r="F503" s="20" t="s">
        <v>8</v>
      </c>
      <c r="G503" s="43">
        <v>75</v>
      </c>
      <c r="H503" s="43">
        <v>77</v>
      </c>
      <c r="I503" s="43">
        <v>0</v>
      </c>
      <c r="J503" s="43">
        <v>0</v>
      </c>
      <c r="K503" s="1">
        <f t="shared" ref="K503" si="536">(IF(F503="SELL",G503-H503,IF(F503="BUY",H503-G503)))*E503</f>
        <v>1000</v>
      </c>
      <c r="L503" s="43">
        <v>0</v>
      </c>
      <c r="M503" s="43">
        <v>0</v>
      </c>
      <c r="N503" s="1">
        <f t="shared" si="529"/>
        <v>2</v>
      </c>
      <c r="O503" s="1">
        <f t="shared" si="530"/>
        <v>1000</v>
      </c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</row>
    <row r="504" spans="1:33" s="32" customFormat="1" ht="15" customHeight="1">
      <c r="A504" s="37">
        <v>43831</v>
      </c>
      <c r="B504" s="20" t="s">
        <v>473</v>
      </c>
      <c r="C504" s="20" t="s">
        <v>46</v>
      </c>
      <c r="D504" s="20">
        <v>250</v>
      </c>
      <c r="E504" s="38">
        <v>2400</v>
      </c>
      <c r="F504" s="20" t="s">
        <v>8</v>
      </c>
      <c r="G504" s="43">
        <v>12.8</v>
      </c>
      <c r="H504" s="43">
        <v>12.8</v>
      </c>
      <c r="I504" s="43">
        <v>0</v>
      </c>
      <c r="J504" s="43">
        <v>0</v>
      </c>
      <c r="K504" s="1">
        <f t="shared" ref="K504" si="537">(IF(F504="SELL",G504-H504,IF(F504="BUY",H504-G504)))*E504</f>
        <v>0</v>
      </c>
      <c r="L504" s="43">
        <v>0</v>
      </c>
      <c r="M504" s="43">
        <v>0</v>
      </c>
      <c r="N504" s="1">
        <f t="shared" si="529"/>
        <v>0</v>
      </c>
      <c r="O504" s="1">
        <f t="shared" si="530"/>
        <v>0</v>
      </c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</row>
    <row r="505" spans="1:33" s="32" customFormat="1" ht="15" customHeight="1">
      <c r="A505" s="37">
        <v>43830</v>
      </c>
      <c r="B505" s="20" t="s">
        <v>22</v>
      </c>
      <c r="C505" s="20" t="s">
        <v>47</v>
      </c>
      <c r="D505" s="20">
        <v>240</v>
      </c>
      <c r="E505" s="38">
        <v>3300</v>
      </c>
      <c r="F505" s="20" t="s">
        <v>8</v>
      </c>
      <c r="G505" s="43">
        <v>7.1</v>
      </c>
      <c r="H505" s="43">
        <v>6.5</v>
      </c>
      <c r="I505" s="43">
        <v>0</v>
      </c>
      <c r="J505" s="43">
        <v>0</v>
      </c>
      <c r="K505" s="1">
        <f t="shared" ref="K505" si="538">(IF(F505="SELL",G505-H505,IF(F505="BUY",H505-G505)))*E505</f>
        <v>-1979.9999999999989</v>
      </c>
      <c r="L505" s="43">
        <v>0</v>
      </c>
      <c r="M505" s="43">
        <v>0</v>
      </c>
      <c r="N505" s="1">
        <f t="shared" si="529"/>
        <v>-0.59999999999999964</v>
      </c>
      <c r="O505" s="1">
        <f t="shared" si="530"/>
        <v>-1979.9999999999989</v>
      </c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</row>
    <row r="506" spans="1:33" s="32" customFormat="1" ht="15" customHeight="1">
      <c r="A506" s="37">
        <v>43830</v>
      </c>
      <c r="B506" s="20" t="s">
        <v>391</v>
      </c>
      <c r="C506" s="20" t="s">
        <v>47</v>
      </c>
      <c r="D506" s="20">
        <v>430</v>
      </c>
      <c r="E506" s="38">
        <v>1250</v>
      </c>
      <c r="F506" s="20" t="s">
        <v>8</v>
      </c>
      <c r="G506" s="43">
        <v>17.5</v>
      </c>
      <c r="H506" s="43">
        <v>16.5</v>
      </c>
      <c r="I506" s="43">
        <v>0</v>
      </c>
      <c r="J506" s="43">
        <v>0</v>
      </c>
      <c r="K506" s="1">
        <f t="shared" ref="K506" si="539">(IF(F506="SELL",G506-H506,IF(F506="BUY",H506-G506)))*E506</f>
        <v>-1250</v>
      </c>
      <c r="L506" s="43">
        <v>0</v>
      </c>
      <c r="M506" s="43">
        <v>0</v>
      </c>
      <c r="N506" s="1">
        <f t="shared" si="529"/>
        <v>-1</v>
      </c>
      <c r="O506" s="1">
        <f t="shared" si="530"/>
        <v>-1250</v>
      </c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</row>
    <row r="507" spans="1:33" s="32" customFormat="1" ht="15" customHeight="1">
      <c r="A507" s="37">
        <v>43830</v>
      </c>
      <c r="B507" s="20" t="s">
        <v>472</v>
      </c>
      <c r="C507" s="20" t="s">
        <v>47</v>
      </c>
      <c r="D507" s="20">
        <v>1700</v>
      </c>
      <c r="E507" s="38">
        <v>500</v>
      </c>
      <c r="F507" s="20" t="s">
        <v>8</v>
      </c>
      <c r="G507" s="43">
        <v>40</v>
      </c>
      <c r="H507" s="43">
        <v>44</v>
      </c>
      <c r="I507" s="43">
        <v>0</v>
      </c>
      <c r="J507" s="43">
        <v>0</v>
      </c>
      <c r="K507" s="1">
        <f t="shared" ref="K507" si="540">(IF(F507="SELL",G507-H507,IF(F507="BUY",H507-G507)))*E507</f>
        <v>2000</v>
      </c>
      <c r="L507" s="43">
        <v>0</v>
      </c>
      <c r="M507" s="43">
        <v>0</v>
      </c>
      <c r="N507" s="1">
        <f t="shared" si="529"/>
        <v>4</v>
      </c>
      <c r="O507" s="1">
        <f t="shared" si="530"/>
        <v>2000</v>
      </c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</row>
    <row r="508" spans="1:33" s="32" customFormat="1" ht="15" customHeight="1">
      <c r="A508" s="37">
        <v>43829</v>
      </c>
      <c r="B508" s="20" t="s">
        <v>270</v>
      </c>
      <c r="C508" s="20" t="s">
        <v>47</v>
      </c>
      <c r="D508" s="20">
        <v>170</v>
      </c>
      <c r="E508" s="38">
        <v>5000</v>
      </c>
      <c r="F508" s="20" t="s">
        <v>8</v>
      </c>
      <c r="G508" s="43">
        <v>6</v>
      </c>
      <c r="H508" s="43">
        <v>6.5</v>
      </c>
      <c r="I508" s="43">
        <v>7</v>
      </c>
      <c r="J508" s="43">
        <v>7.7</v>
      </c>
      <c r="K508" s="1">
        <f t="shared" ref="K508" si="541">(IF(F508="SELL",G508-H508,IF(F508="BUY",H508-G508)))*E508</f>
        <v>2500</v>
      </c>
      <c r="L508" s="43">
        <f>E508*0.5</f>
        <v>2500</v>
      </c>
      <c r="M508" s="43">
        <f>E508*0.7</f>
        <v>3500</v>
      </c>
      <c r="N508" s="1">
        <f t="shared" si="529"/>
        <v>1.7</v>
      </c>
      <c r="O508" s="1">
        <f t="shared" si="530"/>
        <v>8500</v>
      </c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</row>
    <row r="509" spans="1:33" s="32" customFormat="1" ht="15" customHeight="1">
      <c r="A509" s="37">
        <v>43826</v>
      </c>
      <c r="B509" s="20" t="s">
        <v>17</v>
      </c>
      <c r="C509" s="20" t="s">
        <v>47</v>
      </c>
      <c r="D509" s="20">
        <v>760</v>
      </c>
      <c r="E509" s="38">
        <v>1200</v>
      </c>
      <c r="F509" s="20" t="s">
        <v>8</v>
      </c>
      <c r="G509" s="43">
        <v>16</v>
      </c>
      <c r="H509" s="43">
        <v>18.5</v>
      </c>
      <c r="I509" s="43">
        <v>21</v>
      </c>
      <c r="J509" s="43">
        <v>25</v>
      </c>
      <c r="K509" s="1">
        <f t="shared" ref="K509" si="542">(IF(F509="SELL",G509-H509,IF(F509="BUY",H509-G509)))*E509</f>
        <v>3000</v>
      </c>
      <c r="L509" s="43">
        <f>E509*2.5</f>
        <v>3000</v>
      </c>
      <c r="M509" s="43">
        <f>E509*4</f>
        <v>4800</v>
      </c>
      <c r="N509" s="1">
        <f t="shared" si="529"/>
        <v>9</v>
      </c>
      <c r="O509" s="1">
        <f t="shared" si="530"/>
        <v>10800</v>
      </c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</row>
    <row r="510" spans="1:33" s="32" customFormat="1" ht="15" customHeight="1">
      <c r="A510" s="37">
        <v>43826</v>
      </c>
      <c r="B510" s="20" t="s">
        <v>122</v>
      </c>
      <c r="C510" s="20" t="s">
        <v>47</v>
      </c>
      <c r="D510" s="20">
        <v>2420</v>
      </c>
      <c r="E510" s="38">
        <v>250</v>
      </c>
      <c r="F510" s="20" t="s">
        <v>8</v>
      </c>
      <c r="G510" s="43">
        <v>65</v>
      </c>
      <c r="H510" s="43">
        <v>72</v>
      </c>
      <c r="I510" s="43">
        <v>78</v>
      </c>
      <c r="J510" s="43">
        <v>0</v>
      </c>
      <c r="K510" s="1">
        <f t="shared" ref="K510" si="543">(IF(F510="SELL",G510-H510,IF(F510="BUY",H510-G510)))*E510</f>
        <v>1750</v>
      </c>
      <c r="L510" s="43">
        <f>E510*6</f>
        <v>1500</v>
      </c>
      <c r="M510" s="43">
        <v>0</v>
      </c>
      <c r="N510" s="1">
        <f t="shared" si="529"/>
        <v>13</v>
      </c>
      <c r="O510" s="1">
        <f t="shared" si="530"/>
        <v>3250</v>
      </c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</row>
    <row r="511" spans="1:33" s="32" customFormat="1" ht="15" customHeight="1">
      <c r="A511" s="37">
        <v>43825</v>
      </c>
      <c r="B511" s="20" t="s">
        <v>404</v>
      </c>
      <c r="C511" s="20" t="s">
        <v>47</v>
      </c>
      <c r="D511" s="20">
        <v>135</v>
      </c>
      <c r="E511" s="38">
        <v>6000</v>
      </c>
      <c r="F511" s="20" t="s">
        <v>8</v>
      </c>
      <c r="G511" s="43">
        <v>6.2</v>
      </c>
      <c r="H511" s="43">
        <v>6.7</v>
      </c>
      <c r="I511" s="43">
        <v>0</v>
      </c>
      <c r="J511" s="43">
        <v>0</v>
      </c>
      <c r="K511" s="1">
        <f t="shared" ref="K511" si="544">(IF(F511="SELL",G511-H511,IF(F511="BUY",H511-G511)))*E511</f>
        <v>3000</v>
      </c>
      <c r="L511" s="43">
        <v>0</v>
      </c>
      <c r="M511" s="43">
        <v>0</v>
      </c>
      <c r="N511" s="1">
        <f t="shared" si="529"/>
        <v>0.5</v>
      </c>
      <c r="O511" s="1">
        <f t="shared" si="530"/>
        <v>3000</v>
      </c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</row>
    <row r="512" spans="1:33" s="32" customFormat="1" ht="15" customHeight="1">
      <c r="A512" s="37">
        <v>43825</v>
      </c>
      <c r="B512" s="20" t="s">
        <v>400</v>
      </c>
      <c r="C512" s="20" t="s">
        <v>47</v>
      </c>
      <c r="D512" s="20">
        <v>480</v>
      </c>
      <c r="E512" s="38">
        <v>1061</v>
      </c>
      <c r="F512" s="20" t="s">
        <v>8</v>
      </c>
      <c r="G512" s="43">
        <v>13.8</v>
      </c>
      <c r="H512" s="43">
        <v>15.5</v>
      </c>
      <c r="I512" s="43">
        <v>0</v>
      </c>
      <c r="J512" s="43">
        <v>0</v>
      </c>
      <c r="K512" s="1">
        <f t="shared" ref="K512" si="545">(IF(F512="SELL",G512-H512,IF(F512="BUY",H512-G512)))*E512</f>
        <v>1803.6999999999991</v>
      </c>
      <c r="L512" s="43">
        <v>0</v>
      </c>
      <c r="M512" s="43">
        <v>0</v>
      </c>
      <c r="N512" s="1">
        <f t="shared" si="529"/>
        <v>1.6999999999999993</v>
      </c>
      <c r="O512" s="1">
        <f t="shared" si="530"/>
        <v>1803.6999999999991</v>
      </c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</row>
    <row r="513" spans="1:33" s="32" customFormat="1" ht="15" customHeight="1">
      <c r="A513" s="37">
        <v>43823</v>
      </c>
      <c r="B513" s="20" t="s">
        <v>270</v>
      </c>
      <c r="C513" s="20" t="s">
        <v>47</v>
      </c>
      <c r="D513" s="20">
        <v>160</v>
      </c>
      <c r="E513" s="38">
        <v>3200</v>
      </c>
      <c r="F513" s="20" t="s">
        <v>8</v>
      </c>
      <c r="G513" s="43">
        <v>1.9</v>
      </c>
      <c r="H513" s="43">
        <v>2.6</v>
      </c>
      <c r="I513" s="43">
        <v>3.2</v>
      </c>
      <c r="J513" s="43">
        <v>0</v>
      </c>
      <c r="K513" s="1">
        <f t="shared" ref="K513" si="546">(IF(F513="SELL",G513-H513,IF(F513="BUY",H513-G513)))*E513</f>
        <v>2240.0000000000005</v>
      </c>
      <c r="L513" s="43">
        <f>E513*0.6</f>
        <v>1920</v>
      </c>
      <c r="M513" s="43">
        <v>0</v>
      </c>
      <c r="N513" s="1">
        <f t="shared" si="529"/>
        <v>1.3</v>
      </c>
      <c r="O513" s="1">
        <f t="shared" si="530"/>
        <v>4160</v>
      </c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</row>
    <row r="514" spans="1:33" s="32" customFormat="1" ht="15" customHeight="1">
      <c r="A514" s="37">
        <v>43823</v>
      </c>
      <c r="B514" s="20" t="s">
        <v>128</v>
      </c>
      <c r="C514" s="20" t="s">
        <v>47</v>
      </c>
      <c r="D514" s="20">
        <v>1700</v>
      </c>
      <c r="E514" s="38">
        <v>400</v>
      </c>
      <c r="F514" s="20" t="s">
        <v>8</v>
      </c>
      <c r="G514" s="43">
        <v>16</v>
      </c>
      <c r="H514" s="43">
        <v>20</v>
      </c>
      <c r="I514" s="43">
        <v>0</v>
      </c>
      <c r="J514" s="43">
        <v>0</v>
      </c>
      <c r="K514" s="1">
        <f t="shared" ref="K514" si="547">(IF(F514="SELL",G514-H514,IF(F514="BUY",H514-G514)))*E514</f>
        <v>1600</v>
      </c>
      <c r="L514" s="43">
        <v>0</v>
      </c>
      <c r="M514" s="43">
        <v>0</v>
      </c>
      <c r="N514" s="1">
        <f t="shared" si="529"/>
        <v>4</v>
      </c>
      <c r="O514" s="1">
        <f t="shared" si="530"/>
        <v>1600</v>
      </c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</row>
    <row r="515" spans="1:33" s="32" customFormat="1" ht="15" customHeight="1">
      <c r="A515" s="37">
        <v>43822</v>
      </c>
      <c r="B515" s="20" t="s">
        <v>175</v>
      </c>
      <c r="C515" s="20" t="s">
        <v>47</v>
      </c>
      <c r="D515" s="20">
        <v>4100</v>
      </c>
      <c r="E515" s="38">
        <v>250</v>
      </c>
      <c r="F515" s="20" t="s">
        <v>8</v>
      </c>
      <c r="G515" s="43">
        <v>80</v>
      </c>
      <c r="H515" s="43">
        <v>90</v>
      </c>
      <c r="I515" s="43">
        <v>0</v>
      </c>
      <c r="J515" s="43">
        <v>0</v>
      </c>
      <c r="K515" s="1">
        <f t="shared" ref="K515" si="548">(IF(F515="SELL",G515-H515,IF(F515="BUY",H515-G515)))*E515</f>
        <v>2500</v>
      </c>
      <c r="L515" s="43">
        <v>0</v>
      </c>
      <c r="M515" s="43">
        <v>0</v>
      </c>
      <c r="N515" s="1">
        <f t="shared" si="529"/>
        <v>10</v>
      </c>
      <c r="O515" s="1">
        <f t="shared" si="530"/>
        <v>2500</v>
      </c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</row>
    <row r="516" spans="1:33" s="32" customFormat="1" ht="15" customHeight="1">
      <c r="A516" s="37">
        <v>43822</v>
      </c>
      <c r="B516" s="20" t="s">
        <v>38</v>
      </c>
      <c r="C516" s="20" t="s">
        <v>47</v>
      </c>
      <c r="D516" s="20">
        <v>7300</v>
      </c>
      <c r="E516" s="38">
        <v>75</v>
      </c>
      <c r="F516" s="20" t="s">
        <v>8</v>
      </c>
      <c r="G516" s="43">
        <v>90</v>
      </c>
      <c r="H516" s="43">
        <v>110</v>
      </c>
      <c r="I516" s="43">
        <v>0</v>
      </c>
      <c r="J516" s="43">
        <v>0</v>
      </c>
      <c r="K516" s="1">
        <f t="shared" ref="K516" si="549">(IF(F516="SELL",G516-H516,IF(F516="BUY",H516-G516)))*E516</f>
        <v>1500</v>
      </c>
      <c r="L516" s="43">
        <v>0</v>
      </c>
      <c r="M516" s="43">
        <v>0</v>
      </c>
      <c r="N516" s="1">
        <f t="shared" si="529"/>
        <v>20</v>
      </c>
      <c r="O516" s="1">
        <f t="shared" si="530"/>
        <v>1500</v>
      </c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</row>
    <row r="517" spans="1:33" s="32" customFormat="1" ht="15" customHeight="1">
      <c r="A517" s="37">
        <v>43819</v>
      </c>
      <c r="B517" s="20" t="s">
        <v>415</v>
      </c>
      <c r="C517" s="20" t="s">
        <v>47</v>
      </c>
      <c r="D517" s="20">
        <v>2350</v>
      </c>
      <c r="E517" s="38">
        <v>150</v>
      </c>
      <c r="F517" s="20" t="s">
        <v>8</v>
      </c>
      <c r="G517" s="43">
        <v>82</v>
      </c>
      <c r="H517" s="43">
        <v>68</v>
      </c>
      <c r="I517" s="43">
        <v>0</v>
      </c>
      <c r="J517" s="43">
        <v>0</v>
      </c>
      <c r="K517" s="1">
        <f t="shared" ref="K517" si="550">(IF(F517="SELL",G517-H517,IF(F517="BUY",H517-G517)))*E517</f>
        <v>-2100</v>
      </c>
      <c r="L517" s="43">
        <v>0</v>
      </c>
      <c r="M517" s="43">
        <v>0</v>
      </c>
      <c r="N517" s="1">
        <f t="shared" si="529"/>
        <v>-14</v>
      </c>
      <c r="O517" s="1">
        <f t="shared" si="530"/>
        <v>-2100</v>
      </c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</row>
    <row r="518" spans="1:33" s="32" customFormat="1" ht="15" customHeight="1">
      <c r="A518" s="37">
        <v>43819</v>
      </c>
      <c r="B518" s="20" t="s">
        <v>386</v>
      </c>
      <c r="C518" s="20" t="s">
        <v>47</v>
      </c>
      <c r="D518" s="20">
        <v>1200</v>
      </c>
      <c r="E518" s="38">
        <v>750</v>
      </c>
      <c r="F518" s="20" t="s">
        <v>8</v>
      </c>
      <c r="G518" s="43">
        <v>9</v>
      </c>
      <c r="H518" s="43">
        <v>12</v>
      </c>
      <c r="I518" s="43">
        <v>16</v>
      </c>
      <c r="J518" s="43">
        <v>18</v>
      </c>
      <c r="K518" s="1">
        <f t="shared" ref="K518" si="551">(IF(F518="SELL",G518-H518,IF(F518="BUY",H518-G518)))*E518</f>
        <v>2250</v>
      </c>
      <c r="L518" s="43">
        <f>E518*4</f>
        <v>3000</v>
      </c>
      <c r="M518" s="43">
        <f>E518*2</f>
        <v>1500</v>
      </c>
      <c r="N518" s="1">
        <f t="shared" si="529"/>
        <v>9</v>
      </c>
      <c r="O518" s="1">
        <f t="shared" si="530"/>
        <v>6750</v>
      </c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</row>
    <row r="519" spans="1:33" s="32" customFormat="1" ht="15" customHeight="1">
      <c r="A519" s="37">
        <v>43818</v>
      </c>
      <c r="B519" s="20" t="s">
        <v>38</v>
      </c>
      <c r="C519" s="20" t="s">
        <v>47</v>
      </c>
      <c r="D519" s="20">
        <v>7300</v>
      </c>
      <c r="E519" s="38">
        <v>75</v>
      </c>
      <c r="F519" s="20" t="s">
        <v>8</v>
      </c>
      <c r="G519" s="43">
        <v>100</v>
      </c>
      <c r="H519" s="43">
        <v>120</v>
      </c>
      <c r="I519" s="43">
        <v>0</v>
      </c>
      <c r="J519" s="43">
        <v>0</v>
      </c>
      <c r="K519" s="1">
        <f t="shared" ref="K519" si="552">(IF(F519="SELL",G519-H519,IF(F519="BUY",H519-G519)))*E519</f>
        <v>1500</v>
      </c>
      <c r="L519" s="43">
        <v>0</v>
      </c>
      <c r="M519" s="43">
        <v>0</v>
      </c>
      <c r="N519" s="1">
        <f t="shared" si="529"/>
        <v>20</v>
      </c>
      <c r="O519" s="1">
        <f t="shared" si="530"/>
        <v>1500</v>
      </c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</row>
    <row r="520" spans="1:33" s="32" customFormat="1" ht="15" customHeight="1">
      <c r="A520" s="37">
        <v>43818</v>
      </c>
      <c r="B520" s="20" t="s">
        <v>402</v>
      </c>
      <c r="C520" s="20" t="s">
        <v>47</v>
      </c>
      <c r="D520" s="20">
        <v>1580</v>
      </c>
      <c r="E520" s="38">
        <v>500</v>
      </c>
      <c r="F520" s="20" t="s">
        <v>8</v>
      </c>
      <c r="G520" s="43">
        <v>24</v>
      </c>
      <c r="H520" s="43">
        <v>27</v>
      </c>
      <c r="I520" s="43">
        <v>30</v>
      </c>
      <c r="J520" s="43">
        <v>33</v>
      </c>
      <c r="K520" s="1">
        <f t="shared" ref="K520" si="553">(IF(F520="SELL",G520-H520,IF(F520="BUY",H520-G520)))*E520</f>
        <v>1500</v>
      </c>
      <c r="L520" s="43">
        <f>E520*3</f>
        <v>1500</v>
      </c>
      <c r="M520" s="43">
        <f>E520*3</f>
        <v>1500</v>
      </c>
      <c r="N520" s="1">
        <f t="shared" si="529"/>
        <v>9</v>
      </c>
      <c r="O520" s="1">
        <f t="shared" si="530"/>
        <v>4500</v>
      </c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</row>
    <row r="521" spans="1:33" s="32" customFormat="1" ht="15" customHeight="1">
      <c r="A521" s="37">
        <v>43818</v>
      </c>
      <c r="B521" s="20" t="s">
        <v>401</v>
      </c>
      <c r="C521" s="20" t="s">
        <v>47</v>
      </c>
      <c r="D521" s="20">
        <v>56</v>
      </c>
      <c r="E521" s="38">
        <v>6000</v>
      </c>
      <c r="F521" s="20" t="s">
        <v>8</v>
      </c>
      <c r="G521" s="43">
        <v>1.4</v>
      </c>
      <c r="H521" s="43">
        <v>1.2</v>
      </c>
      <c r="I521" s="43">
        <v>0</v>
      </c>
      <c r="J521" s="43">
        <v>0</v>
      </c>
      <c r="K521" s="1">
        <f t="shared" ref="K521" si="554">(IF(F521="SELL",G521-H521,IF(F521="BUY",H521-G521)))*E521</f>
        <v>-1199.9999999999998</v>
      </c>
      <c r="L521" s="43">
        <v>0</v>
      </c>
      <c r="M521" s="43">
        <v>0</v>
      </c>
      <c r="N521" s="1">
        <f t="shared" si="529"/>
        <v>-0.19999999999999996</v>
      </c>
      <c r="O521" s="1">
        <f t="shared" si="530"/>
        <v>-1199.9999999999998</v>
      </c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</row>
    <row r="522" spans="1:33" s="32" customFormat="1" ht="15" customHeight="1">
      <c r="A522" s="37">
        <v>43817</v>
      </c>
      <c r="B522" s="20" t="s">
        <v>20</v>
      </c>
      <c r="C522" s="20" t="s">
        <v>47</v>
      </c>
      <c r="D522" s="20">
        <v>740</v>
      </c>
      <c r="E522" s="38">
        <v>1200</v>
      </c>
      <c r="F522" s="20" t="s">
        <v>8</v>
      </c>
      <c r="G522" s="43">
        <v>9.3000000000000007</v>
      </c>
      <c r="H522" s="43">
        <v>7</v>
      </c>
      <c r="I522" s="43">
        <v>0</v>
      </c>
      <c r="J522" s="43">
        <v>0</v>
      </c>
      <c r="K522" s="1">
        <f t="shared" ref="K522" si="555">(IF(F522="SELL",G522-H522,IF(F522="BUY",H522-G522)))*E522</f>
        <v>-2760.0000000000009</v>
      </c>
      <c r="L522" s="43">
        <v>0</v>
      </c>
      <c r="M522" s="43">
        <v>0</v>
      </c>
      <c r="N522" s="1">
        <f t="shared" si="529"/>
        <v>-2.3000000000000007</v>
      </c>
      <c r="O522" s="1">
        <f t="shared" si="530"/>
        <v>-2760.0000000000009</v>
      </c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</row>
    <row r="523" spans="1:33" s="32" customFormat="1" ht="15" customHeight="1">
      <c r="A523" s="37">
        <v>43817</v>
      </c>
      <c r="B523" s="20" t="s">
        <v>54</v>
      </c>
      <c r="C523" s="20" t="s">
        <v>425</v>
      </c>
      <c r="D523" s="20">
        <v>440</v>
      </c>
      <c r="E523" s="38">
        <v>1000</v>
      </c>
      <c r="F523" s="20" t="s">
        <v>8</v>
      </c>
      <c r="G523" s="43">
        <v>6.5</v>
      </c>
      <c r="H523" s="43">
        <v>8.5</v>
      </c>
      <c r="I523" s="43">
        <v>10.5</v>
      </c>
      <c r="J523" s="43">
        <v>0</v>
      </c>
      <c r="K523" s="1">
        <f t="shared" ref="K523" si="556">(IF(F523="SELL",G523-H523,IF(F523="BUY",H523-G523)))*E523</f>
        <v>2000</v>
      </c>
      <c r="L523" s="43">
        <f>E523*2</f>
        <v>2000</v>
      </c>
      <c r="M523" s="43">
        <v>0</v>
      </c>
      <c r="N523" s="1">
        <f t="shared" si="529"/>
        <v>4</v>
      </c>
      <c r="O523" s="1">
        <f t="shared" si="530"/>
        <v>4000</v>
      </c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</row>
    <row r="524" spans="1:33" s="32" customFormat="1" ht="15" customHeight="1">
      <c r="A524" s="37">
        <v>43817</v>
      </c>
      <c r="B524" s="20" t="s">
        <v>289</v>
      </c>
      <c r="C524" s="20" t="s">
        <v>47</v>
      </c>
      <c r="D524" s="20">
        <v>490</v>
      </c>
      <c r="E524" s="38">
        <v>1200</v>
      </c>
      <c r="F524" s="20" t="s">
        <v>8</v>
      </c>
      <c r="G524" s="43">
        <v>10</v>
      </c>
      <c r="H524" s="43">
        <v>11.5</v>
      </c>
      <c r="I524" s="43">
        <v>13</v>
      </c>
      <c r="J524" s="43">
        <v>15</v>
      </c>
      <c r="K524" s="1">
        <f t="shared" ref="K524" si="557">(IF(F524="SELL",G524-H524,IF(F524="BUY",H524-G524)))*E524</f>
        <v>1800</v>
      </c>
      <c r="L524" s="43">
        <f>E524*1.5</f>
        <v>1800</v>
      </c>
      <c r="M524" s="43">
        <f>E524*2</f>
        <v>2400</v>
      </c>
      <c r="N524" s="1">
        <f t="shared" si="529"/>
        <v>5</v>
      </c>
      <c r="O524" s="1">
        <f t="shared" si="530"/>
        <v>6000</v>
      </c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</row>
    <row r="525" spans="1:33" s="32" customFormat="1" ht="15" customHeight="1">
      <c r="A525" s="37">
        <v>43816</v>
      </c>
      <c r="B525" s="20" t="s">
        <v>43</v>
      </c>
      <c r="C525" s="20" t="s">
        <v>47</v>
      </c>
      <c r="D525" s="20">
        <v>1260</v>
      </c>
      <c r="E525" s="38">
        <v>500</v>
      </c>
      <c r="F525" s="20" t="s">
        <v>8</v>
      </c>
      <c r="G525" s="43">
        <v>20.5</v>
      </c>
      <c r="H525" s="43">
        <v>23.5</v>
      </c>
      <c r="I525" s="43">
        <v>0</v>
      </c>
      <c r="J525" s="43">
        <v>0</v>
      </c>
      <c r="K525" s="1">
        <f t="shared" ref="K525" si="558">(IF(F525="SELL",G525-H525,IF(F525="BUY",H525-G525)))*E525</f>
        <v>1500</v>
      </c>
      <c r="L525" s="43">
        <v>0</v>
      </c>
      <c r="M525" s="43">
        <v>0</v>
      </c>
      <c r="N525" s="1">
        <f t="shared" si="529"/>
        <v>3</v>
      </c>
      <c r="O525" s="1">
        <f t="shared" si="530"/>
        <v>1500</v>
      </c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</row>
    <row r="526" spans="1:33" s="32" customFormat="1" ht="15" customHeight="1">
      <c r="A526" s="37">
        <v>43816</v>
      </c>
      <c r="B526" s="20" t="s">
        <v>60</v>
      </c>
      <c r="C526" s="20" t="s">
        <v>47</v>
      </c>
      <c r="D526" s="20">
        <v>155</v>
      </c>
      <c r="E526" s="38">
        <v>3000</v>
      </c>
      <c r="F526" s="20" t="s">
        <v>8</v>
      </c>
      <c r="G526" s="43">
        <v>2.9</v>
      </c>
      <c r="H526" s="43">
        <v>3.6</v>
      </c>
      <c r="I526" s="43">
        <v>4.3</v>
      </c>
      <c r="J526" s="43">
        <v>0</v>
      </c>
      <c r="K526" s="1">
        <f t="shared" ref="K526" si="559">(IF(F526="SELL",G526-H526,IF(F526="BUY",H526-G526)))*E526</f>
        <v>2100.0000000000005</v>
      </c>
      <c r="L526" s="43">
        <f>E526*0.7</f>
        <v>2100</v>
      </c>
      <c r="M526" s="43">
        <v>0</v>
      </c>
      <c r="N526" s="1">
        <f t="shared" si="529"/>
        <v>1.4</v>
      </c>
      <c r="O526" s="1">
        <f t="shared" si="530"/>
        <v>4200</v>
      </c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</row>
    <row r="527" spans="1:33" s="32" customFormat="1" ht="15" customHeight="1">
      <c r="A527" s="37">
        <v>43816</v>
      </c>
      <c r="B527" s="20" t="s">
        <v>430</v>
      </c>
      <c r="C527" s="20" t="s">
        <v>46</v>
      </c>
      <c r="D527" s="20">
        <v>510</v>
      </c>
      <c r="E527" s="38">
        <v>1000</v>
      </c>
      <c r="F527" s="20" t="s">
        <v>8</v>
      </c>
      <c r="G527" s="43">
        <v>11</v>
      </c>
      <c r="H527" s="43">
        <v>11.65</v>
      </c>
      <c r="I527" s="43">
        <v>0</v>
      </c>
      <c r="J527" s="43">
        <v>0</v>
      </c>
      <c r="K527" s="1">
        <f t="shared" ref="K527" si="560">(IF(F527="SELL",G527-H527,IF(F527="BUY",H527-G527)))*E527</f>
        <v>650.00000000000034</v>
      </c>
      <c r="L527" s="43">
        <v>0</v>
      </c>
      <c r="M527" s="43">
        <v>0</v>
      </c>
      <c r="N527" s="1">
        <f t="shared" si="529"/>
        <v>0.65000000000000036</v>
      </c>
      <c r="O527" s="1">
        <f t="shared" si="530"/>
        <v>650.00000000000034</v>
      </c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</row>
    <row r="528" spans="1:33" s="32" customFormat="1" ht="15" customHeight="1">
      <c r="A528" s="37">
        <v>43815</v>
      </c>
      <c r="B528" s="20" t="s">
        <v>430</v>
      </c>
      <c r="C528" s="20" t="s">
        <v>46</v>
      </c>
      <c r="D528" s="20">
        <v>510</v>
      </c>
      <c r="E528" s="38">
        <v>1000</v>
      </c>
      <c r="F528" s="20" t="s">
        <v>8</v>
      </c>
      <c r="G528" s="43">
        <v>9.1999999999999993</v>
      </c>
      <c r="H528" s="43">
        <v>11</v>
      </c>
      <c r="I528" s="43">
        <v>0</v>
      </c>
      <c r="J528" s="43">
        <v>0</v>
      </c>
      <c r="K528" s="1">
        <f t="shared" ref="K528" si="561">(IF(F528="SELL",G528-H528,IF(F528="BUY",H528-G528)))*E528</f>
        <v>1800.0000000000007</v>
      </c>
      <c r="L528" s="43">
        <v>0</v>
      </c>
      <c r="M528" s="43">
        <v>0</v>
      </c>
      <c r="N528" s="1">
        <f t="shared" si="529"/>
        <v>1.8000000000000007</v>
      </c>
      <c r="O528" s="1">
        <f t="shared" si="530"/>
        <v>1800.0000000000007</v>
      </c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</row>
    <row r="529" spans="1:33" s="32" customFormat="1" ht="15" customHeight="1">
      <c r="A529" s="37">
        <v>43815</v>
      </c>
      <c r="B529" s="20" t="s">
        <v>471</v>
      </c>
      <c r="C529" s="20" t="s">
        <v>47</v>
      </c>
      <c r="D529" s="20">
        <v>470</v>
      </c>
      <c r="E529" s="38">
        <v>1000</v>
      </c>
      <c r="F529" s="20" t="s">
        <v>8</v>
      </c>
      <c r="G529" s="43">
        <v>11</v>
      </c>
      <c r="H529" s="43">
        <v>13.5</v>
      </c>
      <c r="I529" s="43">
        <v>0</v>
      </c>
      <c r="J529" s="43">
        <v>0</v>
      </c>
      <c r="K529" s="1">
        <f t="shared" ref="K529" si="562">(IF(F529="SELL",G529-H529,IF(F529="BUY",H529-G529)))*E529</f>
        <v>2500</v>
      </c>
      <c r="L529" s="43">
        <v>0</v>
      </c>
      <c r="M529" s="43">
        <v>0</v>
      </c>
      <c r="N529" s="1">
        <f t="shared" si="529"/>
        <v>2.5</v>
      </c>
      <c r="O529" s="1">
        <f t="shared" si="530"/>
        <v>2500</v>
      </c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</row>
    <row r="530" spans="1:33" s="32" customFormat="1" ht="15" customHeight="1">
      <c r="A530" s="37">
        <v>43815</v>
      </c>
      <c r="B530" s="20" t="s">
        <v>122</v>
      </c>
      <c r="C530" s="20" t="s">
        <v>47</v>
      </c>
      <c r="D530" s="20">
        <v>2360</v>
      </c>
      <c r="E530" s="38">
        <v>250</v>
      </c>
      <c r="F530" s="20" t="s">
        <v>8</v>
      </c>
      <c r="G530" s="43">
        <v>39</v>
      </c>
      <c r="H530" s="43">
        <v>47</v>
      </c>
      <c r="I530" s="43">
        <v>0</v>
      </c>
      <c r="J530" s="43">
        <v>0</v>
      </c>
      <c r="K530" s="1">
        <f t="shared" ref="K530" si="563">(IF(F530="SELL",G530-H530,IF(F530="BUY",H530-G530)))*E530</f>
        <v>2000</v>
      </c>
      <c r="L530" s="43">
        <v>0</v>
      </c>
      <c r="M530" s="43">
        <v>0</v>
      </c>
      <c r="N530" s="1">
        <f t="shared" si="529"/>
        <v>8</v>
      </c>
      <c r="O530" s="1">
        <f t="shared" si="530"/>
        <v>2000</v>
      </c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</row>
    <row r="531" spans="1:33" s="32" customFormat="1" ht="15" customHeight="1">
      <c r="A531" s="37">
        <v>43812</v>
      </c>
      <c r="B531" s="20" t="s">
        <v>190</v>
      </c>
      <c r="C531" s="20" t="s">
        <v>47</v>
      </c>
      <c r="D531" s="20">
        <v>1740</v>
      </c>
      <c r="E531" s="38">
        <v>550</v>
      </c>
      <c r="F531" s="20" t="s">
        <v>8</v>
      </c>
      <c r="G531" s="43">
        <v>30</v>
      </c>
      <c r="H531" s="43">
        <v>26</v>
      </c>
      <c r="I531" s="43">
        <v>0</v>
      </c>
      <c r="J531" s="43">
        <v>0</v>
      </c>
      <c r="K531" s="1">
        <f t="shared" ref="K531" si="564">(IF(F531="SELL",G531-H531,IF(F531="BUY",H531-G531)))*E531</f>
        <v>-2200</v>
      </c>
      <c r="L531" s="43">
        <v>0</v>
      </c>
      <c r="M531" s="43">
        <v>0</v>
      </c>
      <c r="N531" s="1">
        <f t="shared" si="529"/>
        <v>-4</v>
      </c>
      <c r="O531" s="1">
        <f t="shared" si="530"/>
        <v>-2200</v>
      </c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</row>
    <row r="532" spans="1:33" s="32" customFormat="1" ht="15" customHeight="1">
      <c r="A532" s="37">
        <v>43812</v>
      </c>
      <c r="B532" s="20" t="s">
        <v>190</v>
      </c>
      <c r="C532" s="20" t="s">
        <v>47</v>
      </c>
      <c r="D532" s="20">
        <v>730</v>
      </c>
      <c r="E532" s="38">
        <v>1200</v>
      </c>
      <c r="F532" s="20" t="s">
        <v>8</v>
      </c>
      <c r="G532" s="43">
        <v>13</v>
      </c>
      <c r="H532" s="43">
        <v>14</v>
      </c>
      <c r="I532" s="43">
        <v>0</v>
      </c>
      <c r="J532" s="43">
        <v>0</v>
      </c>
      <c r="K532" s="1">
        <f t="shared" ref="K532" si="565">(IF(F532="SELL",G532-H532,IF(F532="BUY",H532-G532)))*E532</f>
        <v>1200</v>
      </c>
      <c r="L532" s="43">
        <v>0</v>
      </c>
      <c r="M532" s="43">
        <v>0</v>
      </c>
      <c r="N532" s="1">
        <f t="shared" si="529"/>
        <v>1</v>
      </c>
      <c r="O532" s="1">
        <f t="shared" si="530"/>
        <v>1200</v>
      </c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</row>
    <row r="533" spans="1:33" s="32" customFormat="1" ht="15" customHeight="1">
      <c r="A533" s="37">
        <v>43812</v>
      </c>
      <c r="B533" s="20" t="s">
        <v>470</v>
      </c>
      <c r="C533" s="20" t="s">
        <v>47</v>
      </c>
      <c r="D533" s="20">
        <v>235</v>
      </c>
      <c r="E533" s="38">
        <v>2800</v>
      </c>
      <c r="F533" s="20" t="s">
        <v>8</v>
      </c>
      <c r="G533" s="43">
        <v>6</v>
      </c>
      <c r="H533" s="43">
        <v>6.8</v>
      </c>
      <c r="I533" s="43">
        <v>0</v>
      </c>
      <c r="J533" s="43">
        <v>0</v>
      </c>
      <c r="K533" s="1">
        <f t="shared" ref="K533" si="566">(IF(F533="SELL",G533-H533,IF(F533="BUY",H533-G533)))*E533</f>
        <v>2239.9999999999995</v>
      </c>
      <c r="L533" s="43">
        <v>0</v>
      </c>
      <c r="M533" s="43">
        <v>0</v>
      </c>
      <c r="N533" s="1">
        <f t="shared" si="529"/>
        <v>0.79999999999999982</v>
      </c>
      <c r="O533" s="1">
        <f t="shared" si="530"/>
        <v>2239.9999999999995</v>
      </c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</row>
    <row r="534" spans="1:33" s="32" customFormat="1" ht="15" customHeight="1">
      <c r="A534" s="37">
        <v>43811</v>
      </c>
      <c r="B534" s="20" t="s">
        <v>17</v>
      </c>
      <c r="C534" s="20" t="s">
        <v>47</v>
      </c>
      <c r="D534" s="20">
        <v>730</v>
      </c>
      <c r="E534" s="38">
        <v>1200</v>
      </c>
      <c r="F534" s="20" t="s">
        <v>8</v>
      </c>
      <c r="G534" s="43">
        <v>13</v>
      </c>
      <c r="H534" s="43">
        <v>14</v>
      </c>
      <c r="I534" s="43">
        <v>0</v>
      </c>
      <c r="J534" s="43">
        <v>0</v>
      </c>
      <c r="K534" s="1">
        <f t="shared" ref="K534" si="567">(IF(F534="SELL",G534-H534,IF(F534="BUY",H534-G534)))*E534</f>
        <v>1200</v>
      </c>
      <c r="L534" s="43">
        <v>0</v>
      </c>
      <c r="M534" s="43">
        <v>0</v>
      </c>
      <c r="N534" s="1">
        <f t="shared" si="529"/>
        <v>1</v>
      </c>
      <c r="O534" s="1">
        <f t="shared" si="530"/>
        <v>1200</v>
      </c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</row>
    <row r="535" spans="1:33" s="32" customFormat="1" ht="15" customHeight="1">
      <c r="A535" s="37">
        <v>43811</v>
      </c>
      <c r="B535" s="20" t="s">
        <v>208</v>
      </c>
      <c r="C535" s="20" t="s">
        <v>47</v>
      </c>
      <c r="D535" s="20">
        <v>1900</v>
      </c>
      <c r="E535" s="38">
        <v>550</v>
      </c>
      <c r="F535" s="20" t="s">
        <v>8</v>
      </c>
      <c r="G535" s="43">
        <v>19.5</v>
      </c>
      <c r="H535" s="43">
        <v>22.5</v>
      </c>
      <c r="I535" s="43">
        <v>0</v>
      </c>
      <c r="J535" s="43">
        <v>0</v>
      </c>
      <c r="K535" s="1">
        <f t="shared" ref="K535" si="568">(IF(F535="SELL",G535-H535,IF(F535="BUY",H535-G535)))*E535</f>
        <v>1650</v>
      </c>
      <c r="L535" s="43">
        <v>0</v>
      </c>
      <c r="M535" s="43">
        <v>0</v>
      </c>
      <c r="N535" s="1">
        <f t="shared" si="529"/>
        <v>3</v>
      </c>
      <c r="O535" s="1">
        <f t="shared" si="530"/>
        <v>1650</v>
      </c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</row>
    <row r="536" spans="1:33" s="32" customFormat="1" ht="15" customHeight="1">
      <c r="A536" s="37">
        <v>43811</v>
      </c>
      <c r="B536" s="20" t="s">
        <v>469</v>
      </c>
      <c r="C536" s="20" t="s">
        <v>46</v>
      </c>
      <c r="D536" s="20">
        <v>460</v>
      </c>
      <c r="E536" s="38">
        <v>1000</v>
      </c>
      <c r="F536" s="20" t="s">
        <v>8</v>
      </c>
      <c r="G536" s="43">
        <v>15</v>
      </c>
      <c r="H536" s="43">
        <v>12.5</v>
      </c>
      <c r="I536" s="43">
        <v>0</v>
      </c>
      <c r="J536" s="43">
        <v>0</v>
      </c>
      <c r="K536" s="1">
        <f t="shared" ref="K536" si="569">(IF(F536="SELL",G536-H536,IF(F536="BUY",H536-G536)))*E536</f>
        <v>-2500</v>
      </c>
      <c r="L536" s="43">
        <v>0</v>
      </c>
      <c r="M536" s="43">
        <v>0</v>
      </c>
      <c r="N536" s="1">
        <f t="shared" si="529"/>
        <v>-2.5</v>
      </c>
      <c r="O536" s="1">
        <f t="shared" si="530"/>
        <v>-2500</v>
      </c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</row>
    <row r="537" spans="1:33" s="32" customFormat="1" ht="15" customHeight="1">
      <c r="A537" s="37">
        <v>43810</v>
      </c>
      <c r="B537" s="20" t="s">
        <v>190</v>
      </c>
      <c r="C537" s="20" t="s">
        <v>47</v>
      </c>
      <c r="D537" s="20">
        <v>1720</v>
      </c>
      <c r="E537" s="38">
        <v>550</v>
      </c>
      <c r="F537" s="20" t="s">
        <v>8</v>
      </c>
      <c r="G537" s="43">
        <v>40</v>
      </c>
      <c r="H537" s="43">
        <v>35</v>
      </c>
      <c r="I537" s="43">
        <v>0</v>
      </c>
      <c r="J537" s="43">
        <v>0</v>
      </c>
      <c r="K537" s="1">
        <f t="shared" ref="K537" si="570">(IF(F537="SELL",G537-H537,IF(F537="BUY",H537-G537)))*E537</f>
        <v>-2750</v>
      </c>
      <c r="L537" s="43">
        <v>0</v>
      </c>
      <c r="M537" s="43">
        <v>0</v>
      </c>
      <c r="N537" s="1">
        <f t="shared" si="529"/>
        <v>-5</v>
      </c>
      <c r="O537" s="1">
        <f t="shared" si="530"/>
        <v>-2750</v>
      </c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</row>
    <row r="538" spans="1:33" s="32" customFormat="1" ht="15" customHeight="1">
      <c r="A538" s="37">
        <v>43810</v>
      </c>
      <c r="B538" s="20" t="s">
        <v>128</v>
      </c>
      <c r="C538" s="20" t="s">
        <v>47</v>
      </c>
      <c r="D538" s="20">
        <v>1680</v>
      </c>
      <c r="E538" s="38">
        <v>400</v>
      </c>
      <c r="F538" s="20" t="s">
        <v>8</v>
      </c>
      <c r="G538" s="43">
        <v>30.5</v>
      </c>
      <c r="H538" s="43">
        <v>35.5</v>
      </c>
      <c r="I538" s="43">
        <v>0</v>
      </c>
      <c r="J538" s="43">
        <v>0</v>
      </c>
      <c r="K538" s="1">
        <f t="shared" ref="K538" si="571">(IF(F538="SELL",G538-H538,IF(F538="BUY",H538-G538)))*E538</f>
        <v>2000</v>
      </c>
      <c r="L538" s="43">
        <v>0</v>
      </c>
      <c r="M538" s="43">
        <v>0</v>
      </c>
      <c r="N538" s="1">
        <f t="shared" si="529"/>
        <v>5</v>
      </c>
      <c r="O538" s="1">
        <f t="shared" si="530"/>
        <v>2000</v>
      </c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</row>
    <row r="539" spans="1:33" s="32" customFormat="1" ht="15" customHeight="1">
      <c r="A539" s="37">
        <v>43810</v>
      </c>
      <c r="B539" s="20" t="s">
        <v>414</v>
      </c>
      <c r="C539" s="20" t="s">
        <v>46</v>
      </c>
      <c r="D539" s="20">
        <v>40</v>
      </c>
      <c r="E539" s="38">
        <v>2200</v>
      </c>
      <c r="F539" s="20" t="s">
        <v>8</v>
      </c>
      <c r="G539" s="43">
        <v>4.3</v>
      </c>
      <c r="H539" s="43">
        <v>5.3</v>
      </c>
      <c r="I539" s="43">
        <v>6.3</v>
      </c>
      <c r="J539" s="43">
        <v>7.3</v>
      </c>
      <c r="K539" s="1">
        <f t="shared" ref="K539" si="572">(IF(F539="SELL",G539-H539,IF(F539="BUY",H539-G539)))*E539</f>
        <v>2200</v>
      </c>
      <c r="L539" s="43">
        <f>E539*1</f>
        <v>2200</v>
      </c>
      <c r="M539" s="43">
        <f>E539*1</f>
        <v>2200</v>
      </c>
      <c r="N539" s="1">
        <f t="shared" si="529"/>
        <v>3</v>
      </c>
      <c r="O539" s="1">
        <f t="shared" si="530"/>
        <v>6600</v>
      </c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</row>
    <row r="540" spans="1:33" s="32" customFormat="1" ht="15" customHeight="1">
      <c r="A540" s="37">
        <v>43809</v>
      </c>
      <c r="B540" s="20" t="s">
        <v>77</v>
      </c>
      <c r="C540" s="20" t="s">
        <v>46</v>
      </c>
      <c r="D540" s="20">
        <v>115</v>
      </c>
      <c r="E540" s="38">
        <v>5334</v>
      </c>
      <c r="F540" s="20" t="s">
        <v>8</v>
      </c>
      <c r="G540" s="43">
        <v>3.4</v>
      </c>
      <c r="H540" s="43">
        <v>3.9</v>
      </c>
      <c r="I540" s="43">
        <v>4.5</v>
      </c>
      <c r="J540" s="43">
        <v>5.2</v>
      </c>
      <c r="K540" s="1">
        <f t="shared" ref="K540" si="573">(IF(F540="SELL",G540-H540,IF(F540="BUY",H540-G540)))*E540</f>
        <v>2667</v>
      </c>
      <c r="L540" s="43">
        <f>E540*0.6</f>
        <v>3200.4</v>
      </c>
      <c r="M540" s="43">
        <f>E540*0.7</f>
        <v>3733.7999999999997</v>
      </c>
      <c r="N540" s="1">
        <f t="shared" si="529"/>
        <v>1.7999999999999998</v>
      </c>
      <c r="O540" s="1">
        <f t="shared" si="530"/>
        <v>9601.1999999999989</v>
      </c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</row>
    <row r="541" spans="1:33" s="32" customFormat="1" ht="15" customHeight="1">
      <c r="A541" s="37">
        <v>43809</v>
      </c>
      <c r="B541" s="20" t="s">
        <v>122</v>
      </c>
      <c r="C541" s="20" t="s">
        <v>47</v>
      </c>
      <c r="D541" s="20">
        <v>2280</v>
      </c>
      <c r="E541" s="38">
        <v>250</v>
      </c>
      <c r="F541" s="20" t="s">
        <v>8</v>
      </c>
      <c r="G541" s="43">
        <v>72</v>
      </c>
      <c r="H541" s="43">
        <v>62</v>
      </c>
      <c r="I541" s="43">
        <v>0</v>
      </c>
      <c r="J541" s="43">
        <v>0</v>
      </c>
      <c r="K541" s="1">
        <f t="shared" ref="K541" si="574">(IF(F541="SELL",G541-H541,IF(F541="BUY",H541-G541)))*E541</f>
        <v>-2500</v>
      </c>
      <c r="L541" s="43">
        <v>0</v>
      </c>
      <c r="M541" s="43">
        <v>0</v>
      </c>
      <c r="N541" s="1">
        <f t="shared" si="529"/>
        <v>-10</v>
      </c>
      <c r="O541" s="1">
        <f t="shared" si="530"/>
        <v>-2500</v>
      </c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</row>
    <row r="542" spans="1:33" s="32" customFormat="1" ht="15" customHeight="1">
      <c r="A542" s="37">
        <v>43808</v>
      </c>
      <c r="B542" s="20" t="s">
        <v>402</v>
      </c>
      <c r="C542" s="20" t="s">
        <v>47</v>
      </c>
      <c r="D542" s="20">
        <v>1580</v>
      </c>
      <c r="E542" s="38">
        <v>500</v>
      </c>
      <c r="F542" s="20" t="s">
        <v>8</v>
      </c>
      <c r="G542" s="43">
        <v>31</v>
      </c>
      <c r="H542" s="43">
        <v>32</v>
      </c>
      <c r="I542" s="43">
        <v>0</v>
      </c>
      <c r="J542" s="43">
        <v>0</v>
      </c>
      <c r="K542" s="1">
        <f t="shared" ref="K542:K543" si="575">(IF(F542="SELL",G542-H542,IF(F542="BUY",H542-G542)))*E542</f>
        <v>500</v>
      </c>
      <c r="L542" s="43">
        <v>0</v>
      </c>
      <c r="M542" s="43">
        <v>0</v>
      </c>
      <c r="N542" s="1">
        <f t="shared" si="529"/>
        <v>1</v>
      </c>
      <c r="O542" s="1">
        <f t="shared" si="530"/>
        <v>500</v>
      </c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</row>
    <row r="543" spans="1:33" s="32" customFormat="1" ht="15" customHeight="1">
      <c r="A543" s="37">
        <v>43808</v>
      </c>
      <c r="B543" s="20" t="s">
        <v>128</v>
      </c>
      <c r="C543" s="20" t="s">
        <v>47</v>
      </c>
      <c r="D543" s="20">
        <v>1680</v>
      </c>
      <c r="E543" s="38">
        <v>400</v>
      </c>
      <c r="F543" s="20" t="s">
        <v>8</v>
      </c>
      <c r="G543" s="43">
        <v>34</v>
      </c>
      <c r="H543" s="43">
        <v>27.5</v>
      </c>
      <c r="I543" s="43">
        <v>0</v>
      </c>
      <c r="J543" s="43">
        <v>0</v>
      </c>
      <c r="K543" s="1">
        <f t="shared" si="575"/>
        <v>-2600</v>
      </c>
      <c r="L543" s="43">
        <v>0</v>
      </c>
      <c r="M543" s="43">
        <v>0</v>
      </c>
      <c r="N543" s="1">
        <f t="shared" si="529"/>
        <v>-6.5</v>
      </c>
      <c r="O543" s="1">
        <f t="shared" si="530"/>
        <v>-2600</v>
      </c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</row>
    <row r="544" spans="1:33" s="32" customFormat="1" ht="15" customHeight="1">
      <c r="A544" s="37">
        <v>43808</v>
      </c>
      <c r="B544" s="20" t="s">
        <v>100</v>
      </c>
      <c r="C544" s="20" t="s">
        <v>47</v>
      </c>
      <c r="D544" s="20">
        <v>3300</v>
      </c>
      <c r="E544" s="38">
        <v>250</v>
      </c>
      <c r="F544" s="20" t="s">
        <v>8</v>
      </c>
      <c r="G544" s="43">
        <v>76</v>
      </c>
      <c r="H544" s="43">
        <v>66</v>
      </c>
      <c r="I544" s="43">
        <v>0</v>
      </c>
      <c r="J544" s="43">
        <v>0</v>
      </c>
      <c r="K544" s="1">
        <f t="shared" ref="K544" si="576">(IF(F544="SELL",G544-H544,IF(F544="BUY",H544-G544)))*E544</f>
        <v>-2500</v>
      </c>
      <c r="L544" s="43">
        <v>0</v>
      </c>
      <c r="M544" s="43">
        <v>0</v>
      </c>
      <c r="N544" s="1">
        <f t="shared" si="529"/>
        <v>-10</v>
      </c>
      <c r="O544" s="1">
        <f t="shared" si="530"/>
        <v>-2500</v>
      </c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</row>
    <row r="545" spans="1:33" s="32" customFormat="1" ht="15" customHeight="1">
      <c r="A545" s="37">
        <v>43805</v>
      </c>
      <c r="B545" s="20" t="s">
        <v>128</v>
      </c>
      <c r="C545" s="20" t="s">
        <v>47</v>
      </c>
      <c r="D545" s="20">
        <v>1660</v>
      </c>
      <c r="E545" s="38">
        <v>400</v>
      </c>
      <c r="F545" s="20" t="s">
        <v>8</v>
      </c>
      <c r="G545" s="43">
        <v>37</v>
      </c>
      <c r="H545" s="43">
        <v>42</v>
      </c>
      <c r="I545" s="43">
        <v>46</v>
      </c>
      <c r="J545" s="43">
        <v>0</v>
      </c>
      <c r="K545" s="1">
        <f t="shared" ref="K545" si="577">(IF(F545="SELL",G545-H545,IF(F545="BUY",H545-G545)))*E545</f>
        <v>2000</v>
      </c>
      <c r="L545" s="43">
        <f>E545*4</f>
        <v>1600</v>
      </c>
      <c r="M545" s="43">
        <v>0</v>
      </c>
      <c r="N545" s="1">
        <f t="shared" si="529"/>
        <v>9</v>
      </c>
      <c r="O545" s="1">
        <f t="shared" si="530"/>
        <v>3600</v>
      </c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</row>
    <row r="546" spans="1:33" s="32" customFormat="1" ht="15" customHeight="1">
      <c r="A546" s="37">
        <v>43805</v>
      </c>
      <c r="B546" s="20" t="s">
        <v>38</v>
      </c>
      <c r="C546" s="20" t="s">
        <v>46</v>
      </c>
      <c r="D546" s="20">
        <v>7100</v>
      </c>
      <c r="E546" s="38">
        <v>75</v>
      </c>
      <c r="F546" s="20" t="s">
        <v>8</v>
      </c>
      <c r="G546" s="43">
        <v>225</v>
      </c>
      <c r="H546" s="43">
        <v>255</v>
      </c>
      <c r="I546" s="43">
        <v>290</v>
      </c>
      <c r="J546" s="43">
        <v>0</v>
      </c>
      <c r="K546" s="1">
        <f t="shared" ref="K546" si="578">(IF(F546="SELL",G546-H546,IF(F546="BUY",H546-G546)))*E546</f>
        <v>2250</v>
      </c>
      <c r="L546" s="43">
        <f>E546*35</f>
        <v>2625</v>
      </c>
      <c r="M546" s="43">
        <v>0</v>
      </c>
      <c r="N546" s="1">
        <f t="shared" si="529"/>
        <v>65</v>
      </c>
      <c r="O546" s="1">
        <f t="shared" si="530"/>
        <v>4875</v>
      </c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</row>
    <row r="547" spans="1:33" s="32" customFormat="1" ht="15" customHeight="1">
      <c r="A547" s="37">
        <v>43804</v>
      </c>
      <c r="B547" s="20" t="s">
        <v>461</v>
      </c>
      <c r="C547" s="20" t="s">
        <v>47</v>
      </c>
      <c r="D547" s="20">
        <v>3300</v>
      </c>
      <c r="E547" s="38">
        <v>250</v>
      </c>
      <c r="F547" s="20" t="s">
        <v>8</v>
      </c>
      <c r="G547" s="43">
        <v>49</v>
      </c>
      <c r="H547" s="43">
        <v>56</v>
      </c>
      <c r="I547" s="43">
        <v>0</v>
      </c>
      <c r="J547" s="43">
        <v>0</v>
      </c>
      <c r="K547" s="1">
        <f t="shared" ref="K547" si="579">(IF(F547="SELL",G547-H547,IF(F547="BUY",H547-G547)))*E547</f>
        <v>1750</v>
      </c>
      <c r="L547" s="43">
        <v>0</v>
      </c>
      <c r="M547" s="43">
        <v>0</v>
      </c>
      <c r="N547" s="1">
        <f t="shared" si="529"/>
        <v>7</v>
      </c>
      <c r="O547" s="1">
        <f t="shared" si="530"/>
        <v>1750</v>
      </c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</row>
    <row r="548" spans="1:33" s="32" customFormat="1" ht="15" customHeight="1">
      <c r="A548" s="37">
        <v>43804</v>
      </c>
      <c r="B548" s="20" t="s">
        <v>266</v>
      </c>
      <c r="C548" s="20" t="s">
        <v>47</v>
      </c>
      <c r="D548" s="20">
        <v>820</v>
      </c>
      <c r="E548" s="38">
        <v>600</v>
      </c>
      <c r="F548" s="20" t="s">
        <v>8</v>
      </c>
      <c r="G548" s="43">
        <v>30</v>
      </c>
      <c r="H548" s="43">
        <v>33.5</v>
      </c>
      <c r="I548" s="43">
        <v>37</v>
      </c>
      <c r="J548" s="43">
        <v>42</v>
      </c>
      <c r="K548" s="1">
        <f t="shared" ref="K548" si="580">(IF(F548="SELL",G548-H548,IF(F548="BUY",H548-G548)))*E548</f>
        <v>2100</v>
      </c>
      <c r="L548" s="43">
        <f>E548*3.5</f>
        <v>2100</v>
      </c>
      <c r="M548" s="43">
        <f>E548*5</f>
        <v>3000</v>
      </c>
      <c r="N548" s="1">
        <f t="shared" si="529"/>
        <v>12</v>
      </c>
      <c r="O548" s="1">
        <f t="shared" si="530"/>
        <v>7200</v>
      </c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</row>
    <row r="549" spans="1:33" s="32" customFormat="1" ht="15" customHeight="1">
      <c r="A549" s="37">
        <v>43804</v>
      </c>
      <c r="B549" s="20" t="s">
        <v>406</v>
      </c>
      <c r="C549" s="20" t="s">
        <v>47</v>
      </c>
      <c r="D549" s="20">
        <v>10.7</v>
      </c>
      <c r="E549" s="38">
        <v>1250</v>
      </c>
      <c r="F549" s="20" t="s">
        <v>8</v>
      </c>
      <c r="G549" s="43">
        <v>10.7</v>
      </c>
      <c r="H549" s="43">
        <v>12.2</v>
      </c>
      <c r="I549" s="43">
        <v>13.5</v>
      </c>
      <c r="J549" s="43">
        <v>0</v>
      </c>
      <c r="K549" s="1">
        <f t="shared" ref="K549:K550" si="581">(IF(F549="SELL",G549-H549,IF(F549="BUY",H549-G549)))*E549</f>
        <v>1875</v>
      </c>
      <c r="L549" s="43">
        <f>E549*1.3</f>
        <v>1625</v>
      </c>
      <c r="M549" s="43">
        <v>0</v>
      </c>
      <c r="N549" s="1">
        <f t="shared" si="529"/>
        <v>2.8</v>
      </c>
      <c r="O549" s="1">
        <f t="shared" si="530"/>
        <v>3500</v>
      </c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</row>
    <row r="550" spans="1:33" s="32" customFormat="1" ht="15" customHeight="1">
      <c r="A550" s="37">
        <v>43803</v>
      </c>
      <c r="B550" s="20" t="s">
        <v>190</v>
      </c>
      <c r="C550" s="20" t="s">
        <v>47</v>
      </c>
      <c r="D550" s="20">
        <v>1700</v>
      </c>
      <c r="E550" s="38">
        <v>550</v>
      </c>
      <c r="F550" s="20" t="s">
        <v>8</v>
      </c>
      <c r="G550" s="43">
        <v>39</v>
      </c>
      <c r="H550" s="43">
        <v>33</v>
      </c>
      <c r="I550" s="43">
        <v>0</v>
      </c>
      <c r="J550" s="43">
        <v>0</v>
      </c>
      <c r="K550" s="1">
        <f t="shared" si="581"/>
        <v>-3300</v>
      </c>
      <c r="L550" s="43">
        <v>0</v>
      </c>
      <c r="M550" s="43">
        <v>0</v>
      </c>
      <c r="N550" s="1">
        <f t="shared" si="529"/>
        <v>-6</v>
      </c>
      <c r="O550" s="1">
        <f t="shared" si="530"/>
        <v>-3300</v>
      </c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</row>
    <row r="551" spans="1:33" s="32" customFormat="1" ht="15" customHeight="1">
      <c r="A551" s="37">
        <v>43803</v>
      </c>
      <c r="B551" s="20" t="s">
        <v>411</v>
      </c>
      <c r="C551" s="20" t="s">
        <v>47</v>
      </c>
      <c r="D551" s="20">
        <v>65</v>
      </c>
      <c r="E551" s="38">
        <v>2200</v>
      </c>
      <c r="F551" s="20" t="s">
        <v>8</v>
      </c>
      <c r="G551" s="43">
        <v>5.7</v>
      </c>
      <c r="H551" s="43">
        <v>6.1</v>
      </c>
      <c r="I551" s="43">
        <v>0</v>
      </c>
      <c r="J551" s="43">
        <v>0</v>
      </c>
      <c r="K551" s="1">
        <f t="shared" ref="K551" si="582">(IF(F551="SELL",G551-H551,IF(F551="BUY",H551-G551)))*E551</f>
        <v>879.99999999999886</v>
      </c>
      <c r="L551" s="43">
        <v>0</v>
      </c>
      <c r="M551" s="43">
        <v>0</v>
      </c>
      <c r="N551" s="1">
        <f t="shared" si="529"/>
        <v>0.39999999999999947</v>
      </c>
      <c r="O551" s="1">
        <f t="shared" si="530"/>
        <v>879.99999999999886</v>
      </c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</row>
    <row r="552" spans="1:33" s="32" customFormat="1" ht="15" customHeight="1">
      <c r="A552" s="37">
        <v>43802</v>
      </c>
      <c r="B552" s="20" t="s">
        <v>461</v>
      </c>
      <c r="C552" s="20" t="s">
        <v>47</v>
      </c>
      <c r="D552" s="20">
        <v>3250</v>
      </c>
      <c r="E552" s="38">
        <v>250</v>
      </c>
      <c r="F552" s="20" t="s">
        <v>8</v>
      </c>
      <c r="G552" s="43">
        <v>70</v>
      </c>
      <c r="H552" s="43">
        <v>77</v>
      </c>
      <c r="I552" s="43">
        <v>87</v>
      </c>
      <c r="J552" s="43">
        <v>97</v>
      </c>
      <c r="K552" s="1">
        <f t="shared" ref="K552" si="583">(IF(F552="SELL",G552-H552,IF(F552="BUY",H552-G552)))*E552</f>
        <v>1750</v>
      </c>
      <c r="L552" s="43">
        <f>E552*10</f>
        <v>2500</v>
      </c>
      <c r="M552" s="43">
        <f>E552*10</f>
        <v>2500</v>
      </c>
      <c r="N552" s="1">
        <f t="shared" si="529"/>
        <v>27</v>
      </c>
      <c r="O552" s="1">
        <f t="shared" si="530"/>
        <v>6750</v>
      </c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</row>
    <row r="553" spans="1:33" s="32" customFormat="1" ht="15" customHeight="1">
      <c r="A553" s="37">
        <v>43802</v>
      </c>
      <c r="B553" s="20" t="s">
        <v>26</v>
      </c>
      <c r="C553" s="20" t="s">
        <v>46</v>
      </c>
      <c r="D553" s="20">
        <v>400</v>
      </c>
      <c r="E553" s="38">
        <v>1061</v>
      </c>
      <c r="F553" s="20" t="s">
        <v>8</v>
      </c>
      <c r="G553" s="43">
        <v>13</v>
      </c>
      <c r="H553" s="43">
        <v>16</v>
      </c>
      <c r="I553" s="43">
        <v>0</v>
      </c>
      <c r="J553" s="43">
        <v>0</v>
      </c>
      <c r="K553" s="1">
        <f t="shared" ref="K553" si="584">(IF(F553="SELL",G553-H553,IF(F553="BUY",H553-G553)))*E553</f>
        <v>3183</v>
      </c>
      <c r="L553" s="43">
        <v>0</v>
      </c>
      <c r="M553" s="43">
        <v>0</v>
      </c>
      <c r="N553" s="1">
        <f t="shared" si="529"/>
        <v>3</v>
      </c>
      <c r="O553" s="1">
        <f t="shared" si="530"/>
        <v>3183</v>
      </c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</row>
    <row r="554" spans="1:33" s="32" customFormat="1" ht="15" customHeight="1">
      <c r="A554" s="37">
        <v>43801</v>
      </c>
      <c r="B554" s="20" t="s">
        <v>15</v>
      </c>
      <c r="C554" s="20" t="s">
        <v>47</v>
      </c>
      <c r="D554" s="20">
        <v>480</v>
      </c>
      <c r="E554" s="38">
        <v>1100</v>
      </c>
      <c r="F554" s="20" t="s">
        <v>8</v>
      </c>
      <c r="G554" s="43">
        <v>14</v>
      </c>
      <c r="H554" s="43">
        <v>11</v>
      </c>
      <c r="I554" s="43">
        <v>0</v>
      </c>
      <c r="J554" s="43">
        <v>0</v>
      </c>
      <c r="K554" s="1">
        <f t="shared" ref="K554" si="585">(IF(F554="SELL",G554-H554,IF(F554="BUY",H554-G554)))*E554</f>
        <v>-3300</v>
      </c>
      <c r="L554" s="43">
        <v>0</v>
      </c>
      <c r="M554" s="43">
        <v>0</v>
      </c>
      <c r="N554" s="1">
        <f t="shared" si="529"/>
        <v>-3</v>
      </c>
      <c r="O554" s="1">
        <f t="shared" si="530"/>
        <v>-3300</v>
      </c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</row>
    <row r="555" spans="1:33" s="32" customFormat="1" ht="15" customHeight="1">
      <c r="A555" s="37">
        <v>43801</v>
      </c>
      <c r="B555" s="20" t="s">
        <v>413</v>
      </c>
      <c r="C555" s="20" t="s">
        <v>47</v>
      </c>
      <c r="D555" s="20">
        <v>350</v>
      </c>
      <c r="E555" s="38">
        <v>800</v>
      </c>
      <c r="F555" s="20" t="s">
        <v>8</v>
      </c>
      <c r="G555" s="43">
        <v>19.5</v>
      </c>
      <c r="H555" s="43">
        <v>22</v>
      </c>
      <c r="I555" s="43">
        <v>0</v>
      </c>
      <c r="J555" s="43">
        <v>0</v>
      </c>
      <c r="K555" s="1">
        <f t="shared" ref="K555" si="586">(IF(F555="SELL",G555-H555,IF(F555="BUY",H555-G555)))*E555</f>
        <v>2000</v>
      </c>
      <c r="L555" s="43">
        <v>0</v>
      </c>
      <c r="M555" s="43">
        <v>0</v>
      </c>
      <c r="N555" s="1">
        <f t="shared" si="529"/>
        <v>2.5</v>
      </c>
      <c r="O555" s="1">
        <f t="shared" si="530"/>
        <v>2000</v>
      </c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</row>
    <row r="556" spans="1:33" s="32" customFormat="1" ht="15" customHeight="1">
      <c r="A556" s="37">
        <v>43798</v>
      </c>
      <c r="B556" s="20" t="s">
        <v>16</v>
      </c>
      <c r="C556" s="20" t="s">
        <v>47</v>
      </c>
      <c r="D556" s="20">
        <v>220</v>
      </c>
      <c r="E556" s="38">
        <v>2500</v>
      </c>
      <c r="F556" s="20" t="s">
        <v>8</v>
      </c>
      <c r="G556" s="43">
        <v>15</v>
      </c>
      <c r="H556" s="43">
        <v>16</v>
      </c>
      <c r="I556" s="43">
        <v>18</v>
      </c>
      <c r="J556" s="43">
        <v>19</v>
      </c>
      <c r="K556" s="1">
        <f t="shared" ref="K556" si="587">(IF(F556="SELL",G556-H556,IF(F556="BUY",H556-G556)))*E556</f>
        <v>2500</v>
      </c>
      <c r="L556" s="43">
        <f>E556*2</f>
        <v>5000</v>
      </c>
      <c r="M556" s="43">
        <f>E556*1</f>
        <v>2500</v>
      </c>
      <c r="N556" s="1">
        <f t="shared" si="529"/>
        <v>4</v>
      </c>
      <c r="O556" s="1">
        <f t="shared" si="530"/>
        <v>10000</v>
      </c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</row>
    <row r="557" spans="1:33" s="32" customFormat="1" ht="15" customHeight="1">
      <c r="A557" s="37">
        <v>43798</v>
      </c>
      <c r="B557" s="20" t="s">
        <v>116</v>
      </c>
      <c r="C557" s="20" t="s">
        <v>47</v>
      </c>
      <c r="D557" s="20">
        <v>220</v>
      </c>
      <c r="E557" s="38">
        <v>4000</v>
      </c>
      <c r="F557" s="20" t="s">
        <v>8</v>
      </c>
      <c r="G557" s="43">
        <v>12</v>
      </c>
      <c r="H557" s="43">
        <v>13</v>
      </c>
      <c r="I557" s="43">
        <v>14.5</v>
      </c>
      <c r="J557" s="43">
        <v>0</v>
      </c>
      <c r="K557" s="1">
        <f t="shared" ref="K557" si="588">(IF(F557="SELL",G557-H557,IF(F557="BUY",H557-G557)))*E557</f>
        <v>4000</v>
      </c>
      <c r="L557" s="43">
        <f>E557*1.5</f>
        <v>6000</v>
      </c>
      <c r="M557" s="43">
        <v>0</v>
      </c>
      <c r="N557" s="1">
        <f t="shared" si="529"/>
        <v>2.5</v>
      </c>
      <c r="O557" s="1">
        <f t="shared" si="530"/>
        <v>10000</v>
      </c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</row>
    <row r="558" spans="1:33" s="32" customFormat="1" ht="15" customHeight="1">
      <c r="A558" s="37">
        <v>43798</v>
      </c>
      <c r="B558" s="20" t="s">
        <v>399</v>
      </c>
      <c r="C558" s="20" t="s">
        <v>47</v>
      </c>
      <c r="D558" s="20">
        <v>320</v>
      </c>
      <c r="E558" s="38">
        <v>2700</v>
      </c>
      <c r="F558" s="20" t="s">
        <v>8</v>
      </c>
      <c r="G558" s="43">
        <v>12</v>
      </c>
      <c r="H558" s="43">
        <v>10.5</v>
      </c>
      <c r="I558" s="43">
        <v>0</v>
      </c>
      <c r="J558" s="43">
        <v>0</v>
      </c>
      <c r="K558" s="1">
        <f t="shared" ref="K558" si="589">(IF(F558="SELL",G558-H558,IF(F558="BUY",H558-G558)))*E558</f>
        <v>-4050</v>
      </c>
      <c r="L558" s="43">
        <v>0</v>
      </c>
      <c r="M558" s="43">
        <v>0</v>
      </c>
      <c r="N558" s="1">
        <f t="shared" si="529"/>
        <v>-1.5</v>
      </c>
      <c r="O558" s="1">
        <f t="shared" si="530"/>
        <v>-4050</v>
      </c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</row>
    <row r="559" spans="1:33" s="32" customFormat="1" ht="15" customHeight="1">
      <c r="A559" s="37">
        <v>43797</v>
      </c>
      <c r="B559" s="20" t="s">
        <v>27</v>
      </c>
      <c r="C559" s="20" t="s">
        <v>47</v>
      </c>
      <c r="D559" s="20">
        <v>200</v>
      </c>
      <c r="E559" s="38">
        <v>2200</v>
      </c>
      <c r="F559" s="20" t="s">
        <v>8</v>
      </c>
      <c r="G559" s="43">
        <v>2.5</v>
      </c>
      <c r="H559" s="43">
        <v>3.5</v>
      </c>
      <c r="I559" s="43">
        <v>5</v>
      </c>
      <c r="J559" s="43">
        <v>6</v>
      </c>
      <c r="K559" s="1">
        <f t="shared" ref="K559" si="590">(IF(F559="SELL",G559-H559,IF(F559="BUY",H559-G559)))*E559</f>
        <v>2200</v>
      </c>
      <c r="L559" s="43">
        <f>E559*1.5</f>
        <v>3300</v>
      </c>
      <c r="M559" s="43">
        <f>E559*1</f>
        <v>2200</v>
      </c>
      <c r="N559" s="1">
        <f t="shared" si="529"/>
        <v>3.5</v>
      </c>
      <c r="O559" s="1">
        <f t="shared" si="530"/>
        <v>7700</v>
      </c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</row>
    <row r="560" spans="1:33" s="32" customFormat="1" ht="15" customHeight="1">
      <c r="A560" s="37">
        <v>43797</v>
      </c>
      <c r="B560" s="20" t="s">
        <v>28</v>
      </c>
      <c r="C560" s="20" t="s">
        <v>47</v>
      </c>
      <c r="D560" s="20">
        <v>440</v>
      </c>
      <c r="E560" s="38">
        <v>1851</v>
      </c>
      <c r="F560" s="20" t="s">
        <v>8</v>
      </c>
      <c r="G560" s="43">
        <v>4</v>
      </c>
      <c r="H560" s="43">
        <v>5.3</v>
      </c>
      <c r="I560" s="43">
        <v>0</v>
      </c>
      <c r="J560" s="43">
        <v>0</v>
      </c>
      <c r="K560" s="1">
        <f t="shared" ref="K560" si="591">(IF(F560="SELL",G560-H560,IF(F560="BUY",H560-G560)))*E560</f>
        <v>2406.2999999999997</v>
      </c>
      <c r="L560" s="43">
        <v>0</v>
      </c>
      <c r="M560" s="43">
        <v>0</v>
      </c>
      <c r="N560" s="1">
        <f t="shared" si="529"/>
        <v>1.2999999999999998</v>
      </c>
      <c r="O560" s="1">
        <f t="shared" si="530"/>
        <v>2406.2999999999997</v>
      </c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</row>
    <row r="561" spans="1:33" s="32" customFormat="1" ht="15" customHeight="1">
      <c r="A561" s="37">
        <v>43796</v>
      </c>
      <c r="B561" s="20" t="s">
        <v>417</v>
      </c>
      <c r="C561" s="20" t="s">
        <v>47</v>
      </c>
      <c r="D561" s="20">
        <v>350</v>
      </c>
      <c r="E561" s="38">
        <v>1000</v>
      </c>
      <c r="F561" s="20" t="s">
        <v>8</v>
      </c>
      <c r="G561" s="43">
        <v>8</v>
      </c>
      <c r="H561" s="43">
        <v>9.9499999999999993</v>
      </c>
      <c r="I561" s="43">
        <v>0</v>
      </c>
      <c r="J561" s="43">
        <v>0</v>
      </c>
      <c r="K561" s="1">
        <f t="shared" ref="K561" si="592">(IF(F561="SELL",G561-H561,IF(F561="BUY",H561-G561)))*E561</f>
        <v>1949.9999999999993</v>
      </c>
      <c r="L561" s="43">
        <v>0</v>
      </c>
      <c r="M561" s="43">
        <v>0</v>
      </c>
      <c r="N561" s="1">
        <f t="shared" ref="N561:N624" si="593">(L561+K561+M561)/E561</f>
        <v>1.9499999999999993</v>
      </c>
      <c r="O561" s="1">
        <f t="shared" ref="O561:O624" si="594">N561*E561</f>
        <v>1949.9999999999993</v>
      </c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</row>
    <row r="562" spans="1:33" s="32" customFormat="1" ht="15" customHeight="1">
      <c r="A562" s="37">
        <v>43796</v>
      </c>
      <c r="B562" s="20" t="s">
        <v>456</v>
      </c>
      <c r="C562" s="20" t="s">
        <v>47</v>
      </c>
      <c r="D562" s="20">
        <v>1600</v>
      </c>
      <c r="E562" s="38">
        <v>400</v>
      </c>
      <c r="F562" s="20" t="s">
        <v>8</v>
      </c>
      <c r="G562" s="43">
        <v>23</v>
      </c>
      <c r="H562" s="43">
        <v>24</v>
      </c>
      <c r="I562" s="43">
        <v>0</v>
      </c>
      <c r="J562" s="43">
        <v>0</v>
      </c>
      <c r="K562" s="1">
        <f t="shared" ref="K562" si="595">(IF(F562="SELL",G562-H562,IF(F562="BUY",H562-G562)))*E562</f>
        <v>400</v>
      </c>
      <c r="L562" s="43">
        <v>0</v>
      </c>
      <c r="M562" s="43">
        <v>0</v>
      </c>
      <c r="N562" s="1">
        <f t="shared" si="593"/>
        <v>1</v>
      </c>
      <c r="O562" s="1">
        <f t="shared" si="594"/>
        <v>400</v>
      </c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</row>
    <row r="563" spans="1:33" s="32" customFormat="1" ht="15" customHeight="1">
      <c r="A563" s="37">
        <v>43796</v>
      </c>
      <c r="B563" s="20" t="s">
        <v>94</v>
      </c>
      <c r="C563" s="20" t="s">
        <v>46</v>
      </c>
      <c r="D563" s="20">
        <v>1750</v>
      </c>
      <c r="E563" s="38">
        <v>302</v>
      </c>
      <c r="F563" s="20" t="s">
        <v>8</v>
      </c>
      <c r="G563" s="43">
        <v>19</v>
      </c>
      <c r="H563" s="43">
        <v>10</v>
      </c>
      <c r="I563" s="43">
        <v>0</v>
      </c>
      <c r="J563" s="43">
        <v>0</v>
      </c>
      <c r="K563" s="1">
        <f t="shared" ref="K563" si="596">(IF(F563="SELL",G563-H563,IF(F563="BUY",H563-G563)))*E563</f>
        <v>-2718</v>
      </c>
      <c r="L563" s="43">
        <v>0</v>
      </c>
      <c r="M563" s="43">
        <v>0</v>
      </c>
      <c r="N563" s="1">
        <f t="shared" si="593"/>
        <v>-9</v>
      </c>
      <c r="O563" s="1">
        <f t="shared" si="594"/>
        <v>-2718</v>
      </c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</row>
    <row r="564" spans="1:33" s="32" customFormat="1" ht="15" customHeight="1">
      <c r="A564" s="37">
        <v>43795</v>
      </c>
      <c r="B564" s="20" t="s">
        <v>466</v>
      </c>
      <c r="C564" s="20" t="s">
        <v>47</v>
      </c>
      <c r="D564" s="20">
        <v>485</v>
      </c>
      <c r="E564" s="38">
        <v>1375</v>
      </c>
      <c r="F564" s="20" t="s">
        <v>8</v>
      </c>
      <c r="G564" s="43">
        <v>22</v>
      </c>
      <c r="H564" s="43">
        <v>24</v>
      </c>
      <c r="I564" s="43">
        <v>0</v>
      </c>
      <c r="J564" s="43">
        <v>0</v>
      </c>
      <c r="K564" s="1">
        <f t="shared" ref="K564" si="597">(IF(F564="SELL",G564-H564,IF(F564="BUY",H564-G564)))*E564</f>
        <v>2750</v>
      </c>
      <c r="L564" s="43">
        <v>0</v>
      </c>
      <c r="M564" s="43">
        <v>0</v>
      </c>
      <c r="N564" s="1">
        <f t="shared" si="593"/>
        <v>2</v>
      </c>
      <c r="O564" s="1">
        <f t="shared" si="594"/>
        <v>2750</v>
      </c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</row>
    <row r="565" spans="1:33" s="32" customFormat="1" ht="15" customHeight="1">
      <c r="A565" s="37">
        <v>43795</v>
      </c>
      <c r="B565" s="20" t="s">
        <v>386</v>
      </c>
      <c r="C565" s="20" t="s">
        <v>47</v>
      </c>
      <c r="D565" s="20">
        <v>1180</v>
      </c>
      <c r="E565" s="38">
        <v>750</v>
      </c>
      <c r="F565" s="20" t="s">
        <v>8</v>
      </c>
      <c r="G565" s="43">
        <v>10</v>
      </c>
      <c r="H565" s="43">
        <v>13</v>
      </c>
      <c r="I565" s="43">
        <v>0</v>
      </c>
      <c r="J565" s="43">
        <v>0</v>
      </c>
      <c r="K565" s="1">
        <f t="shared" ref="K565" si="598">(IF(F565="SELL",G565-H565,IF(F565="BUY",H565-G565)))*E565</f>
        <v>2250</v>
      </c>
      <c r="L565" s="43">
        <v>0</v>
      </c>
      <c r="M565" s="43">
        <v>0</v>
      </c>
      <c r="N565" s="1">
        <f t="shared" si="593"/>
        <v>3</v>
      </c>
      <c r="O565" s="1">
        <f t="shared" si="594"/>
        <v>2250</v>
      </c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</row>
    <row r="566" spans="1:33" s="32" customFormat="1" ht="15" customHeight="1">
      <c r="A566" s="37">
        <v>43795</v>
      </c>
      <c r="B566" s="20" t="s">
        <v>72</v>
      </c>
      <c r="C566" s="20" t="s">
        <v>425</v>
      </c>
      <c r="D566" s="20">
        <v>490</v>
      </c>
      <c r="E566" s="38">
        <v>1800</v>
      </c>
      <c r="F566" s="20" t="s">
        <v>8</v>
      </c>
      <c r="G566" s="43">
        <v>4.2</v>
      </c>
      <c r="H566" s="43">
        <v>4.2</v>
      </c>
      <c r="I566" s="43">
        <v>0</v>
      </c>
      <c r="J566" s="43">
        <v>0</v>
      </c>
      <c r="K566" s="1">
        <f t="shared" ref="K566" si="599">(IF(F566="SELL",G566-H566,IF(F566="BUY",H566-G566)))*E566</f>
        <v>0</v>
      </c>
      <c r="L566" s="43">
        <v>0</v>
      </c>
      <c r="M566" s="43">
        <v>0</v>
      </c>
      <c r="N566" s="1">
        <f t="shared" si="593"/>
        <v>0</v>
      </c>
      <c r="O566" s="1">
        <f t="shared" si="594"/>
        <v>0</v>
      </c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</row>
    <row r="567" spans="1:33" s="32" customFormat="1" ht="15" customHeight="1">
      <c r="A567" s="37">
        <v>43794</v>
      </c>
      <c r="B567" s="20" t="s">
        <v>60</v>
      </c>
      <c r="C567" s="20" t="s">
        <v>47</v>
      </c>
      <c r="D567" s="20">
        <v>142.5</v>
      </c>
      <c r="E567" s="38">
        <v>3000</v>
      </c>
      <c r="F567" s="20" t="s">
        <v>8</v>
      </c>
      <c r="G567" s="43">
        <v>4.5</v>
      </c>
      <c r="H567" s="43">
        <v>5.3</v>
      </c>
      <c r="I567" s="43">
        <v>0</v>
      </c>
      <c r="J567" s="43">
        <v>0</v>
      </c>
      <c r="K567" s="1">
        <f t="shared" ref="K567" si="600">(IF(F567="SELL",G567-H567,IF(F567="BUY",H567-G567)))*E567</f>
        <v>2399.9999999999995</v>
      </c>
      <c r="L567" s="43">
        <v>0</v>
      </c>
      <c r="M567" s="43">
        <v>0</v>
      </c>
      <c r="N567" s="1">
        <f t="shared" si="593"/>
        <v>0.79999999999999982</v>
      </c>
      <c r="O567" s="1">
        <f t="shared" si="594"/>
        <v>2399.9999999999995</v>
      </c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</row>
    <row r="568" spans="1:33" s="32" customFormat="1" ht="15" customHeight="1">
      <c r="A568" s="37">
        <v>43794</v>
      </c>
      <c r="B568" s="20" t="s">
        <v>414</v>
      </c>
      <c r="C568" s="20" t="s">
        <v>46</v>
      </c>
      <c r="D568" s="20">
        <v>70</v>
      </c>
      <c r="E568" s="38">
        <v>2200</v>
      </c>
      <c r="F568" s="20" t="s">
        <v>8</v>
      </c>
      <c r="G568" s="43">
        <v>7.7</v>
      </c>
      <c r="H568" s="43">
        <v>8.6999999999999993</v>
      </c>
      <c r="I568" s="43">
        <v>9.6</v>
      </c>
      <c r="J568" s="43">
        <v>0</v>
      </c>
      <c r="K568" s="1">
        <f t="shared" ref="K568" si="601">(IF(F568="SELL",G568-H568,IF(F568="BUY",H568-G568)))*E568</f>
        <v>2199.9999999999982</v>
      </c>
      <c r="L568" s="43">
        <f>E568*0.9</f>
        <v>1980</v>
      </c>
      <c r="M568" s="43">
        <v>0</v>
      </c>
      <c r="N568" s="1">
        <f t="shared" si="593"/>
        <v>1.8999999999999992</v>
      </c>
      <c r="O568" s="1">
        <f t="shared" si="594"/>
        <v>4179.9999999999982</v>
      </c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</row>
    <row r="569" spans="1:33" s="32" customFormat="1" ht="15" customHeight="1">
      <c r="A569" s="37">
        <v>43794</v>
      </c>
      <c r="B569" s="20" t="s">
        <v>468</v>
      </c>
      <c r="C569" s="20" t="s">
        <v>47</v>
      </c>
      <c r="D569" s="20">
        <v>2220</v>
      </c>
      <c r="E569" s="38">
        <v>250</v>
      </c>
      <c r="F569" s="20" t="s">
        <v>8</v>
      </c>
      <c r="G569" s="43">
        <v>45</v>
      </c>
      <c r="H569" s="43">
        <v>55</v>
      </c>
      <c r="I569" s="43">
        <v>65</v>
      </c>
      <c r="J569" s="43">
        <v>75</v>
      </c>
      <c r="K569" s="1">
        <f t="shared" ref="K569" si="602">(IF(F569="SELL",G569-H569,IF(F569="BUY",H569-G569)))*E569</f>
        <v>2500</v>
      </c>
      <c r="L569" s="43">
        <f>E569*10</f>
        <v>2500</v>
      </c>
      <c r="M569" s="43">
        <f>E569*10</f>
        <v>2500</v>
      </c>
      <c r="N569" s="1">
        <f t="shared" si="593"/>
        <v>30</v>
      </c>
      <c r="O569" s="1">
        <f t="shared" si="594"/>
        <v>7500</v>
      </c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</row>
    <row r="570" spans="1:33" s="32" customFormat="1" ht="15" customHeight="1">
      <c r="A570" s="37">
        <v>43791</v>
      </c>
      <c r="B570" s="20" t="s">
        <v>24</v>
      </c>
      <c r="C570" s="20" t="s">
        <v>47</v>
      </c>
      <c r="D570" s="20">
        <v>165</v>
      </c>
      <c r="E570" s="38">
        <v>3000</v>
      </c>
      <c r="F570" s="20" t="s">
        <v>8</v>
      </c>
      <c r="G570" s="43">
        <v>6.1</v>
      </c>
      <c r="H570" s="43">
        <v>5.6</v>
      </c>
      <c r="I570" s="43">
        <v>0</v>
      </c>
      <c r="J570" s="43">
        <v>0</v>
      </c>
      <c r="K570" s="1">
        <f t="shared" ref="K570" si="603">(IF(F570="SELL",G570-H570,IF(F570="BUY",H570-G570)))*E570</f>
        <v>-1500</v>
      </c>
      <c r="L570" s="43">
        <v>0</v>
      </c>
      <c r="M570" s="43">
        <v>0</v>
      </c>
      <c r="N570" s="1">
        <f t="shared" si="593"/>
        <v>-0.5</v>
      </c>
      <c r="O570" s="1">
        <f t="shared" si="594"/>
        <v>-1500</v>
      </c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</row>
    <row r="571" spans="1:33" s="32" customFormat="1" ht="15" customHeight="1">
      <c r="A571" s="37">
        <v>43791</v>
      </c>
      <c r="B571" s="20" t="s">
        <v>405</v>
      </c>
      <c r="C571" s="20" t="s">
        <v>47</v>
      </c>
      <c r="D571" s="20">
        <v>380</v>
      </c>
      <c r="E571" s="38">
        <v>1300</v>
      </c>
      <c r="F571" s="20" t="s">
        <v>8</v>
      </c>
      <c r="G571" s="43">
        <v>6.5</v>
      </c>
      <c r="H571" s="43">
        <v>4.5</v>
      </c>
      <c r="I571" s="43">
        <v>0</v>
      </c>
      <c r="J571" s="43">
        <v>0</v>
      </c>
      <c r="K571" s="1">
        <f t="shared" ref="K571" si="604">(IF(F571="SELL",G571-H571,IF(F571="BUY",H571-G571)))*E571</f>
        <v>-2600</v>
      </c>
      <c r="L571" s="43">
        <v>0</v>
      </c>
      <c r="M571" s="43">
        <v>0</v>
      </c>
      <c r="N571" s="1">
        <f t="shared" si="593"/>
        <v>-2</v>
      </c>
      <c r="O571" s="1">
        <f t="shared" si="594"/>
        <v>-2600</v>
      </c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</row>
    <row r="572" spans="1:33" s="32" customFormat="1" ht="15" customHeight="1">
      <c r="A572" s="37">
        <v>43791</v>
      </c>
      <c r="B572" s="20" t="s">
        <v>60</v>
      </c>
      <c r="C572" s="20" t="s">
        <v>47</v>
      </c>
      <c r="D572" s="20">
        <v>140</v>
      </c>
      <c r="E572" s="38">
        <v>3000</v>
      </c>
      <c r="F572" s="20" t="s">
        <v>8</v>
      </c>
      <c r="G572" s="43">
        <v>4.2</v>
      </c>
      <c r="H572" s="43">
        <v>5</v>
      </c>
      <c r="I572" s="43">
        <v>0</v>
      </c>
      <c r="J572" s="43">
        <v>0</v>
      </c>
      <c r="K572" s="1">
        <f t="shared" ref="K572" si="605">(IF(F572="SELL",G572-H572,IF(F572="BUY",H572-G572)))*E572</f>
        <v>2399.9999999999995</v>
      </c>
      <c r="L572" s="43">
        <v>0</v>
      </c>
      <c r="M572" s="43">
        <v>0</v>
      </c>
      <c r="N572" s="1">
        <f t="shared" si="593"/>
        <v>0.79999999999999982</v>
      </c>
      <c r="O572" s="1">
        <f t="shared" si="594"/>
        <v>2399.9999999999995</v>
      </c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</row>
    <row r="573" spans="1:33" s="32" customFormat="1" ht="15" customHeight="1">
      <c r="A573" s="37">
        <v>43790</v>
      </c>
      <c r="B573" s="20" t="s">
        <v>467</v>
      </c>
      <c r="C573" s="20" t="s">
        <v>47</v>
      </c>
      <c r="D573" s="20">
        <v>1270</v>
      </c>
      <c r="E573" s="38">
        <v>500</v>
      </c>
      <c r="F573" s="20" t="s">
        <v>8</v>
      </c>
      <c r="G573" s="43">
        <v>21</v>
      </c>
      <c r="H573" s="43">
        <v>25</v>
      </c>
      <c r="I573" s="43">
        <v>0</v>
      </c>
      <c r="J573" s="43">
        <v>0</v>
      </c>
      <c r="K573" s="1">
        <f t="shared" ref="K573" si="606">(IF(F573="SELL",G573-H573,IF(F573="BUY",H573-G573)))*E573</f>
        <v>2000</v>
      </c>
      <c r="L573" s="43">
        <v>0</v>
      </c>
      <c r="M573" s="43">
        <v>0</v>
      </c>
      <c r="N573" s="1">
        <f t="shared" si="593"/>
        <v>4</v>
      </c>
      <c r="O573" s="1">
        <f t="shared" si="594"/>
        <v>2000</v>
      </c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</row>
    <row r="574" spans="1:33" s="32" customFormat="1" ht="15" customHeight="1">
      <c r="A574" s="37">
        <v>43790</v>
      </c>
      <c r="B574" s="20" t="s">
        <v>399</v>
      </c>
      <c r="C574" s="20" t="s">
        <v>47</v>
      </c>
      <c r="D574" s="20">
        <v>310</v>
      </c>
      <c r="E574" s="38">
        <v>2700</v>
      </c>
      <c r="F574" s="20" t="s">
        <v>8</v>
      </c>
      <c r="G574" s="43">
        <v>6.8</v>
      </c>
      <c r="H574" s="43">
        <v>8.3000000000000007</v>
      </c>
      <c r="I574" s="43">
        <v>0</v>
      </c>
      <c r="J574" s="43">
        <v>0</v>
      </c>
      <c r="K574" s="1">
        <f t="shared" ref="K574" si="607">(IF(F574="SELL",G574-H574,IF(F574="BUY",H574-G574)))*E574</f>
        <v>4050.0000000000023</v>
      </c>
      <c r="L574" s="43">
        <v>0</v>
      </c>
      <c r="M574" s="43">
        <v>0</v>
      </c>
      <c r="N574" s="1">
        <f t="shared" si="593"/>
        <v>1.5000000000000009</v>
      </c>
      <c r="O574" s="1">
        <f t="shared" si="594"/>
        <v>4050.0000000000023</v>
      </c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</row>
    <row r="575" spans="1:33" s="32" customFormat="1" ht="15" customHeight="1">
      <c r="A575" s="37">
        <v>43790</v>
      </c>
      <c r="B575" s="20" t="s">
        <v>402</v>
      </c>
      <c r="C575" s="20" t="s">
        <v>46</v>
      </c>
      <c r="D575" s="20">
        <v>1540</v>
      </c>
      <c r="E575" s="38">
        <v>500</v>
      </c>
      <c r="F575" s="20" t="s">
        <v>8</v>
      </c>
      <c r="G575" s="43">
        <v>24.5</v>
      </c>
      <c r="H575" s="43">
        <v>25.5</v>
      </c>
      <c r="I575" s="43">
        <v>0</v>
      </c>
      <c r="J575" s="43">
        <v>0</v>
      </c>
      <c r="K575" s="1">
        <f t="shared" ref="K575" si="608">(IF(F575="SELL",G575-H575,IF(F575="BUY",H575-G575)))*E575</f>
        <v>500</v>
      </c>
      <c r="L575" s="43">
        <v>0</v>
      </c>
      <c r="M575" s="43">
        <v>0</v>
      </c>
      <c r="N575" s="1">
        <f t="shared" si="593"/>
        <v>1</v>
      </c>
      <c r="O575" s="1">
        <f t="shared" si="594"/>
        <v>500</v>
      </c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</row>
    <row r="576" spans="1:33" s="32" customFormat="1" ht="15" customHeight="1">
      <c r="A576" s="37">
        <v>43789</v>
      </c>
      <c r="B576" s="20" t="s">
        <v>405</v>
      </c>
      <c r="C576" s="20" t="s">
        <v>47</v>
      </c>
      <c r="D576" s="20">
        <v>310</v>
      </c>
      <c r="E576" s="38">
        <v>1300</v>
      </c>
      <c r="F576" s="20" t="s">
        <v>8</v>
      </c>
      <c r="G576" s="43">
        <v>12</v>
      </c>
      <c r="H576" s="43">
        <v>14</v>
      </c>
      <c r="I576" s="43">
        <v>16</v>
      </c>
      <c r="J576" s="43">
        <v>17.899999999999999</v>
      </c>
      <c r="K576" s="1">
        <f t="shared" ref="K576" si="609">(IF(F576="SELL",G576-H576,IF(F576="BUY",H576-G576)))*E576</f>
        <v>2600</v>
      </c>
      <c r="L576" s="43">
        <f>E576*2</f>
        <v>2600</v>
      </c>
      <c r="M576" s="43">
        <f>E576*1.9</f>
        <v>2470</v>
      </c>
      <c r="N576" s="1">
        <f t="shared" si="593"/>
        <v>5.9</v>
      </c>
      <c r="O576" s="1">
        <f t="shared" si="594"/>
        <v>7670.0000000000009</v>
      </c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</row>
    <row r="577" spans="1:33" s="32" customFormat="1" ht="15" customHeight="1">
      <c r="A577" s="37">
        <v>43789</v>
      </c>
      <c r="B577" s="20" t="s">
        <v>404</v>
      </c>
      <c r="C577" s="20" t="s">
        <v>47</v>
      </c>
      <c r="D577" s="20">
        <v>145</v>
      </c>
      <c r="E577" s="38">
        <v>6000</v>
      </c>
      <c r="F577" s="20" t="s">
        <v>8</v>
      </c>
      <c r="G577" s="43">
        <v>3.6</v>
      </c>
      <c r="H577" s="43">
        <v>4.2</v>
      </c>
      <c r="I577" s="43">
        <v>4.7</v>
      </c>
      <c r="J577" s="43">
        <v>0</v>
      </c>
      <c r="K577" s="1">
        <f t="shared" ref="K577" si="610">(IF(F577="SELL",G577-H577,IF(F577="BUY",H577-G577)))*E577</f>
        <v>3600.0000000000005</v>
      </c>
      <c r="L577" s="43">
        <f>E577*0.5</f>
        <v>3000</v>
      </c>
      <c r="M577" s="43">
        <v>0</v>
      </c>
      <c r="N577" s="1">
        <f t="shared" si="593"/>
        <v>1.1000000000000001</v>
      </c>
      <c r="O577" s="1">
        <f t="shared" si="594"/>
        <v>6600.0000000000009</v>
      </c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</row>
    <row r="578" spans="1:33" s="32" customFormat="1" ht="15" customHeight="1">
      <c r="A578" s="37">
        <v>43788</v>
      </c>
      <c r="B578" s="20" t="s">
        <v>402</v>
      </c>
      <c r="C578" s="20" t="s">
        <v>47</v>
      </c>
      <c r="D578" s="20">
        <v>1500</v>
      </c>
      <c r="E578" s="38">
        <v>500</v>
      </c>
      <c r="F578" s="20" t="s">
        <v>8</v>
      </c>
      <c r="G578" s="43">
        <v>23.5</v>
      </c>
      <c r="H578" s="43">
        <v>27.5</v>
      </c>
      <c r="I578" s="43">
        <v>32.5</v>
      </c>
      <c r="J578" s="43">
        <v>37.5</v>
      </c>
      <c r="K578" s="1">
        <f t="shared" ref="K578:K580" si="611">(IF(F578="SELL",G578-H578,IF(F578="BUY",H578-G578)))*E578</f>
        <v>2000</v>
      </c>
      <c r="L578" s="43">
        <f>E578*5</f>
        <v>2500</v>
      </c>
      <c r="M578" s="43">
        <f>E578*5</f>
        <v>2500</v>
      </c>
      <c r="N578" s="1">
        <f t="shared" si="593"/>
        <v>14</v>
      </c>
      <c r="O578" s="1">
        <f t="shared" si="594"/>
        <v>7000</v>
      </c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 spans="1:33" s="32" customFormat="1" ht="15" customHeight="1">
      <c r="A579" s="37">
        <v>43788</v>
      </c>
      <c r="B579" s="20" t="s">
        <v>96</v>
      </c>
      <c r="C579" s="20" t="s">
        <v>46</v>
      </c>
      <c r="D579" s="20">
        <v>580</v>
      </c>
      <c r="E579" s="38">
        <v>1000</v>
      </c>
      <c r="F579" s="20" t="s">
        <v>8</v>
      </c>
      <c r="G579" s="43">
        <v>19</v>
      </c>
      <c r="H579" s="43">
        <v>21</v>
      </c>
      <c r="I579" s="43">
        <v>23</v>
      </c>
      <c r="J579" s="43">
        <v>0</v>
      </c>
      <c r="K579" s="1">
        <f t="shared" ref="K579" si="612">(IF(F579="SELL",G579-H579,IF(F579="BUY",H579-G579)))*E579</f>
        <v>2000</v>
      </c>
      <c r="L579" s="43">
        <f>E579*2</f>
        <v>2000</v>
      </c>
      <c r="M579" s="43">
        <v>0</v>
      </c>
      <c r="N579" s="1">
        <f t="shared" si="593"/>
        <v>4</v>
      </c>
      <c r="O579" s="1">
        <f t="shared" si="594"/>
        <v>4000</v>
      </c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</row>
    <row r="580" spans="1:33" s="32" customFormat="1" ht="15" customHeight="1">
      <c r="A580" s="37">
        <v>43788</v>
      </c>
      <c r="B580" s="20" t="s">
        <v>466</v>
      </c>
      <c r="C580" s="20" t="s">
        <v>47</v>
      </c>
      <c r="D580" s="20">
        <v>495</v>
      </c>
      <c r="E580" s="38">
        <v>1375</v>
      </c>
      <c r="F580" s="20" t="s">
        <v>8</v>
      </c>
      <c r="G580" s="43">
        <v>12.7</v>
      </c>
      <c r="H580" s="43">
        <v>10</v>
      </c>
      <c r="I580" s="43">
        <v>0</v>
      </c>
      <c r="J580" s="43">
        <v>0</v>
      </c>
      <c r="K580" s="1">
        <f t="shared" si="611"/>
        <v>-3712.4999999999991</v>
      </c>
      <c r="L580" s="43">
        <v>0</v>
      </c>
      <c r="M580" s="43">
        <v>0</v>
      </c>
      <c r="N580" s="1">
        <f t="shared" si="593"/>
        <v>-2.6999999999999993</v>
      </c>
      <c r="O580" s="1">
        <f t="shared" si="594"/>
        <v>-3712.4999999999991</v>
      </c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</row>
    <row r="581" spans="1:33" s="32" customFormat="1" ht="15" customHeight="1">
      <c r="A581" s="37">
        <v>43787</v>
      </c>
      <c r="B581" s="20" t="s">
        <v>460</v>
      </c>
      <c r="C581" s="20" t="s">
        <v>46</v>
      </c>
      <c r="D581" s="20">
        <v>1500</v>
      </c>
      <c r="E581" s="38">
        <v>550</v>
      </c>
      <c r="F581" s="20" t="s">
        <v>8</v>
      </c>
      <c r="G581" s="43">
        <v>22</v>
      </c>
      <c r="H581" s="43">
        <v>23</v>
      </c>
      <c r="I581" s="43">
        <v>0</v>
      </c>
      <c r="J581" s="43">
        <v>0</v>
      </c>
      <c r="K581" s="1">
        <f t="shared" ref="K581" si="613">(IF(F581="SELL",G581-H581,IF(F581="BUY",H581-G581)))*E581</f>
        <v>550</v>
      </c>
      <c r="L581" s="43">
        <v>0</v>
      </c>
      <c r="M581" s="43">
        <v>0</v>
      </c>
      <c r="N581" s="1">
        <f t="shared" si="593"/>
        <v>1</v>
      </c>
      <c r="O581" s="1">
        <f t="shared" si="594"/>
        <v>550</v>
      </c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</row>
    <row r="582" spans="1:33" s="32" customFormat="1" ht="15" customHeight="1">
      <c r="A582" s="37">
        <v>43787</v>
      </c>
      <c r="B582" s="20" t="s">
        <v>405</v>
      </c>
      <c r="C582" s="20" t="s">
        <v>47</v>
      </c>
      <c r="D582" s="20">
        <v>310</v>
      </c>
      <c r="E582" s="38">
        <v>1300</v>
      </c>
      <c r="F582" s="20" t="s">
        <v>8</v>
      </c>
      <c r="G582" s="43">
        <v>11.5</v>
      </c>
      <c r="H582" s="43">
        <v>11.5</v>
      </c>
      <c r="I582" s="43">
        <v>0</v>
      </c>
      <c r="J582" s="43">
        <v>0</v>
      </c>
      <c r="K582" s="1">
        <f t="shared" ref="K582" si="614">(IF(F582="SELL",G582-H582,IF(F582="BUY",H582-G582)))*E582</f>
        <v>0</v>
      </c>
      <c r="L582" s="43">
        <v>0</v>
      </c>
      <c r="M582" s="43">
        <v>0</v>
      </c>
      <c r="N582" s="1">
        <f t="shared" si="593"/>
        <v>0</v>
      </c>
      <c r="O582" s="1">
        <f t="shared" si="594"/>
        <v>0</v>
      </c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</row>
    <row r="583" spans="1:33" s="32" customFormat="1" ht="15" customHeight="1">
      <c r="A583" s="37">
        <v>43787</v>
      </c>
      <c r="B583" s="20" t="s">
        <v>443</v>
      </c>
      <c r="C583" s="20" t="s">
        <v>46</v>
      </c>
      <c r="D583" s="20">
        <v>190</v>
      </c>
      <c r="E583" s="38">
        <v>800</v>
      </c>
      <c r="F583" s="20" t="s">
        <v>8</v>
      </c>
      <c r="G583" s="43">
        <v>15</v>
      </c>
      <c r="H583" s="43">
        <v>12</v>
      </c>
      <c r="I583" s="43">
        <v>0</v>
      </c>
      <c r="J583" s="43">
        <v>0</v>
      </c>
      <c r="K583" s="1">
        <f t="shared" ref="K583" si="615">(IF(F583="SELL",G583-H583,IF(F583="BUY",H583-G583)))*E583</f>
        <v>-2400</v>
      </c>
      <c r="L583" s="43">
        <v>0</v>
      </c>
      <c r="M583" s="43">
        <v>0</v>
      </c>
      <c r="N583" s="1">
        <f t="shared" si="593"/>
        <v>-3</v>
      </c>
      <c r="O583" s="1">
        <f t="shared" si="594"/>
        <v>-2400</v>
      </c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</row>
    <row r="584" spans="1:33" s="32" customFormat="1" ht="15" customHeight="1">
      <c r="A584" s="37">
        <v>43784</v>
      </c>
      <c r="B584" s="20" t="s">
        <v>43</v>
      </c>
      <c r="C584" s="20" t="s">
        <v>47</v>
      </c>
      <c r="D584" s="20">
        <v>1280</v>
      </c>
      <c r="E584" s="38">
        <v>500</v>
      </c>
      <c r="F584" s="20" t="s">
        <v>8</v>
      </c>
      <c r="G584" s="43">
        <v>22</v>
      </c>
      <c r="H584" s="43">
        <v>22</v>
      </c>
      <c r="I584" s="43">
        <v>0</v>
      </c>
      <c r="J584" s="43">
        <v>0</v>
      </c>
      <c r="K584" s="1">
        <f t="shared" ref="K584" si="616">(IF(F584="SELL",G584-H584,IF(F584="BUY",H584-G584)))*E584</f>
        <v>0</v>
      </c>
      <c r="L584" s="43">
        <v>0</v>
      </c>
      <c r="M584" s="43">
        <v>0</v>
      </c>
      <c r="N584" s="1">
        <f t="shared" si="593"/>
        <v>0</v>
      </c>
      <c r="O584" s="1">
        <f t="shared" si="594"/>
        <v>0</v>
      </c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</row>
    <row r="585" spans="1:33" s="32" customFormat="1" ht="15" customHeight="1">
      <c r="A585" s="37">
        <v>43784</v>
      </c>
      <c r="B585" s="20" t="s">
        <v>402</v>
      </c>
      <c r="C585" s="20" t="s">
        <v>47</v>
      </c>
      <c r="D585" s="20">
        <v>1480</v>
      </c>
      <c r="E585" s="38">
        <v>500</v>
      </c>
      <c r="F585" s="20" t="s">
        <v>8</v>
      </c>
      <c r="G585" s="43">
        <v>34</v>
      </c>
      <c r="H585" s="43">
        <v>28</v>
      </c>
      <c r="I585" s="43">
        <v>37.5</v>
      </c>
      <c r="J585" s="43">
        <v>0</v>
      </c>
      <c r="K585" s="1">
        <f t="shared" ref="K585" si="617">(IF(F585="SELL",G585-H585,IF(F585="BUY",H585-G585)))*E585</f>
        <v>-3000</v>
      </c>
      <c r="L585" s="43">
        <v>0</v>
      </c>
      <c r="M585" s="43">
        <v>0</v>
      </c>
      <c r="N585" s="1">
        <f t="shared" si="593"/>
        <v>-6</v>
      </c>
      <c r="O585" s="1">
        <f t="shared" si="594"/>
        <v>-3000</v>
      </c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</row>
    <row r="586" spans="1:33" s="32" customFormat="1" ht="15" customHeight="1">
      <c r="A586" s="37">
        <v>43784</v>
      </c>
      <c r="B586" s="20" t="s">
        <v>465</v>
      </c>
      <c r="C586" s="20" t="s">
        <v>47</v>
      </c>
      <c r="D586" s="20">
        <v>720</v>
      </c>
      <c r="E586" s="38">
        <v>1000</v>
      </c>
      <c r="F586" s="20" t="s">
        <v>8</v>
      </c>
      <c r="G586" s="43">
        <v>14.5</v>
      </c>
      <c r="H586" s="43">
        <v>11.8</v>
      </c>
      <c r="I586" s="43">
        <v>0</v>
      </c>
      <c r="J586" s="43">
        <v>0</v>
      </c>
      <c r="K586" s="1">
        <f t="shared" ref="K586" si="618">(IF(F586="SELL",G586-H586,IF(F586="BUY",H586-G586)))*E586</f>
        <v>-2699.9999999999991</v>
      </c>
      <c r="L586" s="43">
        <v>0</v>
      </c>
      <c r="M586" s="43">
        <v>0</v>
      </c>
      <c r="N586" s="1">
        <f t="shared" si="593"/>
        <v>-2.6999999999999993</v>
      </c>
      <c r="O586" s="1">
        <f t="shared" si="594"/>
        <v>-2699.9999999999991</v>
      </c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</row>
    <row r="587" spans="1:33" s="32" customFormat="1" ht="15" customHeight="1">
      <c r="A587" s="37">
        <v>43783</v>
      </c>
      <c r="B587" s="20" t="s">
        <v>465</v>
      </c>
      <c r="C587" s="20" t="s">
        <v>47</v>
      </c>
      <c r="D587" s="20">
        <v>720</v>
      </c>
      <c r="E587" s="38">
        <v>1000</v>
      </c>
      <c r="F587" s="20" t="s">
        <v>8</v>
      </c>
      <c r="G587" s="43">
        <v>12</v>
      </c>
      <c r="H587" s="43">
        <v>13.5</v>
      </c>
      <c r="I587" s="43">
        <v>37.5</v>
      </c>
      <c r="J587" s="43">
        <v>0</v>
      </c>
      <c r="K587" s="1">
        <f t="shared" ref="K587" si="619">(IF(F587="SELL",G587-H587,IF(F587="BUY",H587-G587)))*E587</f>
        <v>1500</v>
      </c>
      <c r="L587" s="43">
        <v>0</v>
      </c>
      <c r="M587" s="43">
        <v>0</v>
      </c>
      <c r="N587" s="1">
        <f t="shared" si="593"/>
        <v>1.5</v>
      </c>
      <c r="O587" s="1">
        <f t="shared" si="594"/>
        <v>1500</v>
      </c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</row>
    <row r="588" spans="1:33" s="32" customFormat="1" ht="15" customHeight="1">
      <c r="A588" s="37">
        <v>43783</v>
      </c>
      <c r="B588" s="20" t="s">
        <v>63</v>
      </c>
      <c r="C588" s="20" t="s">
        <v>425</v>
      </c>
      <c r="D588" s="20">
        <v>280</v>
      </c>
      <c r="E588" s="38">
        <v>2100</v>
      </c>
      <c r="F588" s="20" t="s">
        <v>8</v>
      </c>
      <c r="G588" s="43">
        <v>5.6</v>
      </c>
      <c r="H588" s="43">
        <v>5.9</v>
      </c>
      <c r="I588" s="43">
        <v>0</v>
      </c>
      <c r="J588" s="43">
        <v>0</v>
      </c>
      <c r="K588" s="1">
        <f t="shared" ref="K588" si="620">(IF(F588="SELL",G588-H588,IF(F588="BUY",H588-G588)))*E588</f>
        <v>630.00000000000148</v>
      </c>
      <c r="L588" s="43">
        <v>0</v>
      </c>
      <c r="M588" s="43">
        <v>0</v>
      </c>
      <c r="N588" s="1">
        <f t="shared" si="593"/>
        <v>0.30000000000000071</v>
      </c>
      <c r="O588" s="1">
        <f t="shared" si="594"/>
        <v>630.00000000000148</v>
      </c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</row>
    <row r="589" spans="1:33" s="32" customFormat="1" ht="15" customHeight="1">
      <c r="A589" s="37">
        <v>43782</v>
      </c>
      <c r="B589" s="20" t="s">
        <v>443</v>
      </c>
      <c r="C589" s="20" t="s">
        <v>46</v>
      </c>
      <c r="D589" s="20">
        <v>230</v>
      </c>
      <c r="E589" s="38">
        <v>800</v>
      </c>
      <c r="F589" s="20" t="s">
        <v>8</v>
      </c>
      <c r="G589" s="43">
        <v>29.5</v>
      </c>
      <c r="H589" s="43">
        <v>33.5</v>
      </c>
      <c r="I589" s="43">
        <v>37.5</v>
      </c>
      <c r="J589" s="43">
        <v>0</v>
      </c>
      <c r="K589" s="1">
        <f t="shared" ref="K589" si="621">(IF(F589="SELL",G589-H589,IF(F589="BUY",H589-G589)))*E589</f>
        <v>3200</v>
      </c>
      <c r="L589" s="43">
        <f>E589*4</f>
        <v>3200</v>
      </c>
      <c r="M589" s="43">
        <v>0</v>
      </c>
      <c r="N589" s="1">
        <f t="shared" si="593"/>
        <v>8</v>
      </c>
      <c r="O589" s="1">
        <f t="shared" si="594"/>
        <v>6400</v>
      </c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</row>
    <row r="590" spans="1:33" s="32" customFormat="1" ht="15" customHeight="1">
      <c r="A590" s="37">
        <v>43782</v>
      </c>
      <c r="B590" s="20" t="s">
        <v>464</v>
      </c>
      <c r="C590" s="20" t="s">
        <v>47</v>
      </c>
      <c r="D590" s="20">
        <v>9000</v>
      </c>
      <c r="E590" s="38">
        <v>125</v>
      </c>
      <c r="F590" s="20" t="s">
        <v>8</v>
      </c>
      <c r="G590" s="43">
        <v>170</v>
      </c>
      <c r="H590" s="43">
        <v>200</v>
      </c>
      <c r="I590" s="43">
        <v>0</v>
      </c>
      <c r="J590" s="43">
        <v>0</v>
      </c>
      <c r="K590" s="1">
        <f t="shared" ref="K590:K591" si="622">(IF(F590="SELL",G590-H590,IF(F590="BUY",H590-G590)))*E590</f>
        <v>3750</v>
      </c>
      <c r="L590" s="43">
        <v>0</v>
      </c>
      <c r="M590" s="43">
        <v>0</v>
      </c>
      <c r="N590" s="1">
        <f t="shared" si="593"/>
        <v>30</v>
      </c>
      <c r="O590" s="1">
        <f t="shared" si="594"/>
        <v>3750</v>
      </c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</row>
    <row r="591" spans="1:33" s="32" customFormat="1" ht="15" customHeight="1">
      <c r="A591" s="37">
        <v>43782</v>
      </c>
      <c r="B591" s="20" t="s">
        <v>72</v>
      </c>
      <c r="C591" s="20" t="s">
        <v>47</v>
      </c>
      <c r="D591" s="20">
        <v>530</v>
      </c>
      <c r="E591" s="38">
        <v>1800</v>
      </c>
      <c r="F591" s="20" t="s">
        <v>8</v>
      </c>
      <c r="G591" s="43">
        <v>16.5</v>
      </c>
      <c r="H591" s="43">
        <v>14.5</v>
      </c>
      <c r="I591" s="43">
        <v>0</v>
      </c>
      <c r="J591" s="43">
        <v>0</v>
      </c>
      <c r="K591" s="1">
        <f t="shared" si="622"/>
        <v>-3600</v>
      </c>
      <c r="L591" s="43">
        <v>0</v>
      </c>
      <c r="M591" s="43">
        <v>0</v>
      </c>
      <c r="N591" s="1">
        <f t="shared" si="593"/>
        <v>-2</v>
      </c>
      <c r="O591" s="1">
        <f t="shared" si="594"/>
        <v>-3600</v>
      </c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</row>
    <row r="592" spans="1:33" s="32" customFormat="1" ht="15" customHeight="1">
      <c r="A592" s="37">
        <v>43780</v>
      </c>
      <c r="B592" s="20" t="s">
        <v>405</v>
      </c>
      <c r="C592" s="20" t="s">
        <v>47</v>
      </c>
      <c r="D592" s="20">
        <v>310</v>
      </c>
      <c r="E592" s="38">
        <v>1300</v>
      </c>
      <c r="F592" s="20" t="s">
        <v>8</v>
      </c>
      <c r="G592" s="43">
        <v>16</v>
      </c>
      <c r="H592" s="43">
        <v>19</v>
      </c>
      <c r="I592" s="43">
        <v>0</v>
      </c>
      <c r="J592" s="43">
        <v>0</v>
      </c>
      <c r="K592" s="1">
        <f t="shared" ref="K592" si="623">(IF(F592="SELL",G592-H592,IF(F592="BUY",H592-G592)))*E592</f>
        <v>3900</v>
      </c>
      <c r="L592" s="43">
        <v>0</v>
      </c>
      <c r="M592" s="43">
        <v>0</v>
      </c>
      <c r="N592" s="1">
        <f t="shared" si="593"/>
        <v>3</v>
      </c>
      <c r="O592" s="1">
        <f t="shared" si="594"/>
        <v>3900</v>
      </c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</row>
    <row r="593" spans="1:33" s="32" customFormat="1" ht="15" customHeight="1">
      <c r="A593" s="37">
        <v>43780</v>
      </c>
      <c r="B593" s="20" t="s">
        <v>96</v>
      </c>
      <c r="C593" s="20" t="s">
        <v>46</v>
      </c>
      <c r="D593" s="20">
        <v>580</v>
      </c>
      <c r="E593" s="38">
        <v>1000</v>
      </c>
      <c r="F593" s="20" t="s">
        <v>8</v>
      </c>
      <c r="G593" s="43">
        <v>18</v>
      </c>
      <c r="H593" s="43">
        <v>21</v>
      </c>
      <c r="I593" s="43">
        <v>0</v>
      </c>
      <c r="J593" s="43">
        <v>0</v>
      </c>
      <c r="K593" s="1">
        <f t="shared" ref="K593" si="624">(IF(F593="SELL",G593-H593,IF(F593="BUY",H593-G593)))*E593</f>
        <v>3000</v>
      </c>
      <c r="L593" s="43">
        <v>0</v>
      </c>
      <c r="M593" s="43">
        <v>0</v>
      </c>
      <c r="N593" s="1">
        <f t="shared" si="593"/>
        <v>3</v>
      </c>
      <c r="O593" s="1">
        <f t="shared" si="594"/>
        <v>3000</v>
      </c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</row>
    <row r="594" spans="1:33" s="32" customFormat="1" ht="15" customHeight="1">
      <c r="A594" s="37">
        <v>43780</v>
      </c>
      <c r="B594" s="20" t="s">
        <v>77</v>
      </c>
      <c r="C594" s="20" t="s">
        <v>46</v>
      </c>
      <c r="D594" s="20">
        <v>125</v>
      </c>
      <c r="E594" s="38">
        <v>5334</v>
      </c>
      <c r="F594" s="20" t="s">
        <v>8</v>
      </c>
      <c r="G594" s="43">
        <v>3.6</v>
      </c>
      <c r="H594" s="43">
        <v>2.6</v>
      </c>
      <c r="I594" s="43">
        <v>0</v>
      </c>
      <c r="J594" s="43">
        <v>0</v>
      </c>
      <c r="K594" s="1">
        <f t="shared" ref="K594" si="625">(IF(F594="SELL",G594-H594,IF(F594="BUY",H594-G594)))*E594</f>
        <v>-5334</v>
      </c>
      <c r="L594" s="43">
        <v>0</v>
      </c>
      <c r="M594" s="43">
        <v>0</v>
      </c>
      <c r="N594" s="1">
        <f t="shared" si="593"/>
        <v>-1</v>
      </c>
      <c r="O594" s="1">
        <f t="shared" si="594"/>
        <v>-5334</v>
      </c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</row>
    <row r="595" spans="1:33" s="32" customFormat="1" ht="15" customHeight="1">
      <c r="A595" s="37">
        <v>43777</v>
      </c>
      <c r="B595" s="20" t="s">
        <v>417</v>
      </c>
      <c r="C595" s="20" t="s">
        <v>46</v>
      </c>
      <c r="D595" s="20">
        <v>290</v>
      </c>
      <c r="E595" s="38">
        <v>1000</v>
      </c>
      <c r="F595" s="20" t="s">
        <v>8</v>
      </c>
      <c r="G595" s="43">
        <v>15.9</v>
      </c>
      <c r="H595" s="43">
        <v>16.5</v>
      </c>
      <c r="I595" s="43">
        <v>0</v>
      </c>
      <c r="J595" s="43">
        <v>0</v>
      </c>
      <c r="K595" s="1">
        <f t="shared" ref="K595" si="626">(IF(F595="SELL",G595-H595,IF(F595="BUY",H595-G595)))*E595</f>
        <v>599.99999999999966</v>
      </c>
      <c r="L595" s="43">
        <v>0</v>
      </c>
      <c r="M595" s="43">
        <v>0</v>
      </c>
      <c r="N595" s="1">
        <f t="shared" si="593"/>
        <v>0.59999999999999964</v>
      </c>
      <c r="O595" s="1">
        <f t="shared" si="594"/>
        <v>599.99999999999966</v>
      </c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</row>
    <row r="596" spans="1:33" s="32" customFormat="1" ht="15" customHeight="1">
      <c r="A596" s="37">
        <v>43777</v>
      </c>
      <c r="B596" s="20" t="s">
        <v>30</v>
      </c>
      <c r="C596" s="20" t="s">
        <v>47</v>
      </c>
      <c r="D596" s="20">
        <v>500</v>
      </c>
      <c r="E596" s="38">
        <v>1375</v>
      </c>
      <c r="F596" s="20" t="s">
        <v>8</v>
      </c>
      <c r="G596" s="43">
        <v>10.5</v>
      </c>
      <c r="H596" s="43">
        <v>8.5</v>
      </c>
      <c r="I596" s="43">
        <v>0</v>
      </c>
      <c r="J596" s="43">
        <v>0</v>
      </c>
      <c r="K596" s="1">
        <f t="shared" ref="K596" si="627">(IF(F596="SELL",G596-H596,IF(F596="BUY",H596-G596)))*E596</f>
        <v>-2750</v>
      </c>
      <c r="L596" s="43">
        <v>0</v>
      </c>
      <c r="M596" s="43">
        <v>0</v>
      </c>
      <c r="N596" s="1">
        <f t="shared" si="593"/>
        <v>-2</v>
      </c>
      <c r="O596" s="1">
        <f t="shared" si="594"/>
        <v>-2750</v>
      </c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</row>
    <row r="597" spans="1:33" s="32" customFormat="1" ht="15" customHeight="1">
      <c r="A597" s="37">
        <v>43777</v>
      </c>
      <c r="B597" s="20" t="s">
        <v>461</v>
      </c>
      <c r="C597" s="20" t="s">
        <v>47</v>
      </c>
      <c r="D597" s="20">
        <v>3250</v>
      </c>
      <c r="E597" s="38">
        <v>250</v>
      </c>
      <c r="F597" s="20" t="s">
        <v>8</v>
      </c>
      <c r="G597" s="43">
        <v>98</v>
      </c>
      <c r="H597" s="43">
        <v>90</v>
      </c>
      <c r="I597" s="43">
        <v>0</v>
      </c>
      <c r="J597" s="43">
        <v>0</v>
      </c>
      <c r="K597" s="1">
        <f t="shared" ref="K597" si="628">(IF(F597="SELL",G597-H597,IF(F597="BUY",H597-G597)))*E597</f>
        <v>-2000</v>
      </c>
      <c r="L597" s="43">
        <v>0</v>
      </c>
      <c r="M597" s="43">
        <v>0</v>
      </c>
      <c r="N597" s="1">
        <f t="shared" si="593"/>
        <v>-8</v>
      </c>
      <c r="O597" s="1">
        <f t="shared" si="594"/>
        <v>-2000</v>
      </c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</row>
    <row r="598" spans="1:33" s="32" customFormat="1" ht="15" customHeight="1">
      <c r="A598" s="37">
        <v>43776</v>
      </c>
      <c r="B598" s="20" t="s">
        <v>402</v>
      </c>
      <c r="C598" s="20" t="s">
        <v>47</v>
      </c>
      <c r="D598" s="20">
        <v>1480</v>
      </c>
      <c r="E598" s="38">
        <v>500</v>
      </c>
      <c r="F598" s="20" t="s">
        <v>8</v>
      </c>
      <c r="G598" s="43">
        <v>25.5</v>
      </c>
      <c r="H598" s="43">
        <v>29.5</v>
      </c>
      <c r="I598" s="43">
        <v>0</v>
      </c>
      <c r="J598" s="43">
        <v>0</v>
      </c>
      <c r="K598" s="1">
        <f t="shared" ref="K598" si="629">(IF(F598="SELL",G598-H598,IF(F598="BUY",H598-G598)))*E598</f>
        <v>2000</v>
      </c>
      <c r="L598" s="43">
        <v>0</v>
      </c>
      <c r="M598" s="43">
        <v>0</v>
      </c>
      <c r="N598" s="1">
        <f t="shared" si="593"/>
        <v>4</v>
      </c>
      <c r="O598" s="1">
        <f t="shared" si="594"/>
        <v>2000</v>
      </c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</row>
    <row r="599" spans="1:33" s="32" customFormat="1" ht="15" customHeight="1">
      <c r="A599" s="37">
        <v>43776</v>
      </c>
      <c r="B599" s="20" t="s">
        <v>43</v>
      </c>
      <c r="C599" s="20" t="s">
        <v>47</v>
      </c>
      <c r="D599" s="20">
        <v>1250</v>
      </c>
      <c r="E599" s="38">
        <v>500</v>
      </c>
      <c r="F599" s="20" t="s">
        <v>8</v>
      </c>
      <c r="G599" s="43">
        <v>35</v>
      </c>
      <c r="H599" s="43">
        <v>39.5</v>
      </c>
      <c r="I599" s="43">
        <v>0</v>
      </c>
      <c r="J599" s="43">
        <v>0</v>
      </c>
      <c r="K599" s="1">
        <f t="shared" ref="K599" si="630">(IF(F599="SELL",G599-H599,IF(F599="BUY",H599-G599)))*E599</f>
        <v>2250</v>
      </c>
      <c r="L599" s="43">
        <v>0</v>
      </c>
      <c r="M599" s="43">
        <v>0</v>
      </c>
      <c r="N599" s="1">
        <f t="shared" si="593"/>
        <v>4.5</v>
      </c>
      <c r="O599" s="1">
        <f t="shared" si="594"/>
        <v>2250</v>
      </c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</row>
    <row r="600" spans="1:33" s="32" customFormat="1" ht="15" customHeight="1">
      <c r="A600" s="37">
        <v>43776</v>
      </c>
      <c r="B600" s="20" t="s">
        <v>417</v>
      </c>
      <c r="C600" s="20" t="s">
        <v>46</v>
      </c>
      <c r="D600" s="20">
        <v>280</v>
      </c>
      <c r="E600" s="38">
        <v>1000</v>
      </c>
      <c r="F600" s="20" t="s">
        <v>8</v>
      </c>
      <c r="G600" s="43">
        <v>12.5</v>
      </c>
      <c r="H600" s="43">
        <v>12.5</v>
      </c>
      <c r="I600" s="43">
        <v>0</v>
      </c>
      <c r="J600" s="43">
        <v>0</v>
      </c>
      <c r="K600" s="1">
        <f t="shared" ref="K600" si="631">(IF(F600="SELL",G600-H600,IF(F600="BUY",H600-G600)))*E600</f>
        <v>0</v>
      </c>
      <c r="L600" s="43">
        <v>0</v>
      </c>
      <c r="M600" s="43">
        <v>0</v>
      </c>
      <c r="N600" s="1">
        <f t="shared" si="593"/>
        <v>0</v>
      </c>
      <c r="O600" s="1">
        <f t="shared" si="594"/>
        <v>0</v>
      </c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</row>
    <row r="601" spans="1:33" s="32" customFormat="1" ht="15" customHeight="1">
      <c r="A601" s="37">
        <v>43775</v>
      </c>
      <c r="B601" s="20" t="s">
        <v>386</v>
      </c>
      <c r="C601" s="20" t="s">
        <v>47</v>
      </c>
      <c r="D601" s="20">
        <v>1080</v>
      </c>
      <c r="E601" s="38">
        <v>750</v>
      </c>
      <c r="F601" s="20" t="s">
        <v>8</v>
      </c>
      <c r="G601" s="43">
        <v>12</v>
      </c>
      <c r="H601" s="43">
        <v>15</v>
      </c>
      <c r="I601" s="43">
        <v>17.3</v>
      </c>
      <c r="J601" s="43">
        <v>0</v>
      </c>
      <c r="K601" s="1">
        <f t="shared" ref="K601" si="632">(IF(F601="SELL",G601-H601,IF(F601="BUY",H601-G601)))*E601</f>
        <v>2250</v>
      </c>
      <c r="L601" s="43">
        <f>E601*2.3</f>
        <v>1724.9999999999998</v>
      </c>
      <c r="M601" s="43">
        <v>0</v>
      </c>
      <c r="N601" s="1">
        <f t="shared" si="593"/>
        <v>5.3</v>
      </c>
      <c r="O601" s="1">
        <f t="shared" si="594"/>
        <v>3975</v>
      </c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</row>
    <row r="602" spans="1:33" s="32" customFormat="1" ht="15" customHeight="1">
      <c r="A602" s="37">
        <v>43775</v>
      </c>
      <c r="B602" s="20" t="s">
        <v>446</v>
      </c>
      <c r="C602" s="20" t="s">
        <v>47</v>
      </c>
      <c r="D602" s="20">
        <v>2180</v>
      </c>
      <c r="E602" s="38">
        <v>300</v>
      </c>
      <c r="F602" s="20" t="s">
        <v>8</v>
      </c>
      <c r="G602" s="43">
        <v>48</v>
      </c>
      <c r="H602" s="43">
        <v>48</v>
      </c>
      <c r="I602" s="43">
        <v>0</v>
      </c>
      <c r="J602" s="43">
        <v>0</v>
      </c>
      <c r="K602" s="1">
        <f t="shared" ref="K602" si="633">(IF(F602="SELL",G602-H602,IF(F602="BUY",H602-G602)))*E602</f>
        <v>0</v>
      </c>
      <c r="L602" s="43">
        <v>0</v>
      </c>
      <c r="M602" s="43">
        <v>0</v>
      </c>
      <c r="N602" s="1">
        <f t="shared" si="593"/>
        <v>0</v>
      </c>
      <c r="O602" s="1">
        <f t="shared" si="594"/>
        <v>0</v>
      </c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</row>
    <row r="603" spans="1:33" s="32" customFormat="1" ht="15" customHeight="1">
      <c r="A603" s="37">
        <v>43775</v>
      </c>
      <c r="B603" s="20" t="s">
        <v>462</v>
      </c>
      <c r="C603" s="20" t="s">
        <v>47</v>
      </c>
      <c r="D603" s="20">
        <v>2700</v>
      </c>
      <c r="E603" s="38">
        <v>250</v>
      </c>
      <c r="F603" s="20" t="s">
        <v>8</v>
      </c>
      <c r="G603" s="43">
        <v>83</v>
      </c>
      <c r="H603" s="43">
        <v>78</v>
      </c>
      <c r="I603" s="43">
        <v>0</v>
      </c>
      <c r="J603" s="43">
        <v>0</v>
      </c>
      <c r="K603" s="1">
        <f t="shared" ref="K603:K606" si="634">(IF(F603="SELL",G603-H603,IF(F603="BUY",H603-G603)))*E603</f>
        <v>-1250</v>
      </c>
      <c r="L603" s="43">
        <v>0</v>
      </c>
      <c r="M603" s="43">
        <v>0</v>
      </c>
      <c r="N603" s="1">
        <f t="shared" si="593"/>
        <v>-5</v>
      </c>
      <c r="O603" s="1">
        <f t="shared" si="594"/>
        <v>-1250</v>
      </c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</row>
    <row r="604" spans="1:33" s="32" customFormat="1" ht="15" customHeight="1">
      <c r="A604" s="37">
        <v>43774</v>
      </c>
      <c r="B604" s="20" t="s">
        <v>413</v>
      </c>
      <c r="C604" s="20" t="s">
        <v>47</v>
      </c>
      <c r="D604" s="20">
        <v>280</v>
      </c>
      <c r="E604" s="38">
        <v>800</v>
      </c>
      <c r="F604" s="20" t="s">
        <v>8</v>
      </c>
      <c r="G604" s="43">
        <v>17.8</v>
      </c>
      <c r="H604" s="43">
        <v>17.8</v>
      </c>
      <c r="I604" s="43">
        <v>120</v>
      </c>
      <c r="J604" s="43">
        <v>0</v>
      </c>
      <c r="K604" s="1">
        <f t="shared" si="634"/>
        <v>0</v>
      </c>
      <c r="L604" s="43">
        <v>0</v>
      </c>
      <c r="M604" s="43">
        <v>0</v>
      </c>
      <c r="N604" s="1">
        <f t="shared" si="593"/>
        <v>0</v>
      </c>
      <c r="O604" s="1">
        <f t="shared" si="594"/>
        <v>0</v>
      </c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</row>
    <row r="605" spans="1:33" s="32" customFormat="1" ht="15" customHeight="1">
      <c r="A605" s="37">
        <v>43774</v>
      </c>
      <c r="B605" s="20" t="s">
        <v>21</v>
      </c>
      <c r="C605" s="20" t="s">
        <v>47</v>
      </c>
      <c r="D605" s="20">
        <v>345</v>
      </c>
      <c r="E605" s="38">
        <v>3000</v>
      </c>
      <c r="F605" s="20" t="s">
        <v>8</v>
      </c>
      <c r="G605" s="43">
        <v>4.8</v>
      </c>
      <c r="H605" s="43">
        <v>3.5</v>
      </c>
      <c r="I605" s="43">
        <v>0</v>
      </c>
      <c r="J605" s="43">
        <v>0</v>
      </c>
      <c r="K605" s="1">
        <f t="shared" ref="K605" si="635">(IF(F605="SELL",G605-H605,IF(F605="BUY",H605-G605)))*E605</f>
        <v>-3899.9999999999995</v>
      </c>
      <c r="L605" s="43">
        <v>0</v>
      </c>
      <c r="M605" s="43">
        <v>0</v>
      </c>
      <c r="N605" s="1">
        <f t="shared" si="593"/>
        <v>-1.2999999999999998</v>
      </c>
      <c r="O605" s="1">
        <f t="shared" si="594"/>
        <v>-3899.9999999999995</v>
      </c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</row>
    <row r="606" spans="1:33" s="32" customFormat="1" ht="15" customHeight="1">
      <c r="A606" s="37">
        <v>43774</v>
      </c>
      <c r="B606" s="20" t="s">
        <v>463</v>
      </c>
      <c r="C606" s="20" t="s">
        <v>46</v>
      </c>
      <c r="D606" s="20">
        <v>440</v>
      </c>
      <c r="E606" s="38">
        <v>1000</v>
      </c>
      <c r="F606" s="20" t="s">
        <v>8</v>
      </c>
      <c r="G606" s="43">
        <v>14</v>
      </c>
      <c r="H606" s="43">
        <v>14</v>
      </c>
      <c r="I606" s="43">
        <v>0</v>
      </c>
      <c r="J606" s="43">
        <v>0</v>
      </c>
      <c r="K606" s="1">
        <f t="shared" si="634"/>
        <v>0</v>
      </c>
      <c r="L606" s="43">
        <v>0</v>
      </c>
      <c r="M606" s="43">
        <v>0</v>
      </c>
      <c r="N606" s="1">
        <f t="shared" si="593"/>
        <v>0</v>
      </c>
      <c r="O606" s="1">
        <f t="shared" si="594"/>
        <v>0</v>
      </c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</row>
    <row r="607" spans="1:33" s="32" customFormat="1" ht="15" customHeight="1">
      <c r="A607" s="37">
        <v>43773</v>
      </c>
      <c r="B607" s="20" t="s">
        <v>415</v>
      </c>
      <c r="C607" s="20" t="s">
        <v>46</v>
      </c>
      <c r="D607" s="20">
        <v>2700</v>
      </c>
      <c r="E607" s="38">
        <v>200</v>
      </c>
      <c r="F607" s="20" t="s">
        <v>8</v>
      </c>
      <c r="G607" s="43">
        <v>99</v>
      </c>
      <c r="H607" s="43">
        <v>108.8</v>
      </c>
      <c r="I607" s="43">
        <v>120</v>
      </c>
      <c r="J607" s="43">
        <v>0</v>
      </c>
      <c r="K607" s="1">
        <f t="shared" ref="K607" si="636">(IF(F607="SELL",G607-H607,IF(F607="BUY",H607-G607)))*E607</f>
        <v>1959.9999999999995</v>
      </c>
      <c r="L607" s="43">
        <f>E607*12</f>
        <v>2400</v>
      </c>
      <c r="M607" s="43">
        <v>0</v>
      </c>
      <c r="N607" s="1">
        <f t="shared" si="593"/>
        <v>21.8</v>
      </c>
      <c r="O607" s="1">
        <f t="shared" si="594"/>
        <v>4360</v>
      </c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</row>
    <row r="608" spans="1:33" s="32" customFormat="1" ht="15" customHeight="1">
      <c r="A608" s="37">
        <v>43773</v>
      </c>
      <c r="B608" s="20" t="s">
        <v>399</v>
      </c>
      <c r="C608" s="20" t="s">
        <v>47</v>
      </c>
      <c r="D608" s="20">
        <v>330</v>
      </c>
      <c r="E608" s="38">
        <v>2700</v>
      </c>
      <c r="F608" s="20" t="s">
        <v>8</v>
      </c>
      <c r="G608" s="43">
        <v>5</v>
      </c>
      <c r="H608" s="43">
        <v>4.5</v>
      </c>
      <c r="I608" s="43">
        <v>0</v>
      </c>
      <c r="J608" s="43">
        <v>0</v>
      </c>
      <c r="K608" s="1">
        <f t="shared" ref="K608" si="637">(IF(F608="SELL",G608-H608,IF(F608="BUY",H608-G608)))*E608</f>
        <v>-1350</v>
      </c>
      <c r="L608" s="43">
        <v>0</v>
      </c>
      <c r="M608" s="43">
        <v>0</v>
      </c>
      <c r="N608" s="1">
        <f t="shared" si="593"/>
        <v>-0.5</v>
      </c>
      <c r="O608" s="1">
        <f t="shared" si="594"/>
        <v>-1350</v>
      </c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</row>
    <row r="609" spans="1:33" s="32" customFormat="1" ht="15" customHeight="1">
      <c r="A609" s="37">
        <v>43770</v>
      </c>
      <c r="B609" s="20" t="s">
        <v>60</v>
      </c>
      <c r="C609" s="20" t="s">
        <v>46</v>
      </c>
      <c r="D609" s="20">
        <v>145</v>
      </c>
      <c r="E609" s="38">
        <v>3000</v>
      </c>
      <c r="F609" s="20" t="s">
        <v>8</v>
      </c>
      <c r="G609" s="43">
        <v>7.2</v>
      </c>
      <c r="H609" s="43">
        <v>7.7</v>
      </c>
      <c r="I609" s="43">
        <v>0</v>
      </c>
      <c r="J609" s="43">
        <v>0</v>
      </c>
      <c r="K609" s="1">
        <f t="shared" ref="K609" si="638">(IF(F609="SELL",G609-H609,IF(F609="BUY",H609-G609)))*E609</f>
        <v>1500</v>
      </c>
      <c r="L609" s="43">
        <v>0</v>
      </c>
      <c r="M609" s="43">
        <v>0</v>
      </c>
      <c r="N609" s="1">
        <f t="shared" si="593"/>
        <v>0.5</v>
      </c>
      <c r="O609" s="1">
        <f t="shared" si="594"/>
        <v>1500</v>
      </c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</row>
    <row r="610" spans="1:33" s="32" customFormat="1" ht="15" customHeight="1">
      <c r="A610" s="37">
        <v>43770</v>
      </c>
      <c r="B610" s="20" t="s">
        <v>175</v>
      </c>
      <c r="C610" s="20" t="s">
        <v>47</v>
      </c>
      <c r="D610" s="20">
        <v>4500</v>
      </c>
      <c r="E610" s="38">
        <v>250</v>
      </c>
      <c r="F610" s="20" t="s">
        <v>8</v>
      </c>
      <c r="G610" s="43">
        <v>42</v>
      </c>
      <c r="H610" s="43">
        <v>35</v>
      </c>
      <c r="I610" s="43">
        <v>0</v>
      </c>
      <c r="J610" s="43">
        <v>0</v>
      </c>
      <c r="K610" s="1">
        <f t="shared" ref="K610" si="639">(IF(F610="SELL",G610-H610,IF(F610="BUY",H610-G610)))*E610</f>
        <v>-1750</v>
      </c>
      <c r="L610" s="43">
        <v>0</v>
      </c>
      <c r="M610" s="43">
        <v>0</v>
      </c>
      <c r="N610" s="1">
        <f t="shared" si="593"/>
        <v>-7</v>
      </c>
      <c r="O610" s="1">
        <f t="shared" si="594"/>
        <v>-1750</v>
      </c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</row>
    <row r="611" spans="1:33" s="32" customFormat="1" ht="15" customHeight="1">
      <c r="A611" s="37">
        <v>43769</v>
      </c>
      <c r="B611" s="20" t="s">
        <v>461</v>
      </c>
      <c r="C611" s="20" t="s">
        <v>47</v>
      </c>
      <c r="D611" s="20">
        <v>3200</v>
      </c>
      <c r="E611" s="38">
        <v>250</v>
      </c>
      <c r="F611" s="20" t="s">
        <v>8</v>
      </c>
      <c r="G611" s="43">
        <v>35</v>
      </c>
      <c r="H611" s="43">
        <v>50</v>
      </c>
      <c r="I611" s="43">
        <v>65</v>
      </c>
      <c r="J611" s="43">
        <v>0</v>
      </c>
      <c r="K611" s="1">
        <f t="shared" ref="K611" si="640">(IF(F611="SELL",G611-H611,IF(F611="BUY",H611-G611)))*E611</f>
        <v>3750</v>
      </c>
      <c r="L611" s="43">
        <f>E611*15</f>
        <v>3750</v>
      </c>
      <c r="M611" s="43">
        <v>0</v>
      </c>
      <c r="N611" s="1">
        <f t="shared" si="593"/>
        <v>30</v>
      </c>
      <c r="O611" s="1">
        <f t="shared" si="594"/>
        <v>7500</v>
      </c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</row>
    <row r="612" spans="1:33" s="32" customFormat="1" ht="15" customHeight="1">
      <c r="A612" s="37">
        <v>43769</v>
      </c>
      <c r="B612" s="20" t="s">
        <v>37</v>
      </c>
      <c r="C612" s="20" t="s">
        <v>47</v>
      </c>
      <c r="D612" s="20">
        <v>2240</v>
      </c>
      <c r="E612" s="38">
        <v>250</v>
      </c>
      <c r="F612" s="20" t="s">
        <v>8</v>
      </c>
      <c r="G612" s="43">
        <v>22</v>
      </c>
      <c r="H612" s="43">
        <v>35</v>
      </c>
      <c r="I612" s="43">
        <v>0</v>
      </c>
      <c r="J612" s="43">
        <v>0</v>
      </c>
      <c r="K612" s="1">
        <f t="shared" ref="K612" si="641">(IF(F612="SELL",G612-H612,IF(F612="BUY",H612-G612)))*E612</f>
        <v>3250</v>
      </c>
      <c r="L612" s="43">
        <v>0</v>
      </c>
      <c r="M612" s="43">
        <v>0</v>
      </c>
      <c r="N612" s="1">
        <f t="shared" si="593"/>
        <v>13</v>
      </c>
      <c r="O612" s="1">
        <f t="shared" si="594"/>
        <v>3250</v>
      </c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</row>
    <row r="613" spans="1:33" s="32" customFormat="1" ht="15" customHeight="1">
      <c r="A613" s="37">
        <v>43769</v>
      </c>
      <c r="B613" s="20" t="s">
        <v>190</v>
      </c>
      <c r="C613" s="20" t="s">
        <v>47</v>
      </c>
      <c r="D613" s="20">
        <v>1800</v>
      </c>
      <c r="E613" s="38">
        <v>550</v>
      </c>
      <c r="F613" s="20" t="s">
        <v>8</v>
      </c>
      <c r="G613" s="43">
        <v>8</v>
      </c>
      <c r="H613" s="43">
        <v>12</v>
      </c>
      <c r="I613" s="43">
        <v>16</v>
      </c>
      <c r="J613" s="43">
        <v>0</v>
      </c>
      <c r="K613" s="1">
        <f t="shared" ref="K613" si="642">(IF(F613="SELL",G613-H613,IF(F613="BUY",H613-G613)))*E613</f>
        <v>2200</v>
      </c>
      <c r="L613" s="43">
        <f>E613*4</f>
        <v>2200</v>
      </c>
      <c r="M613" s="43">
        <v>0</v>
      </c>
      <c r="N613" s="1">
        <f t="shared" si="593"/>
        <v>8</v>
      </c>
      <c r="O613" s="1">
        <f t="shared" si="594"/>
        <v>4400</v>
      </c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</row>
    <row r="614" spans="1:33" s="32" customFormat="1" ht="15" customHeight="1">
      <c r="A614" s="37">
        <v>43768</v>
      </c>
      <c r="B614" s="20" t="s">
        <v>43</v>
      </c>
      <c r="C614" s="20" t="s">
        <v>47</v>
      </c>
      <c r="D614" s="20">
        <v>1250</v>
      </c>
      <c r="E614" s="38">
        <v>500</v>
      </c>
      <c r="F614" s="20" t="s">
        <v>8</v>
      </c>
      <c r="G614" s="43">
        <v>14</v>
      </c>
      <c r="H614" s="43">
        <v>8</v>
      </c>
      <c r="I614" s="43">
        <v>0</v>
      </c>
      <c r="J614" s="43">
        <v>0</v>
      </c>
      <c r="K614" s="1">
        <f t="shared" ref="K614" si="643">(IF(F614="SELL",G614-H614,IF(F614="BUY",H614-G614)))*E614</f>
        <v>-3000</v>
      </c>
      <c r="L614" s="43">
        <v>0</v>
      </c>
      <c r="M614" s="43">
        <v>0</v>
      </c>
      <c r="N614" s="1">
        <f t="shared" si="593"/>
        <v>-6</v>
      </c>
      <c r="O614" s="1">
        <f t="shared" si="594"/>
        <v>-3000</v>
      </c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</row>
    <row r="615" spans="1:33" s="32" customFormat="1" ht="15" customHeight="1">
      <c r="A615" s="37">
        <v>43768</v>
      </c>
      <c r="B615" s="20" t="s">
        <v>56</v>
      </c>
      <c r="C615" s="20" t="s">
        <v>47</v>
      </c>
      <c r="D615" s="20">
        <v>30600</v>
      </c>
      <c r="E615" s="38">
        <v>40</v>
      </c>
      <c r="F615" s="20" t="s">
        <v>8</v>
      </c>
      <c r="G615" s="43">
        <v>50</v>
      </c>
      <c r="H615" s="43">
        <v>12</v>
      </c>
      <c r="I615" s="43">
        <v>0</v>
      </c>
      <c r="J615" s="43">
        <v>0</v>
      </c>
      <c r="K615" s="1">
        <f t="shared" ref="K615" si="644">(IF(F615="SELL",G615-H615,IF(F615="BUY",H615-G615)))*E615</f>
        <v>-1520</v>
      </c>
      <c r="L615" s="43">
        <v>0</v>
      </c>
      <c r="M615" s="43">
        <v>0</v>
      </c>
      <c r="N615" s="1">
        <f t="shared" si="593"/>
        <v>-38</v>
      </c>
      <c r="O615" s="1">
        <f t="shared" si="594"/>
        <v>-1520</v>
      </c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</row>
    <row r="616" spans="1:33" s="32" customFormat="1" ht="15" customHeight="1">
      <c r="A616" s="37">
        <v>43768</v>
      </c>
      <c r="B616" s="20" t="s">
        <v>399</v>
      </c>
      <c r="C616" s="20" t="s">
        <v>47</v>
      </c>
      <c r="D616" s="20">
        <v>300</v>
      </c>
      <c r="E616" s="38">
        <v>2700</v>
      </c>
      <c r="F616" s="20" t="s">
        <v>8</v>
      </c>
      <c r="G616" s="43">
        <v>3.2</v>
      </c>
      <c r="H616" s="43">
        <v>3.2</v>
      </c>
      <c r="I616" s="43">
        <v>0</v>
      </c>
      <c r="J616" s="43">
        <v>0</v>
      </c>
      <c r="K616" s="1">
        <f t="shared" ref="K616" si="645">(IF(F616="SELL",G616-H616,IF(F616="BUY",H616-G616)))*E616</f>
        <v>0</v>
      </c>
      <c r="L616" s="43">
        <v>0</v>
      </c>
      <c r="M616" s="43">
        <v>0</v>
      </c>
      <c r="N616" s="1">
        <f t="shared" si="593"/>
        <v>0</v>
      </c>
      <c r="O616" s="1">
        <f t="shared" si="594"/>
        <v>0</v>
      </c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</row>
    <row r="617" spans="1:33" s="32" customFormat="1" ht="15" customHeight="1">
      <c r="A617" s="37">
        <v>43767</v>
      </c>
      <c r="B617" s="20" t="s">
        <v>190</v>
      </c>
      <c r="C617" s="20" t="s">
        <v>47</v>
      </c>
      <c r="D617" s="20">
        <v>470</v>
      </c>
      <c r="E617" s="38">
        <v>550</v>
      </c>
      <c r="F617" s="20" t="s">
        <v>8</v>
      </c>
      <c r="G617" s="43">
        <v>17</v>
      </c>
      <c r="H617" s="43">
        <v>22</v>
      </c>
      <c r="I617" s="43">
        <v>0</v>
      </c>
      <c r="J617" s="43">
        <v>0</v>
      </c>
      <c r="K617" s="1">
        <f t="shared" ref="K617" si="646">(IF(F617="SELL",G617-H617,IF(F617="BUY",H617-G617)))*E617</f>
        <v>2750</v>
      </c>
      <c r="L617" s="43">
        <v>0</v>
      </c>
      <c r="M617" s="43">
        <v>0</v>
      </c>
      <c r="N617" s="1">
        <f t="shared" si="593"/>
        <v>5</v>
      </c>
      <c r="O617" s="1">
        <f t="shared" si="594"/>
        <v>2750</v>
      </c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</row>
    <row r="618" spans="1:33" s="32" customFormat="1" ht="15" customHeight="1">
      <c r="A618" s="37">
        <v>43767</v>
      </c>
      <c r="B618" s="20" t="s">
        <v>39</v>
      </c>
      <c r="C618" s="20" t="s">
        <v>47</v>
      </c>
      <c r="D618" s="20">
        <v>1460</v>
      </c>
      <c r="E618" s="38">
        <v>500</v>
      </c>
      <c r="F618" s="20" t="s">
        <v>8</v>
      </c>
      <c r="G618" s="43">
        <v>12.5</v>
      </c>
      <c r="H618" s="43">
        <v>17.5</v>
      </c>
      <c r="I618" s="43">
        <v>22.5</v>
      </c>
      <c r="J618" s="43">
        <v>0</v>
      </c>
      <c r="K618" s="1">
        <f t="shared" ref="K618" si="647">(IF(F618="SELL",G618-H618,IF(F618="BUY",H618-G618)))*E618</f>
        <v>2500</v>
      </c>
      <c r="L618" s="43">
        <f>E618*5</f>
        <v>2500</v>
      </c>
      <c r="M618" s="43">
        <v>0</v>
      </c>
      <c r="N618" s="1">
        <f t="shared" si="593"/>
        <v>10</v>
      </c>
      <c r="O618" s="1">
        <f t="shared" si="594"/>
        <v>5000</v>
      </c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 spans="1:33" s="32" customFormat="1" ht="15" customHeight="1">
      <c r="A619" s="37">
        <v>43767</v>
      </c>
      <c r="B619" s="20" t="s">
        <v>13</v>
      </c>
      <c r="C619" s="20" t="s">
        <v>47</v>
      </c>
      <c r="D619" s="20">
        <v>470</v>
      </c>
      <c r="E619" s="38">
        <v>700</v>
      </c>
      <c r="F619" s="20" t="s">
        <v>8</v>
      </c>
      <c r="G619" s="43">
        <v>10</v>
      </c>
      <c r="H619" s="43">
        <v>10</v>
      </c>
      <c r="I619" s="43">
        <v>0</v>
      </c>
      <c r="J619" s="43">
        <v>0</v>
      </c>
      <c r="K619" s="1">
        <f t="shared" ref="K619" si="648">(IF(F619="SELL",G619-H619,IF(F619="BUY",H619-G619)))*E619</f>
        <v>0</v>
      </c>
      <c r="L619" s="43">
        <v>0</v>
      </c>
      <c r="M619" s="43">
        <v>0</v>
      </c>
      <c r="N619" s="1">
        <f t="shared" si="593"/>
        <v>0</v>
      </c>
      <c r="O619" s="1">
        <f t="shared" si="594"/>
        <v>0</v>
      </c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 spans="1:33" s="32" customFormat="1" ht="15" customHeight="1">
      <c r="A620" s="37">
        <v>43763</v>
      </c>
      <c r="B620" s="20" t="s">
        <v>30</v>
      </c>
      <c r="C620" s="20" t="s">
        <v>47</v>
      </c>
      <c r="D620" s="20">
        <v>470</v>
      </c>
      <c r="E620" s="38">
        <v>1375</v>
      </c>
      <c r="F620" s="20" t="s">
        <v>8</v>
      </c>
      <c r="G620" s="43">
        <v>6.2</v>
      </c>
      <c r="H620" s="43">
        <v>8.1999999999999993</v>
      </c>
      <c r="I620" s="43">
        <v>0</v>
      </c>
      <c r="J620" s="43">
        <v>0</v>
      </c>
      <c r="K620" s="1">
        <f t="shared" ref="K620" si="649">(IF(F620="SELL",G620-H620,IF(F620="BUY",H620-G620)))*E620</f>
        <v>2749.9999999999986</v>
      </c>
      <c r="L620" s="43">
        <v>0</v>
      </c>
      <c r="M620" s="43">
        <v>0</v>
      </c>
      <c r="N620" s="1">
        <f t="shared" si="593"/>
        <v>1.9999999999999991</v>
      </c>
      <c r="O620" s="1">
        <f t="shared" si="594"/>
        <v>2749.9999999999986</v>
      </c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</row>
    <row r="621" spans="1:33" s="32" customFormat="1" ht="15" customHeight="1">
      <c r="A621" s="37">
        <v>43763</v>
      </c>
      <c r="B621" s="20" t="s">
        <v>413</v>
      </c>
      <c r="C621" s="20" t="s">
        <v>46</v>
      </c>
      <c r="D621" s="20">
        <v>180</v>
      </c>
      <c r="E621" s="38">
        <v>800</v>
      </c>
      <c r="F621" s="20" t="s">
        <v>46</v>
      </c>
      <c r="G621" s="43">
        <v>8</v>
      </c>
      <c r="H621" s="43">
        <v>12</v>
      </c>
      <c r="I621" s="43">
        <v>0</v>
      </c>
      <c r="J621" s="43">
        <v>0</v>
      </c>
      <c r="K621" s="1">
        <f>E621*4</f>
        <v>3200</v>
      </c>
      <c r="L621" s="43">
        <v>0</v>
      </c>
      <c r="M621" s="43">
        <v>0</v>
      </c>
      <c r="N621" s="1">
        <f t="shared" si="593"/>
        <v>4</v>
      </c>
      <c r="O621" s="1">
        <f t="shared" si="594"/>
        <v>3200</v>
      </c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</row>
    <row r="622" spans="1:33" s="32" customFormat="1" ht="15" customHeight="1">
      <c r="A622" s="37">
        <v>43763</v>
      </c>
      <c r="B622" s="20" t="s">
        <v>391</v>
      </c>
      <c r="C622" s="20" t="s">
        <v>47</v>
      </c>
      <c r="D622" s="20">
        <v>420</v>
      </c>
      <c r="E622" s="38">
        <v>1100</v>
      </c>
      <c r="F622" s="20" t="s">
        <v>8</v>
      </c>
      <c r="G622" s="43">
        <v>4.5</v>
      </c>
      <c r="H622" s="43">
        <v>6.8</v>
      </c>
      <c r="I622" s="43">
        <v>0</v>
      </c>
      <c r="J622" s="43">
        <v>0</v>
      </c>
      <c r="K622" s="1">
        <f t="shared" ref="K622" si="650">(IF(F622="SELL",G622-H622,IF(F622="BUY",H622-G622)))*E622</f>
        <v>2530</v>
      </c>
      <c r="L622" s="43">
        <v>0</v>
      </c>
      <c r="M622" s="43">
        <v>0</v>
      </c>
      <c r="N622" s="1">
        <f t="shared" si="593"/>
        <v>2.2999999999999998</v>
      </c>
      <c r="O622" s="1">
        <f t="shared" si="594"/>
        <v>2530</v>
      </c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</row>
    <row r="623" spans="1:33" s="32" customFormat="1" ht="15" customHeight="1">
      <c r="A623" s="37">
        <v>43762</v>
      </c>
      <c r="B623" s="20" t="s">
        <v>96</v>
      </c>
      <c r="C623" s="20" t="s">
        <v>46</v>
      </c>
      <c r="D623" s="20">
        <v>570</v>
      </c>
      <c r="E623" s="38">
        <v>1000</v>
      </c>
      <c r="F623" s="20" t="s">
        <v>8</v>
      </c>
      <c r="G623" s="43">
        <v>5.2</v>
      </c>
      <c r="H623" s="43">
        <v>6.5</v>
      </c>
      <c r="I623" s="43">
        <v>0</v>
      </c>
      <c r="J623" s="43">
        <v>0</v>
      </c>
      <c r="K623" s="1">
        <f t="shared" ref="K623" si="651">(IF(F623="SELL",G623-H623,IF(F623="BUY",H623-G623)))*E623</f>
        <v>1299.9999999999998</v>
      </c>
      <c r="L623" s="43">
        <v>0</v>
      </c>
      <c r="M623" s="43">
        <v>0</v>
      </c>
      <c r="N623" s="1">
        <f t="shared" si="593"/>
        <v>1.2999999999999998</v>
      </c>
      <c r="O623" s="1">
        <f t="shared" si="594"/>
        <v>1299.9999999999998</v>
      </c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</row>
    <row r="624" spans="1:33" s="32" customFormat="1" ht="15" customHeight="1">
      <c r="A624" s="37">
        <v>43762</v>
      </c>
      <c r="B624" s="20" t="s">
        <v>386</v>
      </c>
      <c r="C624" s="20" t="s">
        <v>47</v>
      </c>
      <c r="D624" s="20">
        <v>1400</v>
      </c>
      <c r="E624" s="38">
        <v>750</v>
      </c>
      <c r="F624" s="20" t="s">
        <v>8</v>
      </c>
      <c r="G624" s="43">
        <v>12</v>
      </c>
      <c r="H624" s="43">
        <v>13.5</v>
      </c>
      <c r="I624" s="43">
        <v>0</v>
      </c>
      <c r="J624" s="43">
        <v>0</v>
      </c>
      <c r="K624" s="1">
        <f t="shared" ref="K624" si="652">(IF(F624="SELL",G624-H624,IF(F624="BUY",H624-G624)))*E624</f>
        <v>1125</v>
      </c>
      <c r="L624" s="43">
        <v>0</v>
      </c>
      <c r="M624" s="43">
        <v>0</v>
      </c>
      <c r="N624" s="1">
        <f t="shared" si="593"/>
        <v>1.5</v>
      </c>
      <c r="O624" s="1">
        <f t="shared" si="594"/>
        <v>1125</v>
      </c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 spans="1:33" s="32" customFormat="1" ht="15" customHeight="1">
      <c r="A625" s="37">
        <v>43762</v>
      </c>
      <c r="B625" s="20" t="s">
        <v>208</v>
      </c>
      <c r="C625" s="20" t="s">
        <v>47</v>
      </c>
      <c r="D625" s="20">
        <v>1780</v>
      </c>
      <c r="E625" s="38">
        <v>400</v>
      </c>
      <c r="F625" s="20" t="s">
        <v>8</v>
      </c>
      <c r="G625" s="43">
        <v>26</v>
      </c>
      <c r="H625" s="43">
        <v>26</v>
      </c>
      <c r="I625" s="43">
        <v>0</v>
      </c>
      <c r="J625" s="43">
        <v>0</v>
      </c>
      <c r="K625" s="1">
        <f t="shared" ref="K625" si="653">(IF(F625="SELL",G625-H625,IF(F625="BUY",H625-G625)))*E625</f>
        <v>0</v>
      </c>
      <c r="L625" s="43">
        <v>0</v>
      </c>
      <c r="M625" s="43">
        <v>0</v>
      </c>
      <c r="N625" s="1">
        <f t="shared" ref="N625:N688" si="654">(L625+K625+M625)/E625</f>
        <v>0</v>
      </c>
      <c r="O625" s="1">
        <f t="shared" ref="O625:O688" si="655">N625*E625</f>
        <v>0</v>
      </c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</row>
    <row r="626" spans="1:33" s="32" customFormat="1" ht="15" customHeight="1">
      <c r="A626" s="37">
        <v>43761</v>
      </c>
      <c r="B626" s="20" t="s">
        <v>386</v>
      </c>
      <c r="C626" s="20" t="s">
        <v>47</v>
      </c>
      <c r="D626" s="20">
        <v>1380</v>
      </c>
      <c r="E626" s="38">
        <v>750</v>
      </c>
      <c r="F626" s="20" t="s">
        <v>8</v>
      </c>
      <c r="G626" s="43">
        <v>12.2</v>
      </c>
      <c r="H626" s="43">
        <v>15</v>
      </c>
      <c r="I626" s="43">
        <v>18</v>
      </c>
      <c r="J626" s="43">
        <v>21</v>
      </c>
      <c r="K626" s="1">
        <f t="shared" ref="K626" si="656">(IF(F626="SELL",G626-H626,IF(F626="BUY",H626-G626)))*E626</f>
        <v>2100.0000000000005</v>
      </c>
      <c r="L626" s="43">
        <f>E626*3</f>
        <v>2250</v>
      </c>
      <c r="M626" s="43">
        <f>E626*3</f>
        <v>2250</v>
      </c>
      <c r="N626" s="1">
        <f t="shared" si="654"/>
        <v>8.8000000000000007</v>
      </c>
      <c r="O626" s="1">
        <f t="shared" si="655"/>
        <v>6600.0000000000009</v>
      </c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</row>
    <row r="627" spans="1:33" s="32" customFormat="1" ht="15" customHeight="1">
      <c r="A627" s="37">
        <v>43761</v>
      </c>
      <c r="B627" s="20" t="s">
        <v>411</v>
      </c>
      <c r="C627" s="20" t="s">
        <v>46</v>
      </c>
      <c r="D627" s="20">
        <v>50</v>
      </c>
      <c r="E627" s="38">
        <v>2200</v>
      </c>
      <c r="F627" s="20" t="s">
        <v>8</v>
      </c>
      <c r="G627" s="43">
        <v>3.3</v>
      </c>
      <c r="H627" s="43">
        <v>2.6</v>
      </c>
      <c r="I627" s="43">
        <v>0</v>
      </c>
      <c r="J627" s="43">
        <v>0</v>
      </c>
      <c r="K627" s="1">
        <f t="shared" ref="K627" si="657">(IF(F627="SELL",G627-H627,IF(F627="BUY",H627-G627)))*E627</f>
        <v>-1539.9999999999993</v>
      </c>
      <c r="L627" s="43">
        <v>0</v>
      </c>
      <c r="M627" s="43">
        <v>0</v>
      </c>
      <c r="N627" s="1">
        <f t="shared" si="654"/>
        <v>-0.69999999999999973</v>
      </c>
      <c r="O627" s="1">
        <f t="shared" si="655"/>
        <v>-1539.9999999999993</v>
      </c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</row>
    <row r="628" spans="1:33" s="32" customFormat="1" ht="15" customHeight="1">
      <c r="A628" s="37">
        <v>43761</v>
      </c>
      <c r="B628" s="20" t="s">
        <v>363</v>
      </c>
      <c r="C628" s="20" t="s">
        <v>47</v>
      </c>
      <c r="D628" s="20">
        <v>710</v>
      </c>
      <c r="E628" s="38">
        <v>1500</v>
      </c>
      <c r="F628" s="20" t="s">
        <v>8</v>
      </c>
      <c r="G628" s="43">
        <v>7.6</v>
      </c>
      <c r="H628" s="43">
        <v>5.5</v>
      </c>
      <c r="I628" s="43">
        <v>0</v>
      </c>
      <c r="J628" s="43">
        <v>0</v>
      </c>
      <c r="K628" s="1">
        <f t="shared" ref="K628" si="658">(IF(F628="SELL",G628-H628,IF(F628="BUY",H628-G628)))*E628</f>
        <v>-3149.9999999999995</v>
      </c>
      <c r="L628" s="43">
        <v>0</v>
      </c>
      <c r="M628" s="43">
        <v>0</v>
      </c>
      <c r="N628" s="1">
        <f t="shared" si="654"/>
        <v>-2.0999999999999996</v>
      </c>
      <c r="O628" s="1">
        <f t="shared" si="655"/>
        <v>-3149.9999999999995</v>
      </c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</row>
    <row r="629" spans="1:33" s="32" customFormat="1" ht="15" customHeight="1">
      <c r="A629" s="37">
        <v>43760</v>
      </c>
      <c r="B629" s="20" t="s">
        <v>56</v>
      </c>
      <c r="C629" s="20" t="s">
        <v>47</v>
      </c>
      <c r="D629" s="20">
        <v>29500</v>
      </c>
      <c r="E629" s="38">
        <v>20</v>
      </c>
      <c r="F629" s="20" t="s">
        <v>8</v>
      </c>
      <c r="G629" s="43">
        <v>370</v>
      </c>
      <c r="H629" s="43">
        <v>240</v>
      </c>
      <c r="I629" s="43">
        <v>0</v>
      </c>
      <c r="J629" s="43">
        <v>0</v>
      </c>
      <c r="K629" s="1">
        <f t="shared" ref="K629" si="659">(IF(F629="SELL",G629-H629,IF(F629="BUY",H629-G629)))*E629</f>
        <v>-2600</v>
      </c>
      <c r="L629" s="43">
        <v>0</v>
      </c>
      <c r="M629" s="43">
        <v>0</v>
      </c>
      <c r="N629" s="1">
        <f t="shared" si="654"/>
        <v>-130</v>
      </c>
      <c r="O629" s="1">
        <f t="shared" si="655"/>
        <v>-2600</v>
      </c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</row>
    <row r="630" spans="1:33" s="32" customFormat="1" ht="15" customHeight="1">
      <c r="A630" s="37">
        <v>43760</v>
      </c>
      <c r="B630" s="20" t="s">
        <v>24</v>
      </c>
      <c r="C630" s="20" t="s">
        <v>46</v>
      </c>
      <c r="D630" s="20">
        <v>125</v>
      </c>
      <c r="E630" s="38">
        <v>3000</v>
      </c>
      <c r="F630" s="20" t="s">
        <v>8</v>
      </c>
      <c r="G630" s="43">
        <v>3.1</v>
      </c>
      <c r="H630" s="43">
        <v>2</v>
      </c>
      <c r="I630" s="43">
        <v>0</v>
      </c>
      <c r="J630" s="43">
        <v>0</v>
      </c>
      <c r="K630" s="1">
        <f t="shared" ref="K630" si="660">(IF(F630="SELL",G630-H630,IF(F630="BUY",H630-G630)))*E630</f>
        <v>-3300.0000000000005</v>
      </c>
      <c r="L630" s="43">
        <v>0</v>
      </c>
      <c r="M630" s="43">
        <v>0</v>
      </c>
      <c r="N630" s="1">
        <f t="shared" si="654"/>
        <v>-1.1000000000000001</v>
      </c>
      <c r="O630" s="1">
        <f t="shared" si="655"/>
        <v>-3300.0000000000005</v>
      </c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</row>
    <row r="631" spans="1:33" s="32" customFormat="1" ht="15" customHeight="1">
      <c r="A631" s="37">
        <v>43760</v>
      </c>
      <c r="B631" s="20" t="s">
        <v>399</v>
      </c>
      <c r="C631" s="20" t="s">
        <v>47</v>
      </c>
      <c r="D631" s="20">
        <v>295</v>
      </c>
      <c r="E631" s="38">
        <v>2700</v>
      </c>
      <c r="F631" s="20" t="s">
        <v>8</v>
      </c>
      <c r="G631" s="43">
        <v>4</v>
      </c>
      <c r="H631" s="43">
        <v>2.9</v>
      </c>
      <c r="I631" s="43">
        <v>78</v>
      </c>
      <c r="J631" s="43">
        <v>0</v>
      </c>
      <c r="K631" s="1">
        <f t="shared" ref="K631" si="661">(IF(F631="SELL",G631-H631,IF(F631="BUY",H631-G631)))*E631</f>
        <v>-2970.0000000000005</v>
      </c>
      <c r="L631" s="43">
        <v>0</v>
      </c>
      <c r="M631" s="43">
        <v>0</v>
      </c>
      <c r="N631" s="1">
        <f t="shared" si="654"/>
        <v>-1.1000000000000001</v>
      </c>
      <c r="O631" s="1">
        <f t="shared" si="655"/>
        <v>-2970.0000000000005</v>
      </c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</row>
    <row r="632" spans="1:33" s="32" customFormat="1" ht="15" customHeight="1">
      <c r="A632" s="37">
        <v>43756</v>
      </c>
      <c r="B632" s="20" t="s">
        <v>175</v>
      </c>
      <c r="C632" s="20" t="s">
        <v>47</v>
      </c>
      <c r="D632" s="20">
        <v>4400</v>
      </c>
      <c r="E632" s="38">
        <v>250</v>
      </c>
      <c r="F632" s="20" t="s">
        <v>8</v>
      </c>
      <c r="G632" s="43">
        <v>53</v>
      </c>
      <c r="H632" s="43">
        <v>65</v>
      </c>
      <c r="I632" s="43">
        <v>78</v>
      </c>
      <c r="J632" s="43">
        <v>90</v>
      </c>
      <c r="K632" s="1">
        <f t="shared" ref="K632" si="662">(IF(F632="SELL",G632-H632,IF(F632="BUY",H632-G632)))*E632</f>
        <v>3000</v>
      </c>
      <c r="L632" s="43">
        <f>E632*13</f>
        <v>3250</v>
      </c>
      <c r="M632" s="43">
        <f>E632*12</f>
        <v>3000</v>
      </c>
      <c r="N632" s="1">
        <f t="shared" si="654"/>
        <v>37</v>
      </c>
      <c r="O632" s="1">
        <f t="shared" si="655"/>
        <v>9250</v>
      </c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</row>
    <row r="633" spans="1:33" s="32" customFormat="1" ht="15" customHeight="1">
      <c r="A633" s="37">
        <v>43756</v>
      </c>
      <c r="B633" s="20" t="s">
        <v>420</v>
      </c>
      <c r="C633" s="20" t="s">
        <v>47</v>
      </c>
      <c r="D633" s="20">
        <v>1880</v>
      </c>
      <c r="E633" s="38">
        <v>600</v>
      </c>
      <c r="F633" s="20" t="s">
        <v>8</v>
      </c>
      <c r="G633" s="43">
        <v>14</v>
      </c>
      <c r="H633" s="43">
        <v>16.399999999999999</v>
      </c>
      <c r="I633" s="43">
        <v>0</v>
      </c>
      <c r="J633" s="43">
        <v>0</v>
      </c>
      <c r="K633" s="1">
        <f t="shared" ref="K633" si="663">(IF(F633="SELL",G633-H633,IF(F633="BUY",H633-G633)))*E633</f>
        <v>1439.9999999999991</v>
      </c>
      <c r="L633" s="43">
        <v>0</v>
      </c>
      <c r="M633" s="43">
        <v>0</v>
      </c>
      <c r="N633" s="1">
        <f t="shared" si="654"/>
        <v>2.3999999999999986</v>
      </c>
      <c r="O633" s="1">
        <f t="shared" si="655"/>
        <v>1439.9999999999991</v>
      </c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</row>
    <row r="634" spans="1:33" s="32" customFormat="1" ht="15" customHeight="1">
      <c r="A634" s="37">
        <v>43755</v>
      </c>
      <c r="B634" s="20" t="s">
        <v>446</v>
      </c>
      <c r="C634" s="20" t="s">
        <v>47</v>
      </c>
      <c r="D634" s="20">
        <v>2120</v>
      </c>
      <c r="E634" s="38">
        <v>300</v>
      </c>
      <c r="F634" s="20" t="s">
        <v>8</v>
      </c>
      <c r="G634" s="43">
        <v>21</v>
      </c>
      <c r="H634" s="43">
        <v>22.5</v>
      </c>
      <c r="I634" s="43">
        <v>0</v>
      </c>
      <c r="J634" s="43">
        <v>0</v>
      </c>
      <c r="K634" s="1">
        <f t="shared" ref="K634" si="664">(IF(F634="SELL",G634-H634,IF(F634="BUY",H634-G634)))*E634</f>
        <v>450</v>
      </c>
      <c r="L634" s="43">
        <v>0</v>
      </c>
      <c r="M634" s="43">
        <v>0</v>
      </c>
      <c r="N634" s="1">
        <f t="shared" si="654"/>
        <v>1.5</v>
      </c>
      <c r="O634" s="1">
        <f t="shared" si="655"/>
        <v>450</v>
      </c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</row>
    <row r="635" spans="1:33" s="32" customFormat="1" ht="15" customHeight="1">
      <c r="A635" s="37">
        <v>43755</v>
      </c>
      <c r="B635" s="20" t="s">
        <v>460</v>
      </c>
      <c r="C635" s="20" t="s">
        <v>47</v>
      </c>
      <c r="D635" s="20">
        <v>1640</v>
      </c>
      <c r="E635" s="38">
        <v>550</v>
      </c>
      <c r="F635" s="20" t="s">
        <v>8</v>
      </c>
      <c r="G635" s="43">
        <v>26</v>
      </c>
      <c r="H635" s="43">
        <v>28.55</v>
      </c>
      <c r="I635" s="43">
        <v>0</v>
      </c>
      <c r="J635" s="43">
        <v>0</v>
      </c>
      <c r="K635" s="1">
        <f t="shared" ref="K635" si="665">(IF(F635="SELL",G635-H635,IF(F635="BUY",H635-G635)))*E635</f>
        <v>1402.5000000000005</v>
      </c>
      <c r="L635" s="43">
        <v>0</v>
      </c>
      <c r="M635" s="43">
        <v>0</v>
      </c>
      <c r="N635" s="1">
        <f t="shared" si="654"/>
        <v>2.5500000000000007</v>
      </c>
      <c r="O635" s="1">
        <f t="shared" si="655"/>
        <v>1402.5000000000005</v>
      </c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</row>
    <row r="636" spans="1:33" s="32" customFormat="1" ht="15" customHeight="1">
      <c r="A636" s="37">
        <v>43755</v>
      </c>
      <c r="B636" s="20" t="s">
        <v>415</v>
      </c>
      <c r="C636" s="20" t="s">
        <v>46</v>
      </c>
      <c r="D636" s="20">
        <v>2250</v>
      </c>
      <c r="E636" s="38">
        <v>200</v>
      </c>
      <c r="F636" s="20" t="s">
        <v>8</v>
      </c>
      <c r="G636" s="43">
        <v>70</v>
      </c>
      <c r="H636" s="43">
        <v>60</v>
      </c>
      <c r="I636" s="43">
        <v>0</v>
      </c>
      <c r="J636" s="43">
        <v>0</v>
      </c>
      <c r="K636" s="1">
        <f t="shared" ref="K636" si="666">(IF(F636="SELL",G636-H636,IF(F636="BUY",H636-G636)))*E636</f>
        <v>-2000</v>
      </c>
      <c r="L636" s="43">
        <v>0</v>
      </c>
      <c r="M636" s="43">
        <v>0</v>
      </c>
      <c r="N636" s="1">
        <f t="shared" si="654"/>
        <v>-10</v>
      </c>
      <c r="O636" s="1">
        <f t="shared" si="655"/>
        <v>-2000</v>
      </c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</row>
    <row r="637" spans="1:33" s="32" customFormat="1" ht="15" customHeight="1">
      <c r="A637" s="37">
        <v>43754</v>
      </c>
      <c r="B637" s="20" t="s">
        <v>30</v>
      </c>
      <c r="C637" s="20" t="s">
        <v>47</v>
      </c>
      <c r="D637" s="20">
        <v>450</v>
      </c>
      <c r="E637" s="38">
        <v>1375</v>
      </c>
      <c r="F637" s="20" t="s">
        <v>8</v>
      </c>
      <c r="G637" s="43">
        <v>7</v>
      </c>
      <c r="H637" s="43">
        <v>7.9</v>
      </c>
      <c r="I637" s="43">
        <v>0</v>
      </c>
      <c r="J637" s="43">
        <v>0</v>
      </c>
      <c r="K637" s="1">
        <f t="shared" ref="K637" si="667">(IF(F637="SELL",G637-H637,IF(F637="BUY",H637-G637)))*E637</f>
        <v>1237.5000000000005</v>
      </c>
      <c r="L637" s="43">
        <v>0</v>
      </c>
      <c r="M637" s="43">
        <v>0</v>
      </c>
      <c r="N637" s="1">
        <f t="shared" si="654"/>
        <v>0.90000000000000036</v>
      </c>
      <c r="O637" s="1">
        <f t="shared" si="655"/>
        <v>1237.5000000000005</v>
      </c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</row>
    <row r="638" spans="1:33" s="32" customFormat="1" ht="15" customHeight="1">
      <c r="A638" s="37">
        <v>43754</v>
      </c>
      <c r="B638" s="20" t="s">
        <v>424</v>
      </c>
      <c r="C638" s="20" t="s">
        <v>47</v>
      </c>
      <c r="D638" s="20">
        <v>1320</v>
      </c>
      <c r="E638" s="38">
        <v>750</v>
      </c>
      <c r="F638" s="20" t="s">
        <v>8</v>
      </c>
      <c r="G638" s="43">
        <v>11</v>
      </c>
      <c r="H638" s="43">
        <v>11</v>
      </c>
      <c r="I638" s="43">
        <v>0</v>
      </c>
      <c r="J638" s="43">
        <v>0</v>
      </c>
      <c r="K638" s="1">
        <f t="shared" ref="K638" si="668">(IF(F638="SELL",G638-H638,IF(F638="BUY",H638-G638)))*E638</f>
        <v>0</v>
      </c>
      <c r="L638" s="43">
        <v>0</v>
      </c>
      <c r="M638" s="43">
        <v>0</v>
      </c>
      <c r="N638" s="1">
        <f t="shared" si="654"/>
        <v>0</v>
      </c>
      <c r="O638" s="1">
        <f t="shared" si="655"/>
        <v>0</v>
      </c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</row>
    <row r="639" spans="1:33" s="32" customFormat="1" ht="15" customHeight="1">
      <c r="A639" s="37">
        <v>43754</v>
      </c>
      <c r="B639" s="20" t="s">
        <v>460</v>
      </c>
      <c r="C639" s="20" t="s">
        <v>47</v>
      </c>
      <c r="D639" s="20">
        <v>1640</v>
      </c>
      <c r="E639" s="38">
        <v>550</v>
      </c>
      <c r="F639" s="20" t="s">
        <v>8</v>
      </c>
      <c r="G639" s="43">
        <v>26</v>
      </c>
      <c r="H639" s="43">
        <v>24.1</v>
      </c>
      <c r="I639" s="43">
        <v>0</v>
      </c>
      <c r="J639" s="43">
        <v>0</v>
      </c>
      <c r="K639" s="1">
        <f t="shared" ref="K639" si="669">(IF(F639="SELL",G639-H639,IF(F639="BUY",H639-G639)))*E639</f>
        <v>-1044.9999999999993</v>
      </c>
      <c r="L639" s="43">
        <v>0</v>
      </c>
      <c r="M639" s="43">
        <v>0</v>
      </c>
      <c r="N639" s="1">
        <f t="shared" si="654"/>
        <v>-1.8999999999999988</v>
      </c>
      <c r="O639" s="1">
        <f t="shared" si="655"/>
        <v>-1044.9999999999993</v>
      </c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</row>
    <row r="640" spans="1:33" s="32" customFormat="1" ht="15" customHeight="1">
      <c r="A640" s="37">
        <v>43753</v>
      </c>
      <c r="B640" s="20" t="s">
        <v>424</v>
      </c>
      <c r="C640" s="20" t="s">
        <v>47</v>
      </c>
      <c r="D640" s="20">
        <v>1280</v>
      </c>
      <c r="E640" s="38">
        <v>750</v>
      </c>
      <c r="F640" s="20" t="s">
        <v>8</v>
      </c>
      <c r="G640" s="43">
        <v>22</v>
      </c>
      <c r="H640" s="43">
        <v>26</v>
      </c>
      <c r="I640" s="43">
        <v>0</v>
      </c>
      <c r="J640" s="43">
        <v>0</v>
      </c>
      <c r="K640" s="1">
        <f t="shared" ref="K640" si="670">(IF(F640="SELL",G640-H640,IF(F640="BUY",H640-G640)))*E640</f>
        <v>3000</v>
      </c>
      <c r="L640" s="43">
        <v>0</v>
      </c>
      <c r="M640" s="43">
        <v>0</v>
      </c>
      <c r="N640" s="1">
        <f t="shared" si="654"/>
        <v>4</v>
      </c>
      <c r="O640" s="1">
        <f t="shared" si="655"/>
        <v>3000</v>
      </c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</row>
    <row r="641" spans="1:33" s="32" customFormat="1" ht="15" customHeight="1">
      <c r="A641" s="37">
        <v>43753</v>
      </c>
      <c r="B641" s="20" t="s">
        <v>60</v>
      </c>
      <c r="C641" s="20" t="s">
        <v>46</v>
      </c>
      <c r="D641" s="20">
        <v>145</v>
      </c>
      <c r="E641" s="38">
        <v>3000</v>
      </c>
      <c r="F641" s="20" t="s">
        <v>8</v>
      </c>
      <c r="G641" s="43">
        <v>5.5</v>
      </c>
      <c r="H641" s="43">
        <v>4.4000000000000004</v>
      </c>
      <c r="I641" s="43">
        <v>0</v>
      </c>
      <c r="J641" s="43">
        <v>0</v>
      </c>
      <c r="K641" s="1">
        <f t="shared" ref="K641" si="671">(IF(F641="SELL",G641-H641,IF(F641="BUY",H641-G641)))*E641</f>
        <v>-3299.9999999999991</v>
      </c>
      <c r="L641" s="43">
        <v>0</v>
      </c>
      <c r="M641" s="43">
        <v>0</v>
      </c>
      <c r="N641" s="1">
        <f t="shared" si="654"/>
        <v>-1.0999999999999996</v>
      </c>
      <c r="O641" s="1">
        <f t="shared" si="655"/>
        <v>-3299.9999999999991</v>
      </c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</row>
    <row r="642" spans="1:33" s="32" customFormat="1" ht="15" customHeight="1">
      <c r="A642" s="37">
        <v>43752</v>
      </c>
      <c r="B642" s="20" t="s">
        <v>24</v>
      </c>
      <c r="C642" s="20" t="s">
        <v>46</v>
      </c>
      <c r="D642" s="20">
        <v>135</v>
      </c>
      <c r="E642" s="38">
        <v>3000</v>
      </c>
      <c r="F642" s="20" t="s">
        <v>8</v>
      </c>
      <c r="G642" s="43">
        <v>3.9</v>
      </c>
      <c r="H642" s="43">
        <v>4.3499999999999996</v>
      </c>
      <c r="I642" s="43">
        <v>0</v>
      </c>
      <c r="J642" s="43">
        <v>0</v>
      </c>
      <c r="K642" s="1">
        <f t="shared" ref="K642" si="672">(IF(F642="SELL",G642-H642,IF(F642="BUY",H642-G642)))*E642</f>
        <v>1349.9999999999991</v>
      </c>
      <c r="L642" s="43">
        <v>0</v>
      </c>
      <c r="M642" s="43">
        <v>0</v>
      </c>
      <c r="N642" s="1">
        <f t="shared" si="654"/>
        <v>0.44999999999999968</v>
      </c>
      <c r="O642" s="1">
        <f t="shared" si="655"/>
        <v>1349.9999999999991</v>
      </c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</row>
    <row r="643" spans="1:33" s="32" customFormat="1" ht="15" customHeight="1">
      <c r="A643" s="37">
        <v>43752</v>
      </c>
      <c r="B643" s="20" t="s">
        <v>193</v>
      </c>
      <c r="C643" s="20" t="s">
        <v>47</v>
      </c>
      <c r="D643" s="20">
        <v>385</v>
      </c>
      <c r="E643" s="38">
        <v>2750</v>
      </c>
      <c r="F643" s="20" t="s">
        <v>8</v>
      </c>
      <c r="G643" s="43">
        <v>8.3000000000000007</v>
      </c>
      <c r="H643" s="43">
        <v>7.3</v>
      </c>
      <c r="I643" s="43">
        <v>7.3</v>
      </c>
      <c r="J643" s="43">
        <v>0</v>
      </c>
      <c r="K643" s="1">
        <v>0</v>
      </c>
      <c r="L643" s="43">
        <v>0</v>
      </c>
      <c r="M643" s="43">
        <v>0</v>
      </c>
      <c r="N643" s="1">
        <f t="shared" si="654"/>
        <v>0</v>
      </c>
      <c r="O643" s="1">
        <f t="shared" si="655"/>
        <v>0</v>
      </c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</row>
    <row r="644" spans="1:33" s="32" customFormat="1" ht="15" customHeight="1">
      <c r="A644" s="37">
        <v>43749</v>
      </c>
      <c r="B644" s="20" t="s">
        <v>35</v>
      </c>
      <c r="C644" s="20" t="s">
        <v>46</v>
      </c>
      <c r="D644" s="20">
        <v>370</v>
      </c>
      <c r="E644" s="38">
        <v>1100</v>
      </c>
      <c r="F644" s="20" t="s">
        <v>8</v>
      </c>
      <c r="G644" s="43">
        <v>18</v>
      </c>
      <c r="H644" s="43">
        <v>16</v>
      </c>
      <c r="I644" s="43">
        <v>0</v>
      </c>
      <c r="J644" s="43">
        <v>0</v>
      </c>
      <c r="K644" s="1">
        <f t="shared" ref="K644" si="673">(IF(F644="SELL",G644-H644,IF(F644="BUY",H644-G644)))*E644</f>
        <v>-2200</v>
      </c>
      <c r="L644" s="43">
        <v>0</v>
      </c>
      <c r="M644" s="43">
        <v>0</v>
      </c>
      <c r="N644" s="1">
        <f t="shared" si="654"/>
        <v>-2</v>
      </c>
      <c r="O644" s="1">
        <f t="shared" si="655"/>
        <v>-2200</v>
      </c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</row>
    <row r="645" spans="1:33" s="32" customFormat="1" ht="15" customHeight="1">
      <c r="A645" s="37">
        <v>43749</v>
      </c>
      <c r="B645" s="20" t="s">
        <v>420</v>
      </c>
      <c r="C645" s="20" t="s">
        <v>47</v>
      </c>
      <c r="D645" s="20">
        <v>1860</v>
      </c>
      <c r="E645" s="38">
        <v>600</v>
      </c>
      <c r="F645" s="20" t="s">
        <v>8</v>
      </c>
      <c r="G645" s="43">
        <v>18.8</v>
      </c>
      <c r="H645" s="43">
        <v>17.5</v>
      </c>
      <c r="I645" s="43">
        <v>0</v>
      </c>
      <c r="J645" s="43">
        <v>0</v>
      </c>
      <c r="K645" s="1">
        <f t="shared" ref="K645" si="674">(IF(F645="SELL",G645-H645,IF(F645="BUY",H645-G645)))*E645</f>
        <v>-780.00000000000045</v>
      </c>
      <c r="L645" s="43">
        <v>0</v>
      </c>
      <c r="M645" s="43">
        <v>0</v>
      </c>
      <c r="N645" s="1">
        <f t="shared" si="654"/>
        <v>-1.3000000000000007</v>
      </c>
      <c r="O645" s="1">
        <f t="shared" si="655"/>
        <v>-780.00000000000045</v>
      </c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</row>
    <row r="646" spans="1:33" s="32" customFormat="1" ht="15" customHeight="1">
      <c r="A646" s="37">
        <v>43749</v>
      </c>
      <c r="B646" s="20" t="s">
        <v>459</v>
      </c>
      <c r="C646" s="20" t="s">
        <v>46</v>
      </c>
      <c r="D646" s="20">
        <v>1100</v>
      </c>
      <c r="E646" s="38">
        <v>400</v>
      </c>
      <c r="F646" s="20" t="s">
        <v>8</v>
      </c>
      <c r="G646" s="43">
        <v>28</v>
      </c>
      <c r="H646" s="43">
        <v>21</v>
      </c>
      <c r="I646" s="43">
        <v>0</v>
      </c>
      <c r="J646" s="43">
        <v>0</v>
      </c>
      <c r="K646" s="1">
        <f t="shared" ref="K646:K647" si="675">(IF(F646="SELL",G646-H646,IF(F646="BUY",H646-G646)))*E646</f>
        <v>-2800</v>
      </c>
      <c r="L646" s="43">
        <v>0</v>
      </c>
      <c r="M646" s="43">
        <v>0</v>
      </c>
      <c r="N646" s="1">
        <f t="shared" si="654"/>
        <v>-7</v>
      </c>
      <c r="O646" s="1">
        <f t="shared" si="655"/>
        <v>-2800</v>
      </c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</row>
    <row r="647" spans="1:33" s="32" customFormat="1" ht="15" customHeight="1">
      <c r="A647" s="37">
        <v>43748</v>
      </c>
      <c r="B647" s="20" t="s">
        <v>446</v>
      </c>
      <c r="C647" s="20" t="s">
        <v>47</v>
      </c>
      <c r="D647" s="20">
        <v>1980</v>
      </c>
      <c r="E647" s="38">
        <v>300</v>
      </c>
      <c r="F647" s="20" t="s">
        <v>8</v>
      </c>
      <c r="G647" s="43">
        <v>46</v>
      </c>
      <c r="H647" s="43">
        <v>50.1</v>
      </c>
      <c r="I647" s="43">
        <v>0</v>
      </c>
      <c r="J647" s="43">
        <v>0</v>
      </c>
      <c r="K647" s="1">
        <f t="shared" si="675"/>
        <v>1230.0000000000005</v>
      </c>
      <c r="L647" s="43">
        <v>0</v>
      </c>
      <c r="M647" s="43">
        <v>0</v>
      </c>
      <c r="N647" s="1">
        <f t="shared" si="654"/>
        <v>4.1000000000000014</v>
      </c>
      <c r="O647" s="1">
        <f t="shared" si="655"/>
        <v>1230.0000000000005</v>
      </c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</row>
    <row r="648" spans="1:33" s="32" customFormat="1" ht="15" customHeight="1">
      <c r="A648" s="37">
        <v>43747</v>
      </c>
      <c r="B648" s="20" t="s">
        <v>369</v>
      </c>
      <c r="C648" s="20" t="s">
        <v>46</v>
      </c>
      <c r="D648" s="20">
        <v>170</v>
      </c>
      <c r="E648" s="38">
        <v>2000</v>
      </c>
      <c r="F648" s="20" t="s">
        <v>8</v>
      </c>
      <c r="G648" s="43">
        <v>6.6</v>
      </c>
      <c r="H648" s="43">
        <v>7.6</v>
      </c>
      <c r="I648" s="43">
        <v>0</v>
      </c>
      <c r="J648" s="43">
        <v>0</v>
      </c>
      <c r="K648" s="1">
        <f t="shared" ref="K648" si="676">(IF(F648="SELL",G648-H648,IF(F648="BUY",H648-G648)))*E648</f>
        <v>2000</v>
      </c>
      <c r="L648" s="43">
        <v>0</v>
      </c>
      <c r="M648" s="43">
        <v>0</v>
      </c>
      <c r="N648" s="1">
        <f t="shared" si="654"/>
        <v>1</v>
      </c>
      <c r="O648" s="1">
        <f t="shared" si="655"/>
        <v>2000</v>
      </c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</row>
    <row r="649" spans="1:33" s="32" customFormat="1" ht="15" customHeight="1">
      <c r="A649" s="37">
        <v>43747</v>
      </c>
      <c r="B649" s="20" t="s">
        <v>71</v>
      </c>
      <c r="C649" s="20" t="s">
        <v>46</v>
      </c>
      <c r="D649" s="20">
        <v>210</v>
      </c>
      <c r="E649" s="38">
        <v>2000</v>
      </c>
      <c r="F649" s="20" t="s">
        <v>8</v>
      </c>
      <c r="G649" s="43">
        <v>12</v>
      </c>
      <c r="H649" s="43">
        <v>12.8</v>
      </c>
      <c r="I649" s="43">
        <v>0</v>
      </c>
      <c r="J649" s="43">
        <v>0</v>
      </c>
      <c r="K649" s="1">
        <f t="shared" ref="K649:K650" si="677">(IF(F649="SELL",G649-H649,IF(F649="BUY",H649-G649)))*E649</f>
        <v>1600.0000000000014</v>
      </c>
      <c r="L649" s="43">
        <v>0</v>
      </c>
      <c r="M649" s="43">
        <v>0</v>
      </c>
      <c r="N649" s="1">
        <f t="shared" si="654"/>
        <v>0.80000000000000071</v>
      </c>
      <c r="O649" s="1">
        <f t="shared" si="655"/>
        <v>1600.0000000000014</v>
      </c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</row>
    <row r="650" spans="1:33" s="32" customFormat="1" ht="15" customHeight="1">
      <c r="A650" s="37">
        <v>43745</v>
      </c>
      <c r="B650" s="20" t="s">
        <v>32</v>
      </c>
      <c r="C650" s="20" t="s">
        <v>46</v>
      </c>
      <c r="D650" s="20">
        <v>530</v>
      </c>
      <c r="E650" s="38">
        <v>1000</v>
      </c>
      <c r="F650" s="20" t="s">
        <v>8</v>
      </c>
      <c r="G650" s="43">
        <v>12</v>
      </c>
      <c r="H650" s="43">
        <v>16</v>
      </c>
      <c r="I650" s="43">
        <v>20</v>
      </c>
      <c r="J650" s="43">
        <v>25</v>
      </c>
      <c r="K650" s="1">
        <f t="shared" si="677"/>
        <v>4000</v>
      </c>
      <c r="L650" s="43">
        <f>E650*4</f>
        <v>4000</v>
      </c>
      <c r="M650" s="43">
        <f>E650*5</f>
        <v>5000</v>
      </c>
      <c r="N650" s="1">
        <f t="shared" si="654"/>
        <v>13</v>
      </c>
      <c r="O650" s="1">
        <f t="shared" si="655"/>
        <v>13000</v>
      </c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</row>
    <row r="651" spans="1:33" s="32" customFormat="1" ht="15" customHeight="1">
      <c r="A651" s="37">
        <v>43745</v>
      </c>
      <c r="B651" s="20" t="s">
        <v>417</v>
      </c>
      <c r="C651" s="20" t="s">
        <v>46</v>
      </c>
      <c r="D651" s="20">
        <v>260</v>
      </c>
      <c r="E651" s="38">
        <v>1000</v>
      </c>
      <c r="F651" s="20" t="s">
        <v>8</v>
      </c>
      <c r="G651" s="43">
        <v>5.5</v>
      </c>
      <c r="H651" s="43">
        <v>8.5</v>
      </c>
      <c r="I651" s="43">
        <v>12.5</v>
      </c>
      <c r="J651" s="43">
        <v>15.8</v>
      </c>
      <c r="K651" s="1">
        <f t="shared" ref="K651" si="678">(IF(F651="SELL",G651-H651,IF(F651="BUY",H651-G651)))*E651</f>
        <v>3000</v>
      </c>
      <c r="L651" s="43">
        <f>E651*4</f>
        <v>4000</v>
      </c>
      <c r="M651" s="43">
        <f>E651*3.3</f>
        <v>3300</v>
      </c>
      <c r="N651" s="1">
        <f t="shared" si="654"/>
        <v>10.3</v>
      </c>
      <c r="O651" s="1">
        <f t="shared" si="655"/>
        <v>10300</v>
      </c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</row>
    <row r="652" spans="1:33" s="32" customFormat="1" ht="15" customHeight="1">
      <c r="A652" s="37">
        <v>43745</v>
      </c>
      <c r="B652" s="20" t="s">
        <v>414</v>
      </c>
      <c r="C652" s="20" t="s">
        <v>47</v>
      </c>
      <c r="D652" s="20">
        <v>45</v>
      </c>
      <c r="E652" s="38">
        <v>2200</v>
      </c>
      <c r="F652" s="20" t="s">
        <v>8</v>
      </c>
      <c r="G652" s="43">
        <v>7</v>
      </c>
      <c r="H652" s="43">
        <v>6.65</v>
      </c>
      <c r="I652" s="43">
        <v>0</v>
      </c>
      <c r="J652" s="43">
        <v>0</v>
      </c>
      <c r="K652" s="1">
        <f t="shared" ref="K652" si="679">(IF(F652="SELL",G652-H652,IF(F652="BUY",H652-G652)))*E652</f>
        <v>-769.9999999999992</v>
      </c>
      <c r="L652" s="43">
        <v>0</v>
      </c>
      <c r="M652" s="43">
        <v>0</v>
      </c>
      <c r="N652" s="1">
        <f t="shared" si="654"/>
        <v>-0.34999999999999964</v>
      </c>
      <c r="O652" s="1">
        <f t="shared" si="655"/>
        <v>-769.9999999999992</v>
      </c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</row>
    <row r="653" spans="1:33" s="32" customFormat="1" ht="15" customHeight="1">
      <c r="A653" s="37">
        <v>43742</v>
      </c>
      <c r="B653" s="20" t="s">
        <v>399</v>
      </c>
      <c r="C653" s="20" t="s">
        <v>46</v>
      </c>
      <c r="D653" s="20">
        <v>260</v>
      </c>
      <c r="E653" s="38">
        <v>2700</v>
      </c>
      <c r="F653" s="20" t="s">
        <v>8</v>
      </c>
      <c r="G653" s="43">
        <v>6.1</v>
      </c>
      <c r="H653" s="43">
        <v>7</v>
      </c>
      <c r="I653" s="43">
        <v>0</v>
      </c>
      <c r="J653" s="43">
        <v>0</v>
      </c>
      <c r="K653" s="1">
        <f t="shared" ref="K653:K656" si="680">(IF(F653="SELL",G653-H653,IF(F653="BUY",H653-G653)))*E653</f>
        <v>2430.0000000000009</v>
      </c>
      <c r="L653" s="43">
        <v>0</v>
      </c>
      <c r="M653" s="43">
        <v>0</v>
      </c>
      <c r="N653" s="1">
        <f t="shared" si="654"/>
        <v>0.90000000000000036</v>
      </c>
      <c r="O653" s="1">
        <f t="shared" si="655"/>
        <v>2430.0000000000009</v>
      </c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</row>
    <row r="654" spans="1:33" s="32" customFormat="1" ht="15" customHeight="1">
      <c r="A654" s="37">
        <v>43742</v>
      </c>
      <c r="B654" s="20" t="s">
        <v>54</v>
      </c>
      <c r="C654" s="20" t="s">
        <v>46</v>
      </c>
      <c r="D654" s="20">
        <v>470</v>
      </c>
      <c r="E654" s="38">
        <v>1000</v>
      </c>
      <c r="F654" s="20" t="s">
        <v>8</v>
      </c>
      <c r="G654" s="43">
        <v>22.55</v>
      </c>
      <c r="H654" s="43">
        <v>24.75</v>
      </c>
      <c r="I654" s="43">
        <v>0</v>
      </c>
      <c r="J654" s="43">
        <v>0</v>
      </c>
      <c r="K654" s="1">
        <f t="shared" si="680"/>
        <v>2199.9999999999991</v>
      </c>
      <c r="L654" s="43">
        <v>0</v>
      </c>
      <c r="M654" s="43">
        <v>0</v>
      </c>
      <c r="N654" s="1">
        <f t="shared" si="654"/>
        <v>2.1999999999999993</v>
      </c>
      <c r="O654" s="1">
        <f t="shared" si="655"/>
        <v>2199.9999999999991</v>
      </c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</row>
    <row r="655" spans="1:33" s="32" customFormat="1" ht="15" customHeight="1">
      <c r="A655" s="37">
        <v>43742</v>
      </c>
      <c r="B655" s="20" t="s">
        <v>458</v>
      </c>
      <c r="C655" s="20" t="s">
        <v>46</v>
      </c>
      <c r="D655" s="20">
        <v>2850</v>
      </c>
      <c r="E655" s="38">
        <v>200</v>
      </c>
      <c r="F655" s="20" t="s">
        <v>8</v>
      </c>
      <c r="G655" s="43">
        <v>74</v>
      </c>
      <c r="H655" s="43">
        <v>79</v>
      </c>
      <c r="I655" s="43">
        <v>0</v>
      </c>
      <c r="J655" s="43">
        <v>0</v>
      </c>
      <c r="K655" s="1">
        <f t="shared" si="680"/>
        <v>1000</v>
      </c>
      <c r="L655" s="43">
        <v>0</v>
      </c>
      <c r="M655" s="43">
        <v>0</v>
      </c>
      <c r="N655" s="1">
        <f t="shared" si="654"/>
        <v>5</v>
      </c>
      <c r="O655" s="1">
        <f t="shared" si="655"/>
        <v>1000</v>
      </c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</row>
    <row r="656" spans="1:33" s="32" customFormat="1" ht="15" customHeight="1">
      <c r="A656" s="37">
        <v>43742</v>
      </c>
      <c r="B656" s="20" t="s">
        <v>410</v>
      </c>
      <c r="C656" s="20" t="s">
        <v>46</v>
      </c>
      <c r="D656" s="20">
        <v>1750</v>
      </c>
      <c r="E656" s="38">
        <v>600</v>
      </c>
      <c r="F656" s="20" t="s">
        <v>8</v>
      </c>
      <c r="G656" s="43">
        <v>51</v>
      </c>
      <c r="H656" s="43">
        <v>45</v>
      </c>
      <c r="I656" s="43">
        <v>0</v>
      </c>
      <c r="J656" s="43">
        <v>0</v>
      </c>
      <c r="K656" s="1">
        <f t="shared" si="680"/>
        <v>-3600</v>
      </c>
      <c r="L656" s="43">
        <v>0</v>
      </c>
      <c r="M656" s="43">
        <v>0</v>
      </c>
      <c r="N656" s="1">
        <f t="shared" si="654"/>
        <v>-6</v>
      </c>
      <c r="O656" s="1">
        <f t="shared" si="655"/>
        <v>-3600</v>
      </c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</row>
    <row r="657" spans="1:33" s="32" customFormat="1" ht="15" customHeight="1">
      <c r="A657" s="37">
        <v>43741</v>
      </c>
      <c r="B657" s="20" t="s">
        <v>395</v>
      </c>
      <c r="C657" s="20" t="s">
        <v>47</v>
      </c>
      <c r="D657" s="20">
        <v>520</v>
      </c>
      <c r="E657" s="38">
        <v>1800</v>
      </c>
      <c r="F657" s="20" t="s">
        <v>8</v>
      </c>
      <c r="G657" s="43">
        <v>26</v>
      </c>
      <c r="H657" s="43">
        <v>27.7</v>
      </c>
      <c r="I657" s="43">
        <v>32.700000000000003</v>
      </c>
      <c r="J657" s="43">
        <v>37.700000000000003</v>
      </c>
      <c r="K657" s="1">
        <f t="shared" ref="K657:K660" si="681">(IF(F657="SELL",G657-H657,IF(F657="BUY",H657-G657)))*E657</f>
        <v>3059.9999999999986</v>
      </c>
      <c r="L657" s="43">
        <f>E657*5</f>
        <v>9000</v>
      </c>
      <c r="M657" s="43">
        <f>E657*5</f>
        <v>9000</v>
      </c>
      <c r="N657" s="1">
        <f t="shared" si="654"/>
        <v>11.7</v>
      </c>
      <c r="O657" s="1">
        <f t="shared" si="655"/>
        <v>21060</v>
      </c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</row>
    <row r="658" spans="1:33" s="32" customFormat="1" ht="15" customHeight="1">
      <c r="A658" s="37">
        <v>43741</v>
      </c>
      <c r="B658" s="20" t="s">
        <v>60</v>
      </c>
      <c r="C658" s="20" t="s">
        <v>425</v>
      </c>
      <c r="D658" s="20">
        <v>145</v>
      </c>
      <c r="E658" s="38">
        <v>3000</v>
      </c>
      <c r="F658" s="20" t="s">
        <v>8</v>
      </c>
      <c r="G658" s="43">
        <v>7.3</v>
      </c>
      <c r="H658" s="43">
        <v>8.1</v>
      </c>
      <c r="I658" s="43">
        <v>0</v>
      </c>
      <c r="J658" s="43">
        <v>0</v>
      </c>
      <c r="K658" s="1">
        <f t="shared" si="681"/>
        <v>2399.9999999999995</v>
      </c>
      <c r="L658" s="43">
        <v>0</v>
      </c>
      <c r="M658" s="43">
        <v>0</v>
      </c>
      <c r="N658" s="1">
        <f t="shared" si="654"/>
        <v>0.79999999999999982</v>
      </c>
      <c r="O658" s="1">
        <f t="shared" si="655"/>
        <v>2399.9999999999995</v>
      </c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</row>
    <row r="659" spans="1:33" s="32" customFormat="1" ht="15" customHeight="1">
      <c r="A659" s="37">
        <v>43741</v>
      </c>
      <c r="B659" s="20" t="s">
        <v>27</v>
      </c>
      <c r="C659" s="20" t="s">
        <v>425</v>
      </c>
      <c r="D659" s="20">
        <v>185</v>
      </c>
      <c r="E659" s="38">
        <v>2200</v>
      </c>
      <c r="F659" s="20" t="s">
        <v>8</v>
      </c>
      <c r="G659" s="43">
        <v>5.5</v>
      </c>
      <c r="H659" s="43">
        <v>6.6</v>
      </c>
      <c r="I659" s="43">
        <v>0</v>
      </c>
      <c r="J659" s="43">
        <v>0</v>
      </c>
      <c r="K659" s="1">
        <f t="shared" si="681"/>
        <v>2419.9999999999991</v>
      </c>
      <c r="L659" s="43">
        <v>0</v>
      </c>
      <c r="M659" s="43">
        <v>0</v>
      </c>
      <c r="N659" s="1">
        <f t="shared" si="654"/>
        <v>1.0999999999999996</v>
      </c>
      <c r="O659" s="1">
        <f t="shared" si="655"/>
        <v>2419.9999999999991</v>
      </c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</row>
    <row r="660" spans="1:33" s="32" customFormat="1" ht="15" customHeight="1">
      <c r="A660" s="37">
        <v>43741</v>
      </c>
      <c r="B660" s="20" t="s">
        <v>447</v>
      </c>
      <c r="C660" s="20" t="s">
        <v>47</v>
      </c>
      <c r="D660" s="20">
        <v>120</v>
      </c>
      <c r="E660" s="38">
        <v>3000</v>
      </c>
      <c r="F660" s="20" t="s">
        <v>8</v>
      </c>
      <c r="G660" s="43">
        <v>9</v>
      </c>
      <c r="H660" s="43">
        <v>7.8</v>
      </c>
      <c r="I660" s="43">
        <v>0</v>
      </c>
      <c r="J660" s="43">
        <v>0</v>
      </c>
      <c r="K660" s="1">
        <f t="shared" si="681"/>
        <v>-3600.0000000000005</v>
      </c>
      <c r="L660" s="43">
        <v>0</v>
      </c>
      <c r="M660" s="43">
        <v>0</v>
      </c>
      <c r="N660" s="1">
        <f t="shared" si="654"/>
        <v>-1.2000000000000002</v>
      </c>
      <c r="O660" s="1">
        <f t="shared" si="655"/>
        <v>-3600.0000000000005</v>
      </c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</row>
    <row r="661" spans="1:33" s="32" customFormat="1" ht="15" customHeight="1">
      <c r="A661" s="37">
        <v>43739</v>
      </c>
      <c r="B661" s="20" t="s">
        <v>452</v>
      </c>
      <c r="C661" s="20" t="s">
        <v>425</v>
      </c>
      <c r="D661" s="20">
        <v>250</v>
      </c>
      <c r="E661" s="38">
        <v>1200</v>
      </c>
      <c r="F661" s="20" t="s">
        <v>8</v>
      </c>
      <c r="G661" s="43">
        <v>8.1999999999999993</v>
      </c>
      <c r="H661" s="43">
        <v>12.2</v>
      </c>
      <c r="I661" s="43">
        <v>17</v>
      </c>
      <c r="J661" s="43">
        <v>22</v>
      </c>
      <c r="K661" s="1">
        <f t="shared" ref="K661" si="682">(IF(F661="SELL",G661-H661,IF(F661="BUY",H661-G661)))*E661</f>
        <v>4800</v>
      </c>
      <c r="L661" s="43">
        <f>E661*4.8</f>
        <v>5760</v>
      </c>
      <c r="M661" s="43">
        <f>E661*5</f>
        <v>6000</v>
      </c>
      <c r="N661" s="1">
        <f t="shared" si="654"/>
        <v>13.8</v>
      </c>
      <c r="O661" s="1">
        <f t="shared" si="655"/>
        <v>16560</v>
      </c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</row>
    <row r="662" spans="1:33" s="32" customFormat="1" ht="15" customHeight="1">
      <c r="A662" s="37">
        <v>43739</v>
      </c>
      <c r="B662" s="20" t="s">
        <v>405</v>
      </c>
      <c r="C662" s="20" t="s">
        <v>425</v>
      </c>
      <c r="D662" s="20">
        <v>220</v>
      </c>
      <c r="E662" s="38">
        <v>1300</v>
      </c>
      <c r="F662" s="20" t="s">
        <v>8</v>
      </c>
      <c r="G662" s="43">
        <v>10.199999999999999</v>
      </c>
      <c r="H662" s="43">
        <v>13.2</v>
      </c>
      <c r="I662" s="43">
        <v>17</v>
      </c>
      <c r="J662" s="43">
        <v>21</v>
      </c>
      <c r="K662" s="1">
        <f t="shared" ref="K662" si="683">(IF(F662="SELL",G662-H662,IF(F662="BUY",H662-G662)))*E662</f>
        <v>3900</v>
      </c>
      <c r="L662" s="43">
        <f>E662*3.88</f>
        <v>5044</v>
      </c>
      <c r="M662" s="43">
        <f>E662*4</f>
        <v>5200</v>
      </c>
      <c r="N662" s="1">
        <f t="shared" si="654"/>
        <v>10.88</v>
      </c>
      <c r="O662" s="1">
        <f t="shared" si="655"/>
        <v>14144.000000000002</v>
      </c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</row>
    <row r="663" spans="1:33" s="32" customFormat="1" ht="15" customHeight="1">
      <c r="A663" s="37">
        <v>43738</v>
      </c>
      <c r="B663" s="20" t="s">
        <v>369</v>
      </c>
      <c r="C663" s="20" t="s">
        <v>425</v>
      </c>
      <c r="D663" s="20">
        <v>180</v>
      </c>
      <c r="E663" s="38">
        <v>2000</v>
      </c>
      <c r="F663" s="20" t="s">
        <v>8</v>
      </c>
      <c r="G663" s="43">
        <v>9</v>
      </c>
      <c r="H663" s="43">
        <v>10.5</v>
      </c>
      <c r="I663" s="43">
        <v>0</v>
      </c>
      <c r="J663" s="43">
        <v>0</v>
      </c>
      <c r="K663" s="1">
        <f t="shared" ref="K663" si="684">(IF(F663="SELL",G663-H663,IF(F663="BUY",H663-G663)))*E663</f>
        <v>3000</v>
      </c>
      <c r="L663" s="43">
        <v>0</v>
      </c>
      <c r="M663" s="43">
        <v>0</v>
      </c>
      <c r="N663" s="1">
        <f t="shared" si="654"/>
        <v>1.5</v>
      </c>
      <c r="O663" s="1">
        <f t="shared" si="655"/>
        <v>3000</v>
      </c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 spans="1:33" s="32" customFormat="1" ht="15" customHeight="1">
      <c r="A664" s="37">
        <v>43738</v>
      </c>
      <c r="B664" s="20" t="s">
        <v>457</v>
      </c>
      <c r="C664" s="20" t="s">
        <v>47</v>
      </c>
      <c r="D664" s="20">
        <v>470</v>
      </c>
      <c r="E664" s="38">
        <v>1500</v>
      </c>
      <c r="F664" s="20" t="s">
        <v>8</v>
      </c>
      <c r="G664" s="43">
        <v>17.5</v>
      </c>
      <c r="H664" s="43">
        <v>18.8</v>
      </c>
      <c r="I664" s="43">
        <v>0</v>
      </c>
      <c r="J664" s="43">
        <v>0</v>
      </c>
      <c r="K664" s="1">
        <f t="shared" ref="K664" si="685">(IF(F664="SELL",G664-H664,IF(F664="BUY",H664-G664)))*E664</f>
        <v>1950.0000000000011</v>
      </c>
      <c r="L664" s="43">
        <v>0</v>
      </c>
      <c r="M664" s="43">
        <v>0</v>
      </c>
      <c r="N664" s="1">
        <f t="shared" si="654"/>
        <v>1.3000000000000007</v>
      </c>
      <c r="O664" s="1">
        <f t="shared" si="655"/>
        <v>1950.0000000000011</v>
      </c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</row>
    <row r="665" spans="1:33" s="32" customFormat="1" ht="15" customHeight="1">
      <c r="A665" s="37">
        <v>43735</v>
      </c>
      <c r="B665" s="20" t="s">
        <v>34</v>
      </c>
      <c r="C665" s="20" t="s">
        <v>425</v>
      </c>
      <c r="D665" s="20">
        <v>200</v>
      </c>
      <c r="E665" s="38">
        <v>3500</v>
      </c>
      <c r="F665" s="20" t="s">
        <v>8</v>
      </c>
      <c r="G665" s="43">
        <v>12</v>
      </c>
      <c r="H665" s="43">
        <v>13</v>
      </c>
      <c r="I665" s="43">
        <v>0</v>
      </c>
      <c r="J665" s="43">
        <v>0</v>
      </c>
      <c r="K665" s="1">
        <f t="shared" ref="K665:K666" si="686">(IF(F665="SELL",G665-H665,IF(F665="BUY",H665-G665)))*E665</f>
        <v>3500</v>
      </c>
      <c r="L665" s="43">
        <v>0</v>
      </c>
      <c r="M665" s="43">
        <v>0</v>
      </c>
      <c r="N665" s="1">
        <f t="shared" si="654"/>
        <v>1</v>
      </c>
      <c r="O665" s="1">
        <f t="shared" si="655"/>
        <v>3500</v>
      </c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</row>
    <row r="666" spans="1:33" s="32" customFormat="1" ht="15" customHeight="1">
      <c r="A666" s="37">
        <v>43735</v>
      </c>
      <c r="B666" s="20" t="s">
        <v>332</v>
      </c>
      <c r="C666" s="20" t="s">
        <v>425</v>
      </c>
      <c r="D666" s="20">
        <v>700</v>
      </c>
      <c r="E666" s="38">
        <v>1200</v>
      </c>
      <c r="F666" s="20" t="s">
        <v>8</v>
      </c>
      <c r="G666" s="43">
        <v>18</v>
      </c>
      <c r="H666" s="43">
        <v>20</v>
      </c>
      <c r="I666" s="43">
        <v>0</v>
      </c>
      <c r="J666" s="43">
        <v>0</v>
      </c>
      <c r="K666" s="1">
        <f t="shared" si="686"/>
        <v>2400</v>
      </c>
      <c r="L666" s="43">
        <v>0</v>
      </c>
      <c r="M666" s="43">
        <v>0</v>
      </c>
      <c r="N666" s="1">
        <f t="shared" si="654"/>
        <v>2</v>
      </c>
      <c r="O666" s="1">
        <f t="shared" si="655"/>
        <v>2400</v>
      </c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</row>
    <row r="667" spans="1:33" s="32" customFormat="1" ht="15" customHeight="1">
      <c r="A667" s="37">
        <v>43733</v>
      </c>
      <c r="B667" s="20" t="s">
        <v>34</v>
      </c>
      <c r="C667" s="20" t="s">
        <v>425</v>
      </c>
      <c r="D667" s="20">
        <v>205</v>
      </c>
      <c r="E667" s="38">
        <v>3500</v>
      </c>
      <c r="F667" s="20" t="s">
        <v>8</v>
      </c>
      <c r="G667" s="43">
        <v>11</v>
      </c>
      <c r="H667" s="43">
        <v>12</v>
      </c>
      <c r="I667" s="43">
        <v>13</v>
      </c>
      <c r="J667" s="43">
        <v>15</v>
      </c>
      <c r="K667" s="1">
        <f>(IF(F667="SELL",G667-H667,IF(F667="BUY",H667-G667)))*E667</f>
        <v>3500</v>
      </c>
      <c r="L667" s="43">
        <f>E667*1</f>
        <v>3500</v>
      </c>
      <c r="M667" s="43">
        <f>E667*2</f>
        <v>7000</v>
      </c>
      <c r="N667" s="1">
        <f t="shared" si="654"/>
        <v>4</v>
      </c>
      <c r="O667" s="1">
        <f t="shared" si="655"/>
        <v>14000</v>
      </c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</row>
    <row r="668" spans="1:33" s="32" customFormat="1" ht="15" customHeight="1">
      <c r="A668" s="37">
        <v>43733</v>
      </c>
      <c r="B668" s="20" t="s">
        <v>404</v>
      </c>
      <c r="C668" s="20" t="s">
        <v>425</v>
      </c>
      <c r="D668" s="20">
        <v>130</v>
      </c>
      <c r="E668" s="38">
        <v>6000</v>
      </c>
      <c r="F668" s="20" t="s">
        <v>8</v>
      </c>
      <c r="G668" s="43">
        <v>3</v>
      </c>
      <c r="H668" s="43">
        <v>3.5</v>
      </c>
      <c r="I668" s="43">
        <v>4.5</v>
      </c>
      <c r="J668" s="43">
        <v>5.15</v>
      </c>
      <c r="K668" s="1">
        <f t="shared" ref="K668" si="687">(IF(F668="SELL",G668-H668,IF(F668="BUY",H668-G668)))*E668</f>
        <v>3000</v>
      </c>
      <c r="L668" s="43">
        <f>E668*1</f>
        <v>6000</v>
      </c>
      <c r="M668" s="43">
        <f>E668*0.65</f>
        <v>3900</v>
      </c>
      <c r="N668" s="1">
        <f t="shared" si="654"/>
        <v>2.15</v>
      </c>
      <c r="O668" s="1">
        <f t="shared" si="655"/>
        <v>12900</v>
      </c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</row>
    <row r="669" spans="1:33" s="32" customFormat="1" ht="15" customHeight="1">
      <c r="A669" s="37">
        <v>43732</v>
      </c>
      <c r="B669" s="20" t="s">
        <v>21</v>
      </c>
      <c r="C669" s="20" t="s">
        <v>425</v>
      </c>
      <c r="D669" s="20">
        <v>210</v>
      </c>
      <c r="E669" s="38">
        <v>3000</v>
      </c>
      <c r="F669" s="20" t="s">
        <v>8</v>
      </c>
      <c r="G669" s="43">
        <v>7.25</v>
      </c>
      <c r="H669" s="43">
        <v>6</v>
      </c>
      <c r="I669" s="43">
        <v>0</v>
      </c>
      <c r="J669" s="43">
        <v>0</v>
      </c>
      <c r="K669" s="1">
        <f t="shared" ref="K669" si="688">(IF(F669="SELL",G669-H669,IF(F669="BUY",H669-G669)))*E669</f>
        <v>-3750</v>
      </c>
      <c r="L669" s="43">
        <v>0</v>
      </c>
      <c r="M669" s="43">
        <v>0</v>
      </c>
      <c r="N669" s="1">
        <f t="shared" si="654"/>
        <v>-1.25</v>
      </c>
      <c r="O669" s="1">
        <f t="shared" si="655"/>
        <v>-3750</v>
      </c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</row>
    <row r="670" spans="1:33" s="32" customFormat="1" ht="15" customHeight="1">
      <c r="A670" s="37">
        <v>43731</v>
      </c>
      <c r="B670" s="20" t="s">
        <v>109</v>
      </c>
      <c r="C670" s="20" t="s">
        <v>425</v>
      </c>
      <c r="D670" s="20">
        <v>237.5</v>
      </c>
      <c r="E670" s="38">
        <v>3200</v>
      </c>
      <c r="F670" s="20" t="s">
        <v>8</v>
      </c>
      <c r="G670" s="43">
        <v>1.6</v>
      </c>
      <c r="H670" s="43">
        <v>2.6</v>
      </c>
      <c r="I670" s="43">
        <v>0</v>
      </c>
      <c r="J670" s="43">
        <v>0</v>
      </c>
      <c r="K670" s="1">
        <f t="shared" ref="K670" si="689">(IF(F670="SELL",G670-H670,IF(F670="BUY",H670-G670)))*E670</f>
        <v>3200</v>
      </c>
      <c r="L670" s="43">
        <v>0</v>
      </c>
      <c r="M670" s="43">
        <v>0</v>
      </c>
      <c r="N670" s="1">
        <f t="shared" si="654"/>
        <v>1</v>
      </c>
      <c r="O670" s="1">
        <f t="shared" si="655"/>
        <v>3200</v>
      </c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</row>
    <row r="671" spans="1:33" s="32" customFormat="1" ht="15" customHeight="1">
      <c r="A671" s="37">
        <v>43731</v>
      </c>
      <c r="B671" s="20" t="s">
        <v>30</v>
      </c>
      <c r="C671" s="20" t="s">
        <v>47</v>
      </c>
      <c r="D671" s="20">
        <v>460</v>
      </c>
      <c r="E671" s="38">
        <v>1375</v>
      </c>
      <c r="F671" s="20" t="s">
        <v>8</v>
      </c>
      <c r="G671" s="43">
        <v>3.2</v>
      </c>
      <c r="H671" s="43">
        <v>5.2</v>
      </c>
      <c r="I671" s="43">
        <v>0</v>
      </c>
      <c r="J671" s="43">
        <v>0</v>
      </c>
      <c r="K671" s="1">
        <f t="shared" ref="K671" si="690">(IF(F671="SELL",G671-H671,IF(F671="BUY",H671-G671)))*E671</f>
        <v>2750</v>
      </c>
      <c r="L671" s="43">
        <v>0</v>
      </c>
      <c r="M671" s="43">
        <v>0</v>
      </c>
      <c r="N671" s="1">
        <f t="shared" si="654"/>
        <v>2</v>
      </c>
      <c r="O671" s="1">
        <f t="shared" si="655"/>
        <v>2750</v>
      </c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</row>
    <row r="672" spans="1:33" s="32" customFormat="1" ht="15" customHeight="1">
      <c r="A672" s="37">
        <v>43728</v>
      </c>
      <c r="B672" s="20" t="s">
        <v>456</v>
      </c>
      <c r="C672" s="20" t="s">
        <v>425</v>
      </c>
      <c r="D672" s="20">
        <v>1460</v>
      </c>
      <c r="E672" s="38">
        <v>400</v>
      </c>
      <c r="F672" s="20" t="s">
        <v>8</v>
      </c>
      <c r="G672" s="43">
        <v>23</v>
      </c>
      <c r="H672" s="43">
        <v>30</v>
      </c>
      <c r="I672" s="43">
        <v>38</v>
      </c>
      <c r="J672" s="43">
        <v>50</v>
      </c>
      <c r="K672" s="1">
        <f t="shared" ref="K672" si="691">(IF(F672="SELL",G672-H672,IF(F672="BUY",H672-G672)))*E672</f>
        <v>2800</v>
      </c>
      <c r="L672" s="43">
        <f>E672*8</f>
        <v>3200</v>
      </c>
      <c r="M672" s="43">
        <f>E672*12</f>
        <v>4800</v>
      </c>
      <c r="N672" s="1">
        <f t="shared" si="654"/>
        <v>27</v>
      </c>
      <c r="O672" s="1">
        <f t="shared" si="655"/>
        <v>10800</v>
      </c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</row>
    <row r="673" spans="1:33" s="32" customFormat="1" ht="15" customHeight="1">
      <c r="A673" s="37">
        <v>43728</v>
      </c>
      <c r="B673" s="20" t="s">
        <v>54</v>
      </c>
      <c r="C673" s="20" t="s">
        <v>425</v>
      </c>
      <c r="D673" s="20">
        <v>380</v>
      </c>
      <c r="E673" s="38">
        <v>1000</v>
      </c>
      <c r="F673" s="20" t="s">
        <v>8</v>
      </c>
      <c r="G673" s="43">
        <v>8.5</v>
      </c>
      <c r="H673" s="43">
        <v>12.5</v>
      </c>
      <c r="I673" s="43">
        <v>0</v>
      </c>
      <c r="J673" s="43">
        <v>0</v>
      </c>
      <c r="K673" s="1">
        <f t="shared" ref="K673:K674" si="692">(IF(F673="SELL",G673-H673,IF(F673="BUY",H673-G673)))*E673</f>
        <v>4000</v>
      </c>
      <c r="L673" s="43">
        <v>0</v>
      </c>
      <c r="M673" s="43">
        <v>0</v>
      </c>
      <c r="N673" s="1">
        <f t="shared" si="654"/>
        <v>4</v>
      </c>
      <c r="O673" s="1">
        <f t="shared" si="655"/>
        <v>4000</v>
      </c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</row>
    <row r="674" spans="1:33" s="32" customFormat="1" ht="15" customHeight="1">
      <c r="A674" s="37">
        <v>43727</v>
      </c>
      <c r="B674" s="20" t="s">
        <v>10</v>
      </c>
      <c r="C674" s="20" t="s">
        <v>425</v>
      </c>
      <c r="D674" s="20">
        <v>650</v>
      </c>
      <c r="E674" s="38">
        <v>1000</v>
      </c>
      <c r="F674" s="20" t="s">
        <v>8</v>
      </c>
      <c r="G674" s="43">
        <v>17.600000000000001</v>
      </c>
      <c r="H674" s="43">
        <v>19.600000000000001</v>
      </c>
      <c r="I674" s="43">
        <v>0</v>
      </c>
      <c r="J674" s="43">
        <v>0</v>
      </c>
      <c r="K674" s="1">
        <f t="shared" si="692"/>
        <v>2000</v>
      </c>
      <c r="L674" s="43">
        <v>0</v>
      </c>
      <c r="M674" s="43">
        <v>0</v>
      </c>
      <c r="N674" s="1">
        <f t="shared" si="654"/>
        <v>2</v>
      </c>
      <c r="O674" s="1">
        <f t="shared" si="655"/>
        <v>2000</v>
      </c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</row>
    <row r="675" spans="1:33" s="32" customFormat="1" ht="15" customHeight="1">
      <c r="A675" s="37">
        <v>43727</v>
      </c>
      <c r="B675" s="20" t="s">
        <v>326</v>
      </c>
      <c r="C675" s="20" t="s">
        <v>425</v>
      </c>
      <c r="D675" s="20">
        <v>202.5</v>
      </c>
      <c r="E675" s="38">
        <v>4000</v>
      </c>
      <c r="F675" s="20" t="s">
        <v>8</v>
      </c>
      <c r="G675" s="43">
        <v>3.5</v>
      </c>
      <c r="H675" s="43">
        <v>4.3499999999999996</v>
      </c>
      <c r="I675" s="43">
        <v>0</v>
      </c>
      <c r="J675" s="43">
        <v>0</v>
      </c>
      <c r="K675" s="1">
        <f t="shared" ref="K675" si="693">(IF(F675="SELL",G675-H675,IF(F675="BUY",H675-G675)))*E675</f>
        <v>3399.9999999999986</v>
      </c>
      <c r="L675" s="43">
        <v>0</v>
      </c>
      <c r="M675" s="43">
        <v>0</v>
      </c>
      <c r="N675" s="1">
        <f t="shared" si="654"/>
        <v>0.84999999999999964</v>
      </c>
      <c r="O675" s="1">
        <f t="shared" si="655"/>
        <v>3399.9999999999986</v>
      </c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</row>
    <row r="676" spans="1:33" s="32" customFormat="1" ht="15" customHeight="1">
      <c r="A676" s="37">
        <v>43726</v>
      </c>
      <c r="B676" s="20" t="s">
        <v>24</v>
      </c>
      <c r="C676" s="20" t="s">
        <v>425</v>
      </c>
      <c r="D676" s="20">
        <v>125</v>
      </c>
      <c r="E676" s="38">
        <v>3000</v>
      </c>
      <c r="F676" s="20" t="s">
        <v>8</v>
      </c>
      <c r="G676" s="43">
        <v>6.2</v>
      </c>
      <c r="H676" s="43">
        <v>6</v>
      </c>
      <c r="I676" s="43">
        <v>0</v>
      </c>
      <c r="J676" s="43">
        <v>0</v>
      </c>
      <c r="K676" s="1">
        <f t="shared" ref="K676" si="694">(IF(F676="SELL",G676-H676,IF(F676="BUY",H676-G676)))*E676</f>
        <v>-600.00000000000057</v>
      </c>
      <c r="L676" s="43">
        <v>0</v>
      </c>
      <c r="M676" s="43">
        <v>0</v>
      </c>
      <c r="N676" s="1">
        <f t="shared" si="654"/>
        <v>-0.20000000000000018</v>
      </c>
      <c r="O676" s="1">
        <f t="shared" si="655"/>
        <v>-600.00000000000057</v>
      </c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</row>
    <row r="677" spans="1:33" s="32" customFormat="1" ht="15" customHeight="1">
      <c r="A677" s="37">
        <v>43726</v>
      </c>
      <c r="B677" s="20" t="s">
        <v>175</v>
      </c>
      <c r="C677" s="20" t="s">
        <v>47</v>
      </c>
      <c r="D677" s="20">
        <v>3550</v>
      </c>
      <c r="E677" s="38">
        <v>250</v>
      </c>
      <c r="F677" s="20" t="s">
        <v>8</v>
      </c>
      <c r="G677" s="43">
        <v>30</v>
      </c>
      <c r="H677" s="43">
        <v>23</v>
      </c>
      <c r="I677" s="43">
        <v>0</v>
      </c>
      <c r="J677" s="43">
        <v>0</v>
      </c>
      <c r="K677" s="1">
        <f t="shared" ref="K677" si="695">(IF(F677="SELL",G677-H677,IF(F677="BUY",H677-G677)))*E677</f>
        <v>-1750</v>
      </c>
      <c r="L677" s="43">
        <v>0</v>
      </c>
      <c r="M677" s="43">
        <v>0</v>
      </c>
      <c r="N677" s="1">
        <f t="shared" si="654"/>
        <v>-7</v>
      </c>
      <c r="O677" s="1">
        <f t="shared" si="655"/>
        <v>-1750</v>
      </c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</row>
    <row r="678" spans="1:33" s="32" customFormat="1" ht="15" customHeight="1">
      <c r="A678" s="37">
        <v>43725</v>
      </c>
      <c r="B678" s="20" t="s">
        <v>15</v>
      </c>
      <c r="C678" s="20" t="s">
        <v>425</v>
      </c>
      <c r="D678" s="20">
        <v>380</v>
      </c>
      <c r="E678" s="38">
        <v>1100</v>
      </c>
      <c r="F678" s="20" t="s">
        <v>8</v>
      </c>
      <c r="G678" s="43">
        <v>8.6</v>
      </c>
      <c r="H678" s="43">
        <v>10.6</v>
      </c>
      <c r="I678" s="43">
        <v>12.8</v>
      </c>
      <c r="J678" s="43">
        <v>15</v>
      </c>
      <c r="K678" s="1">
        <f t="shared" ref="K678" si="696">(IF(F678="SELL",G678-H678,IF(F678="BUY",H678-G678)))*E678</f>
        <v>2200</v>
      </c>
      <c r="L678" s="43">
        <f>E678*2.2</f>
        <v>2420</v>
      </c>
      <c r="M678" s="43">
        <f>E678*2.2</f>
        <v>2420</v>
      </c>
      <c r="N678" s="1">
        <f t="shared" si="654"/>
        <v>6.4</v>
      </c>
      <c r="O678" s="1">
        <f t="shared" si="655"/>
        <v>7040</v>
      </c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</row>
    <row r="679" spans="1:33" s="32" customFormat="1" ht="15" customHeight="1">
      <c r="A679" s="37">
        <v>43725</v>
      </c>
      <c r="B679" s="20" t="s">
        <v>455</v>
      </c>
      <c r="C679" s="20" t="s">
        <v>425</v>
      </c>
      <c r="D679" s="20">
        <v>57.5</v>
      </c>
      <c r="E679" s="38">
        <v>6000</v>
      </c>
      <c r="F679" s="20" t="s">
        <v>8</v>
      </c>
      <c r="G679" s="43">
        <v>2.1</v>
      </c>
      <c r="H679" s="43">
        <v>2.6</v>
      </c>
      <c r="I679" s="43">
        <v>3</v>
      </c>
      <c r="J679" s="43">
        <v>0</v>
      </c>
      <c r="K679" s="1">
        <f t="shared" ref="K679" si="697">(IF(F679="SELL",G679-H679,IF(F679="BUY",H679-G679)))*E679</f>
        <v>3000</v>
      </c>
      <c r="L679" s="43">
        <f>E679*0.4</f>
        <v>2400</v>
      </c>
      <c r="M679" s="43">
        <v>0</v>
      </c>
      <c r="N679" s="1">
        <f t="shared" si="654"/>
        <v>0.9</v>
      </c>
      <c r="O679" s="1">
        <f t="shared" si="655"/>
        <v>5400</v>
      </c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</row>
    <row r="680" spans="1:33" s="32" customFormat="1" ht="15" customHeight="1">
      <c r="A680" s="37">
        <v>43725</v>
      </c>
      <c r="B680" s="20" t="s">
        <v>422</v>
      </c>
      <c r="C680" s="20" t="s">
        <v>47</v>
      </c>
      <c r="D680" s="20">
        <v>1750</v>
      </c>
      <c r="E680" s="38">
        <v>600</v>
      </c>
      <c r="F680" s="20" t="s">
        <v>8</v>
      </c>
      <c r="G680" s="43">
        <v>14</v>
      </c>
      <c r="H680" s="43">
        <v>11.5</v>
      </c>
      <c r="I680" s="43">
        <v>0</v>
      </c>
      <c r="J680" s="43">
        <v>0</v>
      </c>
      <c r="K680" s="1">
        <f t="shared" ref="K680" si="698">(IF(F680="SELL",G680-H680,IF(F680="BUY",H680-G680)))*E680</f>
        <v>-1500</v>
      </c>
      <c r="L680" s="43">
        <v>0</v>
      </c>
      <c r="M680" s="43">
        <v>0</v>
      </c>
      <c r="N680" s="1">
        <f t="shared" si="654"/>
        <v>-2.5</v>
      </c>
      <c r="O680" s="1">
        <f t="shared" si="655"/>
        <v>-1500</v>
      </c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</row>
    <row r="681" spans="1:33" s="32" customFormat="1" ht="15" customHeight="1">
      <c r="A681" s="37">
        <v>43724</v>
      </c>
      <c r="B681" s="20" t="s">
        <v>386</v>
      </c>
      <c r="C681" s="20" t="s">
        <v>47</v>
      </c>
      <c r="D681" s="20">
        <v>1180</v>
      </c>
      <c r="E681" s="38">
        <v>750</v>
      </c>
      <c r="F681" s="20" t="s">
        <v>8</v>
      </c>
      <c r="G681" s="43">
        <v>8.5</v>
      </c>
      <c r="H681" s="43">
        <v>10.5</v>
      </c>
      <c r="I681" s="43">
        <v>0</v>
      </c>
      <c r="J681" s="43">
        <v>0</v>
      </c>
      <c r="K681" s="1">
        <f t="shared" ref="K681" si="699">(IF(F681="SELL",G681-H681,IF(F681="BUY",H681-G681)))*E681</f>
        <v>1500</v>
      </c>
      <c r="L681" s="43">
        <v>0</v>
      </c>
      <c r="M681" s="43">
        <v>0</v>
      </c>
      <c r="N681" s="1">
        <f t="shared" si="654"/>
        <v>2</v>
      </c>
      <c r="O681" s="1">
        <f t="shared" si="655"/>
        <v>1500</v>
      </c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 spans="1:33" s="32" customFormat="1" ht="15" customHeight="1">
      <c r="A682" s="37">
        <v>43724</v>
      </c>
      <c r="B682" s="20" t="s">
        <v>190</v>
      </c>
      <c r="C682" s="20" t="s">
        <v>47</v>
      </c>
      <c r="D682" s="20">
        <v>1580</v>
      </c>
      <c r="E682" s="38">
        <v>550</v>
      </c>
      <c r="F682" s="20" t="s">
        <v>8</v>
      </c>
      <c r="G682" s="43">
        <v>22.5</v>
      </c>
      <c r="H682" s="43">
        <v>20.55</v>
      </c>
      <c r="I682" s="43">
        <v>0</v>
      </c>
      <c r="J682" s="43">
        <v>0</v>
      </c>
      <c r="K682" s="1">
        <f t="shared" ref="K682" si="700">(IF(F682="SELL",G682-H682,IF(F682="BUY",H682-G682)))*E682</f>
        <v>-1072.4999999999995</v>
      </c>
      <c r="L682" s="43">
        <v>0</v>
      </c>
      <c r="M682" s="43">
        <v>0</v>
      </c>
      <c r="N682" s="1">
        <f t="shared" si="654"/>
        <v>-1.9499999999999991</v>
      </c>
      <c r="O682" s="1">
        <f t="shared" si="655"/>
        <v>-1072.4999999999995</v>
      </c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 spans="1:33" s="32" customFormat="1" ht="15" customHeight="1">
      <c r="A683" s="37">
        <v>43724</v>
      </c>
      <c r="B683" s="20" t="s">
        <v>37</v>
      </c>
      <c r="C683" s="20" t="s">
        <v>47</v>
      </c>
      <c r="D683" s="20">
        <v>2140</v>
      </c>
      <c r="E683" s="38">
        <v>250</v>
      </c>
      <c r="F683" s="20" t="s">
        <v>8</v>
      </c>
      <c r="G683" s="43">
        <v>52</v>
      </c>
      <c r="H683" s="43">
        <v>40</v>
      </c>
      <c r="I683" s="43">
        <v>0</v>
      </c>
      <c r="J683" s="43">
        <v>0</v>
      </c>
      <c r="K683" s="1">
        <f t="shared" ref="K683" si="701">(IF(F683="SELL",G683-H683,IF(F683="BUY",H683-G683)))*E683</f>
        <v>-3000</v>
      </c>
      <c r="L683" s="43">
        <v>0</v>
      </c>
      <c r="M683" s="43">
        <v>0</v>
      </c>
      <c r="N683" s="1">
        <f t="shared" si="654"/>
        <v>-12</v>
      </c>
      <c r="O683" s="1">
        <f t="shared" si="655"/>
        <v>-3000</v>
      </c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 spans="1:33" s="32" customFormat="1" ht="15" customHeight="1">
      <c r="A684" s="37">
        <v>43721</v>
      </c>
      <c r="B684" s="20" t="s">
        <v>421</v>
      </c>
      <c r="C684" s="20" t="s">
        <v>47</v>
      </c>
      <c r="D684" s="20">
        <v>300</v>
      </c>
      <c r="E684" s="38">
        <v>3000</v>
      </c>
      <c r="F684" s="20" t="s">
        <v>8</v>
      </c>
      <c r="G684" s="43">
        <v>2.5</v>
      </c>
      <c r="H684" s="43">
        <v>3</v>
      </c>
      <c r="I684" s="43">
        <v>0</v>
      </c>
      <c r="J684" s="43">
        <v>0</v>
      </c>
      <c r="K684" s="1">
        <f t="shared" ref="K684" si="702">(IF(F684="SELL",G684-H684,IF(F684="BUY",H684-G684)))*E684</f>
        <v>1500</v>
      </c>
      <c r="L684" s="43">
        <v>0</v>
      </c>
      <c r="M684" s="43">
        <v>0</v>
      </c>
      <c r="N684" s="1">
        <f t="shared" si="654"/>
        <v>0.5</v>
      </c>
      <c r="O684" s="1">
        <f t="shared" si="655"/>
        <v>1500</v>
      </c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 spans="1:33" s="32" customFormat="1" ht="15" customHeight="1">
      <c r="A685" s="37">
        <v>43721</v>
      </c>
      <c r="B685" s="20" t="s">
        <v>13</v>
      </c>
      <c r="C685" s="20" t="s">
        <v>47</v>
      </c>
      <c r="D685" s="20">
        <v>1080</v>
      </c>
      <c r="E685" s="38">
        <v>700</v>
      </c>
      <c r="F685" s="20" t="s">
        <v>8</v>
      </c>
      <c r="G685" s="43">
        <v>14.5</v>
      </c>
      <c r="H685" s="43">
        <v>14</v>
      </c>
      <c r="I685" s="43">
        <v>0</v>
      </c>
      <c r="J685" s="43">
        <v>0</v>
      </c>
      <c r="K685" s="1">
        <f t="shared" ref="K685" si="703">(IF(F685="SELL",G685-H685,IF(F685="BUY",H685-G685)))*E685</f>
        <v>-350</v>
      </c>
      <c r="L685" s="43">
        <v>0</v>
      </c>
      <c r="M685" s="43">
        <v>0</v>
      </c>
      <c r="N685" s="1">
        <f t="shared" si="654"/>
        <v>-0.5</v>
      </c>
      <c r="O685" s="1">
        <f t="shared" si="655"/>
        <v>-350</v>
      </c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 spans="1:33" s="32" customFormat="1" ht="15" customHeight="1">
      <c r="A686" s="37">
        <v>43720</v>
      </c>
      <c r="B686" s="20" t="s">
        <v>179</v>
      </c>
      <c r="C686" s="20" t="s">
        <v>47</v>
      </c>
      <c r="D686" s="20">
        <v>100</v>
      </c>
      <c r="E686" s="38">
        <v>4500</v>
      </c>
      <c r="F686" s="20" t="s">
        <v>8</v>
      </c>
      <c r="G686" s="43">
        <v>3.5</v>
      </c>
      <c r="H686" s="43">
        <v>4.3</v>
      </c>
      <c r="I686" s="43">
        <v>0</v>
      </c>
      <c r="J686" s="43">
        <v>0</v>
      </c>
      <c r="K686" s="1">
        <f t="shared" ref="K686" si="704">(IF(F686="SELL",G686-H686,IF(F686="BUY",H686-G686)))*E686</f>
        <v>3599.9999999999991</v>
      </c>
      <c r="L686" s="43">
        <v>0</v>
      </c>
      <c r="M686" s="43">
        <v>0</v>
      </c>
      <c r="N686" s="1">
        <f t="shared" si="654"/>
        <v>0.79999999999999982</v>
      </c>
      <c r="O686" s="1">
        <f t="shared" si="655"/>
        <v>3599.9999999999991</v>
      </c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</row>
    <row r="687" spans="1:33" s="32" customFormat="1" ht="15" customHeight="1">
      <c r="A687" s="37">
        <v>43720</v>
      </c>
      <c r="B687" s="20" t="s">
        <v>92</v>
      </c>
      <c r="C687" s="20" t="s">
        <v>47</v>
      </c>
      <c r="D687" s="20">
        <v>620</v>
      </c>
      <c r="E687" s="38">
        <v>1250</v>
      </c>
      <c r="F687" s="20" t="s">
        <v>8</v>
      </c>
      <c r="G687" s="43">
        <v>17.5</v>
      </c>
      <c r="H687" s="43">
        <v>18.7</v>
      </c>
      <c r="I687" s="43">
        <v>0</v>
      </c>
      <c r="J687" s="43">
        <v>0</v>
      </c>
      <c r="K687" s="1">
        <f t="shared" ref="K687" si="705">(IF(F687="SELL",G687-H687,IF(F687="BUY",H687-G687)))*E687</f>
        <v>1499.9999999999991</v>
      </c>
      <c r="L687" s="43">
        <v>0</v>
      </c>
      <c r="M687" s="43">
        <v>0</v>
      </c>
      <c r="N687" s="1">
        <f t="shared" si="654"/>
        <v>1.1999999999999993</v>
      </c>
      <c r="O687" s="1">
        <f t="shared" si="655"/>
        <v>1499.9999999999991</v>
      </c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</row>
    <row r="688" spans="1:33" s="32" customFormat="1" ht="15" customHeight="1">
      <c r="A688" s="37">
        <v>43719</v>
      </c>
      <c r="B688" s="20" t="s">
        <v>38</v>
      </c>
      <c r="C688" s="20" t="s">
        <v>47</v>
      </c>
      <c r="D688" s="20">
        <v>6600</v>
      </c>
      <c r="E688" s="38">
        <v>75</v>
      </c>
      <c r="F688" s="20" t="s">
        <v>8</v>
      </c>
      <c r="G688" s="43">
        <v>105</v>
      </c>
      <c r="H688" s="43">
        <v>150</v>
      </c>
      <c r="I688" s="43">
        <v>171.85</v>
      </c>
      <c r="J688" s="43">
        <v>0</v>
      </c>
      <c r="K688" s="1">
        <f t="shared" ref="K688" si="706">(IF(F688="SELL",G688-H688,IF(F688="BUY",H688-G688)))*E688</f>
        <v>3375</v>
      </c>
      <c r="L688" s="43">
        <f>E688*21.85</f>
        <v>1638.75</v>
      </c>
      <c r="M688" s="43">
        <v>0</v>
      </c>
      <c r="N688" s="1">
        <f t="shared" si="654"/>
        <v>66.849999999999994</v>
      </c>
      <c r="O688" s="1">
        <f t="shared" si="655"/>
        <v>5013.75</v>
      </c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</row>
    <row r="689" spans="1:33" s="32" customFormat="1" ht="15" customHeight="1">
      <c r="A689" s="37">
        <v>43719</v>
      </c>
      <c r="B689" s="20" t="s">
        <v>420</v>
      </c>
      <c r="C689" s="20" t="s">
        <v>47</v>
      </c>
      <c r="D689" s="20">
        <v>1560</v>
      </c>
      <c r="E689" s="38">
        <v>600</v>
      </c>
      <c r="F689" s="20" t="s">
        <v>8</v>
      </c>
      <c r="G689" s="43">
        <v>25.5</v>
      </c>
      <c r="H689" s="43">
        <v>27.85</v>
      </c>
      <c r="I689" s="43">
        <v>0</v>
      </c>
      <c r="J689" s="43">
        <v>0</v>
      </c>
      <c r="K689" s="1">
        <f t="shared" ref="K689" si="707">(IF(F689="SELL",G689-H689,IF(F689="BUY",H689-G689)))*E689</f>
        <v>1410.0000000000009</v>
      </c>
      <c r="L689" s="43">
        <v>0</v>
      </c>
      <c r="M689" s="43">
        <v>0</v>
      </c>
      <c r="N689" s="1">
        <f t="shared" ref="N689:N738" si="708">(L689+K689+M689)/E689</f>
        <v>2.3500000000000014</v>
      </c>
      <c r="O689" s="1">
        <f t="shared" ref="O689:O752" si="709">N689*E689</f>
        <v>1410.0000000000009</v>
      </c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</row>
    <row r="690" spans="1:33" s="32" customFormat="1" ht="15" customHeight="1">
      <c r="A690" s="37">
        <v>43717</v>
      </c>
      <c r="B690" s="20" t="s">
        <v>190</v>
      </c>
      <c r="C690" s="20" t="s">
        <v>47</v>
      </c>
      <c r="D690" s="20">
        <v>2750</v>
      </c>
      <c r="E690" s="38">
        <v>550</v>
      </c>
      <c r="F690" s="20" t="s">
        <v>8</v>
      </c>
      <c r="G690" s="43">
        <v>29.2</v>
      </c>
      <c r="H690" s="43">
        <v>34.4</v>
      </c>
      <c r="I690" s="43">
        <v>0</v>
      </c>
      <c r="J690" s="43">
        <v>0</v>
      </c>
      <c r="K690" s="1">
        <f t="shared" ref="K690" si="710">(IF(F690="SELL",G690-H690,IF(F690="BUY",H690-G690)))*E690</f>
        <v>2859.9999999999995</v>
      </c>
      <c r="L690" s="43">
        <v>0</v>
      </c>
      <c r="M690" s="43">
        <v>0</v>
      </c>
      <c r="N690" s="1">
        <f t="shared" si="708"/>
        <v>5.1999999999999993</v>
      </c>
      <c r="O690" s="1">
        <f t="shared" si="709"/>
        <v>2859.9999999999995</v>
      </c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 spans="1:33" s="32" customFormat="1" ht="15" customHeight="1">
      <c r="A691" s="37">
        <v>43717</v>
      </c>
      <c r="B691" s="20" t="s">
        <v>406</v>
      </c>
      <c r="C691" s="20" t="s">
        <v>47</v>
      </c>
      <c r="D691" s="20">
        <v>450</v>
      </c>
      <c r="E691" s="38">
        <v>1250</v>
      </c>
      <c r="F691" s="20" t="s">
        <v>8</v>
      </c>
      <c r="G691" s="43">
        <v>8</v>
      </c>
      <c r="H691" s="43">
        <v>7.2</v>
      </c>
      <c r="I691" s="43">
        <v>0</v>
      </c>
      <c r="J691" s="43">
        <v>0</v>
      </c>
      <c r="K691" s="1">
        <f t="shared" ref="K691" si="711">(IF(F691="SELL",G691-H691,IF(F691="BUY",H691-G691)))*E691</f>
        <v>-999.99999999999977</v>
      </c>
      <c r="L691" s="43">
        <v>0</v>
      </c>
      <c r="M691" s="43">
        <v>0</v>
      </c>
      <c r="N691" s="1">
        <f t="shared" si="708"/>
        <v>-0.79999999999999982</v>
      </c>
      <c r="O691" s="1">
        <f t="shared" si="709"/>
        <v>-999.99999999999977</v>
      </c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 spans="1:33" s="32" customFormat="1" ht="15" customHeight="1">
      <c r="A692" s="37">
        <v>43714</v>
      </c>
      <c r="B692" s="20" t="s">
        <v>106</v>
      </c>
      <c r="C692" s="20" t="s">
        <v>47</v>
      </c>
      <c r="D692" s="20">
        <v>2750</v>
      </c>
      <c r="E692" s="38">
        <v>250</v>
      </c>
      <c r="F692" s="20" t="s">
        <v>8</v>
      </c>
      <c r="G692" s="43">
        <v>54</v>
      </c>
      <c r="H692" s="43">
        <v>64</v>
      </c>
      <c r="I692" s="43">
        <v>0</v>
      </c>
      <c r="J692" s="43">
        <v>0</v>
      </c>
      <c r="K692" s="1">
        <f t="shared" ref="K692" si="712">(IF(F692="SELL",G692-H692,IF(F692="BUY",H692-G692)))*E692</f>
        <v>2500</v>
      </c>
      <c r="L692" s="43">
        <v>0</v>
      </c>
      <c r="M692" s="43">
        <v>0</v>
      </c>
      <c r="N692" s="1">
        <f t="shared" si="708"/>
        <v>10</v>
      </c>
      <c r="O692" s="1">
        <f t="shared" si="709"/>
        <v>2500</v>
      </c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</row>
    <row r="693" spans="1:33" s="32" customFormat="1" ht="15" customHeight="1">
      <c r="A693" s="37">
        <v>43713</v>
      </c>
      <c r="B693" s="20" t="s">
        <v>58</v>
      </c>
      <c r="C693" s="20" t="s">
        <v>47</v>
      </c>
      <c r="D693" s="20">
        <v>630</v>
      </c>
      <c r="E693" s="38">
        <v>1000</v>
      </c>
      <c r="F693" s="20" t="s">
        <v>8</v>
      </c>
      <c r="G693" s="43">
        <v>17</v>
      </c>
      <c r="H693" s="43">
        <v>19</v>
      </c>
      <c r="I693" s="43">
        <v>0</v>
      </c>
      <c r="J693" s="43">
        <v>0</v>
      </c>
      <c r="K693" s="1">
        <f t="shared" ref="K693:K696" si="713">(IF(F693="SELL",G693-H693,IF(F693="BUY",H693-G693)))*E693</f>
        <v>2000</v>
      </c>
      <c r="L693" s="43">
        <v>0</v>
      </c>
      <c r="M693" s="43">
        <v>0</v>
      </c>
      <c r="N693" s="1">
        <f t="shared" si="708"/>
        <v>2</v>
      </c>
      <c r="O693" s="1">
        <f t="shared" si="709"/>
        <v>2000</v>
      </c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</row>
    <row r="694" spans="1:33" s="32" customFormat="1" ht="15" customHeight="1">
      <c r="A694" s="37">
        <v>43713</v>
      </c>
      <c r="B694" s="20" t="s">
        <v>454</v>
      </c>
      <c r="C694" s="20" t="s">
        <v>47</v>
      </c>
      <c r="D694" s="20">
        <v>770</v>
      </c>
      <c r="E694" s="38">
        <v>700</v>
      </c>
      <c r="F694" s="20" t="s">
        <v>8</v>
      </c>
      <c r="G694" s="43">
        <v>21</v>
      </c>
      <c r="H694" s="43">
        <v>23.15</v>
      </c>
      <c r="I694" s="43">
        <v>0</v>
      </c>
      <c r="J694" s="43">
        <v>0</v>
      </c>
      <c r="K694" s="1">
        <f t="shared" si="713"/>
        <v>1504.9999999999991</v>
      </c>
      <c r="L694" s="43">
        <v>0</v>
      </c>
      <c r="M694" s="43">
        <v>0</v>
      </c>
      <c r="N694" s="1">
        <f t="shared" si="708"/>
        <v>2.1499999999999986</v>
      </c>
      <c r="O694" s="1">
        <f t="shared" si="709"/>
        <v>1504.9999999999991</v>
      </c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</row>
    <row r="695" spans="1:33" s="32" customFormat="1" ht="15" customHeight="1">
      <c r="A695" s="37">
        <v>43712</v>
      </c>
      <c r="B695" s="20" t="s">
        <v>453</v>
      </c>
      <c r="C695" s="20" t="s">
        <v>425</v>
      </c>
      <c r="D695" s="20">
        <v>440</v>
      </c>
      <c r="E695" s="38">
        <v>1100</v>
      </c>
      <c r="F695" s="20" t="s">
        <v>8</v>
      </c>
      <c r="G695" s="43">
        <v>10.1</v>
      </c>
      <c r="H695" s="43">
        <v>12.1</v>
      </c>
      <c r="I695" s="43">
        <v>14.1</v>
      </c>
      <c r="J695" s="43">
        <v>16.100000000000001</v>
      </c>
      <c r="K695" s="1">
        <f t="shared" si="713"/>
        <v>2200</v>
      </c>
      <c r="L695" s="43">
        <f>E695*2</f>
        <v>2200</v>
      </c>
      <c r="M695" s="43">
        <f>E695*2</f>
        <v>2200</v>
      </c>
      <c r="N695" s="1">
        <f t="shared" si="708"/>
        <v>6</v>
      </c>
      <c r="O695" s="1">
        <f t="shared" si="709"/>
        <v>6600</v>
      </c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</row>
    <row r="696" spans="1:33" s="32" customFormat="1" ht="15" customHeight="1">
      <c r="A696" s="37">
        <v>43712</v>
      </c>
      <c r="B696" s="20" t="s">
        <v>447</v>
      </c>
      <c r="C696" s="20" t="s">
        <v>425</v>
      </c>
      <c r="D696" s="20">
        <v>105</v>
      </c>
      <c r="E696" s="38">
        <v>3000</v>
      </c>
      <c r="F696" s="20" t="s">
        <v>8</v>
      </c>
      <c r="G696" s="43">
        <v>4.2</v>
      </c>
      <c r="H696" s="43">
        <v>5.2</v>
      </c>
      <c r="I696" s="43">
        <v>5.85</v>
      </c>
      <c r="J696" s="43">
        <v>0</v>
      </c>
      <c r="K696" s="1">
        <f t="shared" si="713"/>
        <v>3000</v>
      </c>
      <c r="L696" s="43">
        <f>E696*0.65</f>
        <v>1950</v>
      </c>
      <c r="M696" s="43">
        <v>0</v>
      </c>
      <c r="N696" s="1">
        <f t="shared" si="708"/>
        <v>1.65</v>
      </c>
      <c r="O696" s="1">
        <f t="shared" si="709"/>
        <v>4950</v>
      </c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</row>
    <row r="697" spans="1:33" s="32" customFormat="1" ht="15" customHeight="1">
      <c r="A697" s="37">
        <v>43711</v>
      </c>
      <c r="B697" s="20" t="s">
        <v>332</v>
      </c>
      <c r="C697" s="20" t="s">
        <v>47</v>
      </c>
      <c r="D697" s="20">
        <v>750</v>
      </c>
      <c r="E697" s="38">
        <v>1200</v>
      </c>
      <c r="F697" s="20" t="s">
        <v>8</v>
      </c>
      <c r="G697" s="43">
        <v>6.3</v>
      </c>
      <c r="H697" s="43">
        <v>8</v>
      </c>
      <c r="I697" s="43">
        <v>0</v>
      </c>
      <c r="J697" s="43">
        <v>0</v>
      </c>
      <c r="K697" s="1">
        <f t="shared" ref="K697" si="714">(IF(F697="SELL",G697-H697,IF(F697="BUY",H697-G697)))*E697</f>
        <v>2040.0000000000002</v>
      </c>
      <c r="L697" s="43">
        <v>0</v>
      </c>
      <c r="M697" s="43">
        <v>0</v>
      </c>
      <c r="N697" s="1">
        <f t="shared" si="708"/>
        <v>1.7000000000000002</v>
      </c>
      <c r="O697" s="1">
        <f t="shared" si="709"/>
        <v>2040.0000000000002</v>
      </c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</row>
    <row r="698" spans="1:33" s="32" customFormat="1" ht="15" customHeight="1">
      <c r="A698" s="37">
        <v>43711</v>
      </c>
      <c r="B698" s="20" t="s">
        <v>410</v>
      </c>
      <c r="C698" s="20" t="s">
        <v>47</v>
      </c>
      <c r="D698" s="20">
        <v>1800</v>
      </c>
      <c r="E698" s="38">
        <v>600</v>
      </c>
      <c r="F698" s="20" t="s">
        <v>8</v>
      </c>
      <c r="G698" s="43">
        <v>27.5</v>
      </c>
      <c r="H698" s="43">
        <v>32.5</v>
      </c>
      <c r="I698" s="43">
        <v>0</v>
      </c>
      <c r="J698" s="43">
        <v>0</v>
      </c>
      <c r="K698" s="1">
        <f t="shared" ref="K698" si="715">(IF(F698="SELL",G698-H698,IF(F698="BUY",H698-G698)))*E698</f>
        <v>3000</v>
      </c>
      <c r="L698" s="43">
        <v>0</v>
      </c>
      <c r="M698" s="43">
        <v>0</v>
      </c>
      <c r="N698" s="1">
        <f t="shared" si="708"/>
        <v>5</v>
      </c>
      <c r="O698" s="1">
        <f t="shared" si="709"/>
        <v>3000</v>
      </c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</row>
    <row r="699" spans="1:33" s="32" customFormat="1" ht="15" customHeight="1">
      <c r="A699" s="37">
        <v>43707</v>
      </c>
      <c r="B699" s="20" t="s">
        <v>21</v>
      </c>
      <c r="C699" s="20" t="s">
        <v>46</v>
      </c>
      <c r="D699" s="20">
        <v>255</v>
      </c>
      <c r="E699" s="38">
        <v>3000</v>
      </c>
      <c r="F699" s="20" t="s">
        <v>8</v>
      </c>
      <c r="G699" s="43">
        <v>4.9000000000000004</v>
      </c>
      <c r="H699" s="43">
        <v>5.9</v>
      </c>
      <c r="I699" s="43">
        <v>0</v>
      </c>
      <c r="J699" s="43">
        <v>0</v>
      </c>
      <c r="K699" s="1">
        <f t="shared" ref="K699" si="716">(IF(F699="SELL",G699-H699,IF(F699="BUY",H699-G699)))*E699</f>
        <v>3000</v>
      </c>
      <c r="L699" s="43">
        <v>0</v>
      </c>
      <c r="M699" s="43">
        <v>0</v>
      </c>
      <c r="N699" s="1">
        <f t="shared" si="708"/>
        <v>1</v>
      </c>
      <c r="O699" s="1">
        <f t="shared" si="709"/>
        <v>3000</v>
      </c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</row>
    <row r="700" spans="1:33" s="32" customFormat="1" ht="15" customHeight="1">
      <c r="A700" s="37">
        <v>43707</v>
      </c>
      <c r="B700" s="20" t="s">
        <v>190</v>
      </c>
      <c r="C700" s="20" t="s">
        <v>47</v>
      </c>
      <c r="D700" s="20">
        <v>1580</v>
      </c>
      <c r="E700" s="38">
        <v>550</v>
      </c>
      <c r="F700" s="20" t="s">
        <v>8</v>
      </c>
      <c r="G700" s="43">
        <v>23.5</v>
      </c>
      <c r="H700" s="43">
        <v>25.5</v>
      </c>
      <c r="I700" s="43">
        <v>9.15</v>
      </c>
      <c r="J700" s="43">
        <v>0</v>
      </c>
      <c r="K700" s="1">
        <f t="shared" ref="K700" si="717">(IF(F700="SELL",G700-H700,IF(F700="BUY",H700-G700)))*E700</f>
        <v>1100</v>
      </c>
      <c r="L700" s="43">
        <v>0</v>
      </c>
      <c r="M700" s="43">
        <v>0</v>
      </c>
      <c r="N700" s="1">
        <f t="shared" si="708"/>
        <v>2</v>
      </c>
      <c r="O700" s="1">
        <f t="shared" si="709"/>
        <v>1100</v>
      </c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</row>
    <row r="701" spans="1:33" s="32" customFormat="1" ht="15" customHeight="1">
      <c r="A701" s="37">
        <v>43706</v>
      </c>
      <c r="B701" s="20" t="s">
        <v>20</v>
      </c>
      <c r="C701" s="20" t="s">
        <v>47</v>
      </c>
      <c r="D701" s="20">
        <v>800</v>
      </c>
      <c r="E701" s="38">
        <v>1200</v>
      </c>
      <c r="F701" s="20" t="s">
        <v>8</v>
      </c>
      <c r="G701" s="43">
        <v>6.2</v>
      </c>
      <c r="H701" s="43">
        <v>8.1999999999999993</v>
      </c>
      <c r="I701" s="43">
        <v>9.15</v>
      </c>
      <c r="J701" s="43">
        <v>0</v>
      </c>
      <c r="K701" s="1">
        <f t="shared" ref="K701" si="718">(IF(F701="SELL",G701-H701,IF(F701="BUY",H701-G701)))*E701</f>
        <v>2399.9999999999991</v>
      </c>
      <c r="L701" s="43">
        <f>E701*1.95</f>
        <v>2340</v>
      </c>
      <c r="M701" s="43">
        <v>0</v>
      </c>
      <c r="N701" s="1">
        <f t="shared" si="708"/>
        <v>3.9499999999999993</v>
      </c>
      <c r="O701" s="1">
        <f t="shared" si="709"/>
        <v>4739.9999999999991</v>
      </c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</row>
    <row r="702" spans="1:33" s="32" customFormat="1" ht="15" customHeight="1">
      <c r="A702" s="37">
        <v>43706</v>
      </c>
      <c r="B702" s="20" t="s">
        <v>414</v>
      </c>
      <c r="C702" s="20" t="s">
        <v>46</v>
      </c>
      <c r="D702" s="20">
        <v>65</v>
      </c>
      <c r="E702" s="38">
        <v>2200</v>
      </c>
      <c r="F702" s="20" t="s">
        <v>8</v>
      </c>
      <c r="G702" s="43">
        <v>7.5</v>
      </c>
      <c r="H702" s="43">
        <v>8.5</v>
      </c>
      <c r="I702" s="43">
        <v>9.5</v>
      </c>
      <c r="J702" s="43">
        <v>0</v>
      </c>
      <c r="K702" s="1">
        <f t="shared" ref="K702" si="719">(IF(F702="SELL",G702-H702,IF(F702="BUY",H702-G702)))*E702</f>
        <v>2200</v>
      </c>
      <c r="L702" s="43">
        <f>E702*1</f>
        <v>2200</v>
      </c>
      <c r="M702" s="43">
        <v>0</v>
      </c>
      <c r="N702" s="1">
        <f t="shared" si="708"/>
        <v>2</v>
      </c>
      <c r="O702" s="1">
        <f t="shared" si="709"/>
        <v>4400</v>
      </c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</row>
    <row r="703" spans="1:33" s="32" customFormat="1" ht="15" customHeight="1">
      <c r="A703" s="37">
        <v>43705</v>
      </c>
      <c r="B703" s="20" t="s">
        <v>452</v>
      </c>
      <c r="C703" s="20" t="s">
        <v>46</v>
      </c>
      <c r="D703" s="20">
        <v>330</v>
      </c>
      <c r="E703" s="38">
        <v>1200</v>
      </c>
      <c r="F703" s="20" t="s">
        <v>8</v>
      </c>
      <c r="G703" s="43">
        <v>3.7</v>
      </c>
      <c r="H703" s="43">
        <v>5.7</v>
      </c>
      <c r="I703" s="43">
        <v>7.7</v>
      </c>
      <c r="J703" s="43">
        <v>9.6999999999999993</v>
      </c>
      <c r="K703" s="1">
        <f t="shared" ref="K703" si="720">(IF(F703="SELL",G703-H703,IF(F703="BUY",H703-G703)))*E703</f>
        <v>2400</v>
      </c>
      <c r="L703" s="43">
        <f>E703*2</f>
        <v>2400</v>
      </c>
      <c r="M703" s="43">
        <f>E703*2</f>
        <v>2400</v>
      </c>
      <c r="N703" s="1">
        <f t="shared" si="708"/>
        <v>6</v>
      </c>
      <c r="O703" s="1">
        <f t="shared" si="709"/>
        <v>7200</v>
      </c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</row>
    <row r="704" spans="1:33" s="32" customFormat="1" ht="15" customHeight="1">
      <c r="A704" s="37">
        <v>43704</v>
      </c>
      <c r="B704" s="20" t="s">
        <v>369</v>
      </c>
      <c r="C704" s="20" t="s">
        <v>47</v>
      </c>
      <c r="D704" s="20">
        <v>230</v>
      </c>
      <c r="E704" s="38">
        <v>2000</v>
      </c>
      <c r="F704" s="20" t="s">
        <v>8</v>
      </c>
      <c r="G704" s="43">
        <v>3.5</v>
      </c>
      <c r="H704" s="43">
        <v>4.5</v>
      </c>
      <c r="I704" s="43">
        <v>6</v>
      </c>
      <c r="J704" s="43">
        <v>0</v>
      </c>
      <c r="K704" s="1">
        <f t="shared" ref="K704:K705" si="721">(IF(F704="SELL",G704-H704,IF(F704="BUY",H704-G704)))*E704</f>
        <v>2000</v>
      </c>
      <c r="L704" s="43">
        <f>E704*1.5</f>
        <v>3000</v>
      </c>
      <c r="M704" s="43">
        <v>0</v>
      </c>
      <c r="N704" s="1">
        <f t="shared" si="708"/>
        <v>2.5</v>
      </c>
      <c r="O704" s="1">
        <f t="shared" si="709"/>
        <v>5000</v>
      </c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</row>
    <row r="705" spans="1:33" s="32" customFormat="1" ht="15" customHeight="1">
      <c r="A705" s="37">
        <v>43704</v>
      </c>
      <c r="B705" s="20" t="s">
        <v>72</v>
      </c>
      <c r="C705" s="20" t="s">
        <v>47</v>
      </c>
      <c r="D705" s="20">
        <v>330</v>
      </c>
      <c r="E705" s="38">
        <v>1800</v>
      </c>
      <c r="F705" s="20" t="s">
        <v>8</v>
      </c>
      <c r="G705" s="43">
        <v>9.6999999999999993</v>
      </c>
      <c r="H705" s="43">
        <v>9.85</v>
      </c>
      <c r="I705" s="43">
        <v>0</v>
      </c>
      <c r="J705" s="43">
        <v>0</v>
      </c>
      <c r="K705" s="1">
        <f t="shared" si="721"/>
        <v>270.00000000000063</v>
      </c>
      <c r="L705" s="43">
        <v>0</v>
      </c>
      <c r="M705" s="43">
        <v>0</v>
      </c>
      <c r="N705" s="1">
        <f t="shared" si="708"/>
        <v>0.15000000000000036</v>
      </c>
      <c r="O705" s="1">
        <f t="shared" si="709"/>
        <v>270.00000000000063</v>
      </c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</row>
    <row r="706" spans="1:33" s="32" customFormat="1" ht="15" customHeight="1">
      <c r="A706" s="37">
        <v>43703</v>
      </c>
      <c r="B706" s="20" t="s">
        <v>208</v>
      </c>
      <c r="C706" s="20" t="s">
        <v>47</v>
      </c>
      <c r="D706" s="20">
        <v>1560</v>
      </c>
      <c r="E706" s="38">
        <v>400</v>
      </c>
      <c r="F706" s="20" t="s">
        <v>8</v>
      </c>
      <c r="G706" s="43">
        <v>33</v>
      </c>
      <c r="H706" s="43">
        <v>40</v>
      </c>
      <c r="I706" s="43">
        <v>47</v>
      </c>
      <c r="J706" s="43">
        <v>53.55</v>
      </c>
      <c r="K706" s="1">
        <f t="shared" ref="K706:K707" si="722">(IF(F706="SELL",G706-H706,IF(F706="BUY",H706-G706)))*E706</f>
        <v>2800</v>
      </c>
      <c r="L706" s="43">
        <f>E706*7</f>
        <v>2800</v>
      </c>
      <c r="M706" s="43">
        <f>E706*6.55</f>
        <v>2620</v>
      </c>
      <c r="N706" s="1">
        <f t="shared" si="708"/>
        <v>20.55</v>
      </c>
      <c r="O706" s="1">
        <f t="shared" si="709"/>
        <v>8220</v>
      </c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</row>
    <row r="707" spans="1:33" s="32" customFormat="1" ht="15" customHeight="1">
      <c r="A707" s="37">
        <v>43703</v>
      </c>
      <c r="B707" s="20" t="s">
        <v>26</v>
      </c>
      <c r="C707" s="20" t="s">
        <v>46</v>
      </c>
      <c r="D707" s="20">
        <v>320</v>
      </c>
      <c r="E707" s="38">
        <v>1061</v>
      </c>
      <c r="F707" s="20" t="s">
        <v>8</v>
      </c>
      <c r="G707" s="43">
        <v>3.8</v>
      </c>
      <c r="H707" s="43">
        <v>5.8</v>
      </c>
      <c r="I707" s="43">
        <v>0</v>
      </c>
      <c r="J707" s="43">
        <v>0</v>
      </c>
      <c r="K707" s="1">
        <f t="shared" si="722"/>
        <v>2122</v>
      </c>
      <c r="L707" s="43">
        <v>0</v>
      </c>
      <c r="M707" s="43">
        <v>0</v>
      </c>
      <c r="N707" s="1">
        <f t="shared" si="708"/>
        <v>2</v>
      </c>
      <c r="O707" s="1">
        <f t="shared" si="709"/>
        <v>2122</v>
      </c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</row>
    <row r="708" spans="1:33" s="32" customFormat="1" ht="15" customHeight="1">
      <c r="A708" s="37">
        <v>43703</v>
      </c>
      <c r="B708" s="20" t="s">
        <v>449</v>
      </c>
      <c r="C708" s="20" t="s">
        <v>46</v>
      </c>
      <c r="D708" s="20">
        <v>195</v>
      </c>
      <c r="E708" s="38">
        <v>2000</v>
      </c>
      <c r="F708" s="20" t="s">
        <v>8</v>
      </c>
      <c r="G708" s="43">
        <v>2</v>
      </c>
      <c r="H708" s="43">
        <v>1</v>
      </c>
      <c r="I708" s="43">
        <v>0</v>
      </c>
      <c r="J708" s="43">
        <v>0</v>
      </c>
      <c r="K708" s="1">
        <f t="shared" ref="K708" si="723">(IF(F708="SELL",G708-H708,IF(F708="BUY",H708-G708)))*E708</f>
        <v>-2000</v>
      </c>
      <c r="L708" s="43">
        <v>0</v>
      </c>
      <c r="M708" s="43">
        <v>0</v>
      </c>
      <c r="N708" s="1">
        <f t="shared" si="708"/>
        <v>-1</v>
      </c>
      <c r="O708" s="1">
        <f t="shared" si="709"/>
        <v>-2000</v>
      </c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</row>
    <row r="709" spans="1:33" s="32" customFormat="1" ht="15" customHeight="1">
      <c r="A709" s="37">
        <v>43700</v>
      </c>
      <c r="B709" s="20" t="s">
        <v>37</v>
      </c>
      <c r="C709" s="20" t="s">
        <v>47</v>
      </c>
      <c r="D709" s="20">
        <v>2260</v>
      </c>
      <c r="E709" s="38">
        <v>250</v>
      </c>
      <c r="F709" s="20" t="s">
        <v>8</v>
      </c>
      <c r="G709" s="43">
        <v>24</v>
      </c>
      <c r="H709" s="43">
        <v>19.5</v>
      </c>
      <c r="I709" s="43">
        <v>0</v>
      </c>
      <c r="J709" s="43">
        <v>0</v>
      </c>
      <c r="K709" s="1">
        <f t="shared" ref="K709" si="724">(IF(F709="SELL",G709-H709,IF(F709="BUY",H709-G709)))*E709</f>
        <v>-1125</v>
      </c>
      <c r="L709" s="43">
        <v>0</v>
      </c>
      <c r="M709" s="43">
        <v>0</v>
      </c>
      <c r="N709" s="1">
        <f t="shared" si="708"/>
        <v>-4.5</v>
      </c>
      <c r="O709" s="1">
        <f t="shared" si="709"/>
        <v>-1125</v>
      </c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</row>
    <row r="710" spans="1:33" s="32" customFormat="1" ht="15" customHeight="1">
      <c r="A710" s="37">
        <v>43700</v>
      </c>
      <c r="B710" s="20" t="s">
        <v>190</v>
      </c>
      <c r="C710" s="20" t="s">
        <v>47</v>
      </c>
      <c r="D710" s="20">
        <v>1500</v>
      </c>
      <c r="E710" s="38">
        <v>550</v>
      </c>
      <c r="F710" s="20" t="s">
        <v>8</v>
      </c>
      <c r="G710" s="43">
        <v>10.5</v>
      </c>
      <c r="H710" s="43">
        <v>13</v>
      </c>
      <c r="I710" s="43">
        <v>0</v>
      </c>
      <c r="J710" s="43">
        <v>0</v>
      </c>
      <c r="K710" s="1">
        <f t="shared" ref="K710" si="725">(IF(F710="SELL",G710-H710,IF(F710="BUY",H710-G710)))*E710</f>
        <v>1375</v>
      </c>
      <c r="L710" s="43">
        <v>0</v>
      </c>
      <c r="M710" s="43">
        <v>0</v>
      </c>
      <c r="N710" s="1">
        <f t="shared" si="708"/>
        <v>2.5</v>
      </c>
      <c r="O710" s="1">
        <f t="shared" si="709"/>
        <v>1375</v>
      </c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 spans="1:33" s="32" customFormat="1" ht="15" customHeight="1">
      <c r="A711" s="37">
        <v>43699</v>
      </c>
      <c r="B711" s="20" t="s">
        <v>89</v>
      </c>
      <c r="C711" s="20" t="s">
        <v>46</v>
      </c>
      <c r="D711" s="20">
        <v>440</v>
      </c>
      <c r="E711" s="38">
        <v>1100</v>
      </c>
      <c r="F711" s="20" t="s">
        <v>8</v>
      </c>
      <c r="G711" s="43">
        <v>11.9</v>
      </c>
      <c r="H711" s="43">
        <v>13.9</v>
      </c>
      <c r="I711" s="43">
        <v>15.9</v>
      </c>
      <c r="J711" s="43">
        <v>17.5</v>
      </c>
      <c r="K711" s="1">
        <f t="shared" ref="K711" si="726">(IF(F711="SELL",G711-H711,IF(F711="BUY",H711-G711)))*E711</f>
        <v>2200</v>
      </c>
      <c r="L711" s="43">
        <f>E711*2</f>
        <v>2200</v>
      </c>
      <c r="M711" s="43">
        <f>E711*1.6</f>
        <v>1760</v>
      </c>
      <c r="N711" s="1">
        <f t="shared" si="708"/>
        <v>5.6</v>
      </c>
      <c r="O711" s="1">
        <f t="shared" si="709"/>
        <v>6160</v>
      </c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</row>
    <row r="712" spans="1:33" s="32" customFormat="1" ht="15" customHeight="1">
      <c r="A712" s="37">
        <v>43699</v>
      </c>
      <c r="B712" s="20" t="s">
        <v>289</v>
      </c>
      <c r="C712" s="20" t="s">
        <v>46</v>
      </c>
      <c r="D712" s="20">
        <v>390</v>
      </c>
      <c r="E712" s="38">
        <v>1200</v>
      </c>
      <c r="F712" s="20" t="s">
        <v>8</v>
      </c>
      <c r="G712" s="43">
        <v>12</v>
      </c>
      <c r="H712" s="43">
        <v>14</v>
      </c>
      <c r="I712" s="43">
        <v>0</v>
      </c>
      <c r="J712" s="43">
        <v>0</v>
      </c>
      <c r="K712" s="1">
        <f t="shared" ref="K712" si="727">(IF(F712="SELL",G712-H712,IF(F712="BUY",H712-G712)))*E712</f>
        <v>2400</v>
      </c>
      <c r="L712" s="43">
        <v>0</v>
      </c>
      <c r="M712" s="43">
        <v>0</v>
      </c>
      <c r="N712" s="1">
        <f t="shared" si="708"/>
        <v>2</v>
      </c>
      <c r="O712" s="1">
        <f t="shared" si="709"/>
        <v>2400</v>
      </c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</row>
    <row r="713" spans="1:33" s="32" customFormat="1" ht="15" customHeight="1">
      <c r="A713" s="37">
        <v>43698</v>
      </c>
      <c r="B713" s="20" t="s">
        <v>27</v>
      </c>
      <c r="C713" s="20" t="s">
        <v>46</v>
      </c>
      <c r="D713" s="20">
        <v>195</v>
      </c>
      <c r="E713" s="38">
        <v>2200</v>
      </c>
      <c r="F713" s="20" t="s">
        <v>8</v>
      </c>
      <c r="G713" s="43">
        <v>5</v>
      </c>
      <c r="H713" s="43">
        <v>6</v>
      </c>
      <c r="I713" s="43">
        <v>7</v>
      </c>
      <c r="J713" s="43">
        <v>7.5</v>
      </c>
      <c r="K713" s="1">
        <f t="shared" ref="K713" si="728">(IF(F713="SELL",G713-H713,IF(F713="BUY",H713-G713)))*E713</f>
        <v>2200</v>
      </c>
      <c r="L713" s="43">
        <f>E713*1</f>
        <v>2200</v>
      </c>
      <c r="M713" s="43">
        <f>E713*0.5</f>
        <v>1100</v>
      </c>
      <c r="N713" s="1">
        <f t="shared" si="708"/>
        <v>2.5</v>
      </c>
      <c r="O713" s="1">
        <f t="shared" si="709"/>
        <v>5500</v>
      </c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</row>
    <row r="714" spans="1:33" s="32" customFormat="1" ht="15" customHeight="1">
      <c r="A714" s="37">
        <v>43698</v>
      </c>
      <c r="B714" s="20" t="s">
        <v>411</v>
      </c>
      <c r="C714" s="20" t="s">
        <v>46</v>
      </c>
      <c r="D714" s="20">
        <v>70</v>
      </c>
      <c r="E714" s="38">
        <v>2200</v>
      </c>
      <c r="F714" s="20" t="s">
        <v>8</v>
      </c>
      <c r="G714" s="43">
        <v>5.8</v>
      </c>
      <c r="H714" s="43">
        <v>6.8</v>
      </c>
      <c r="I714" s="43">
        <v>7.8</v>
      </c>
      <c r="J714" s="43">
        <v>0</v>
      </c>
      <c r="K714" s="1">
        <f t="shared" ref="K714" si="729">(IF(F714="SELL",G714-H714,IF(F714="BUY",H714-G714)))*E714</f>
        <v>2200</v>
      </c>
      <c r="L714" s="43">
        <f>E714*1</f>
        <v>2200</v>
      </c>
      <c r="M714" s="43">
        <v>0</v>
      </c>
      <c r="N714" s="1">
        <f t="shared" si="708"/>
        <v>2</v>
      </c>
      <c r="O714" s="1">
        <f t="shared" si="709"/>
        <v>4400</v>
      </c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</row>
    <row r="715" spans="1:33" s="32" customFormat="1" ht="15" customHeight="1">
      <c r="A715" s="37">
        <v>43697</v>
      </c>
      <c r="B715" s="20" t="s">
        <v>411</v>
      </c>
      <c r="C715" s="20" t="s">
        <v>46</v>
      </c>
      <c r="D715" s="20">
        <v>70</v>
      </c>
      <c r="E715" s="38">
        <v>2200</v>
      </c>
      <c r="F715" s="20" t="s">
        <v>8</v>
      </c>
      <c r="G715" s="43">
        <v>4.2</v>
      </c>
      <c r="H715" s="43">
        <v>5.05</v>
      </c>
      <c r="I715" s="43">
        <v>0</v>
      </c>
      <c r="J715" s="43">
        <v>0</v>
      </c>
      <c r="K715" s="1">
        <f t="shared" ref="K715:K719" si="730">(IF(F715="SELL",G715-H715,IF(F715="BUY",H715-G715)))*E715</f>
        <v>1869.9999999999993</v>
      </c>
      <c r="L715" s="43">
        <v>0</v>
      </c>
      <c r="M715" s="43">
        <v>0</v>
      </c>
      <c r="N715" s="1">
        <f t="shared" si="708"/>
        <v>0.84999999999999964</v>
      </c>
      <c r="O715" s="1">
        <f t="shared" si="709"/>
        <v>1869.9999999999993</v>
      </c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</row>
    <row r="716" spans="1:33" s="32" customFormat="1" ht="15" customHeight="1">
      <c r="A716" s="37">
        <v>43697</v>
      </c>
      <c r="B716" s="20" t="s">
        <v>189</v>
      </c>
      <c r="C716" s="20" t="s">
        <v>46</v>
      </c>
      <c r="D716" s="20">
        <v>45</v>
      </c>
      <c r="E716" s="38">
        <v>3000</v>
      </c>
      <c r="F716" s="20" t="s">
        <v>8</v>
      </c>
      <c r="G716" s="43">
        <v>5</v>
      </c>
      <c r="H716" s="43">
        <v>6</v>
      </c>
      <c r="I716" s="43">
        <v>7</v>
      </c>
      <c r="J716" s="43">
        <v>0</v>
      </c>
      <c r="K716" s="1">
        <f t="shared" si="730"/>
        <v>3000</v>
      </c>
      <c r="L716" s="43">
        <f>E716*1</f>
        <v>3000</v>
      </c>
      <c r="M716" s="43">
        <v>0</v>
      </c>
      <c r="N716" s="1">
        <f t="shared" si="708"/>
        <v>2</v>
      </c>
      <c r="O716" s="1">
        <f t="shared" si="709"/>
        <v>6000</v>
      </c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</row>
    <row r="717" spans="1:33" s="32" customFormat="1" ht="15" customHeight="1">
      <c r="A717" s="37">
        <v>43696</v>
      </c>
      <c r="B717" s="20" t="s">
        <v>399</v>
      </c>
      <c r="C717" s="20" t="s">
        <v>47</v>
      </c>
      <c r="D717" s="20">
        <v>270</v>
      </c>
      <c r="E717" s="38">
        <v>2700</v>
      </c>
      <c r="F717" s="20" t="s">
        <v>8</v>
      </c>
      <c r="G717" s="43">
        <v>5.5</v>
      </c>
      <c r="H717" s="43">
        <v>5.9</v>
      </c>
      <c r="I717" s="43">
        <v>0</v>
      </c>
      <c r="J717" s="43">
        <v>0</v>
      </c>
      <c r="K717" s="1">
        <f t="shared" si="730"/>
        <v>1080.0000000000009</v>
      </c>
      <c r="L717" s="43">
        <v>0</v>
      </c>
      <c r="M717" s="43">
        <v>0</v>
      </c>
      <c r="N717" s="1">
        <f t="shared" si="708"/>
        <v>0.40000000000000036</v>
      </c>
      <c r="O717" s="1">
        <f t="shared" si="709"/>
        <v>1080.0000000000009</v>
      </c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</row>
    <row r="718" spans="1:33" s="32" customFormat="1" ht="15" customHeight="1">
      <c r="A718" s="37">
        <v>43696</v>
      </c>
      <c r="B718" s="20" t="s">
        <v>107</v>
      </c>
      <c r="C718" s="20" t="s">
        <v>47</v>
      </c>
      <c r="D718" s="20">
        <v>420</v>
      </c>
      <c r="E718" s="38">
        <v>1100</v>
      </c>
      <c r="F718" s="20" t="s">
        <v>8</v>
      </c>
      <c r="G718" s="43">
        <v>14</v>
      </c>
      <c r="H718" s="43">
        <v>17.75</v>
      </c>
      <c r="I718" s="43">
        <v>0</v>
      </c>
      <c r="J718" s="43">
        <v>0</v>
      </c>
      <c r="K718" s="1">
        <f t="shared" si="730"/>
        <v>4125</v>
      </c>
      <c r="L718" s="43">
        <v>0</v>
      </c>
      <c r="M718" s="43">
        <v>0</v>
      </c>
      <c r="N718" s="1">
        <f t="shared" si="708"/>
        <v>3.75</v>
      </c>
      <c r="O718" s="1">
        <f t="shared" si="709"/>
        <v>4125</v>
      </c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</row>
    <row r="719" spans="1:33" s="32" customFormat="1" ht="15" customHeight="1">
      <c r="A719" s="37">
        <v>43696</v>
      </c>
      <c r="B719" s="20" t="s">
        <v>446</v>
      </c>
      <c r="C719" s="20" t="s">
        <v>47</v>
      </c>
      <c r="D719" s="20">
        <v>1800</v>
      </c>
      <c r="E719" s="38">
        <v>300</v>
      </c>
      <c r="F719" s="20" t="s">
        <v>8</v>
      </c>
      <c r="G719" s="43">
        <v>52</v>
      </c>
      <c r="H719" s="43">
        <v>40</v>
      </c>
      <c r="I719" s="43">
        <v>0</v>
      </c>
      <c r="J719" s="43">
        <v>0</v>
      </c>
      <c r="K719" s="1">
        <f t="shared" si="730"/>
        <v>-3600</v>
      </c>
      <c r="L719" s="43">
        <v>0</v>
      </c>
      <c r="M719" s="43">
        <v>0</v>
      </c>
      <c r="N719" s="1">
        <f t="shared" si="708"/>
        <v>-12</v>
      </c>
      <c r="O719" s="1">
        <f t="shared" si="709"/>
        <v>-3600</v>
      </c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</row>
    <row r="720" spans="1:33" s="32" customFormat="1" ht="15" customHeight="1">
      <c r="A720" s="37">
        <v>43693</v>
      </c>
      <c r="B720" s="20" t="s">
        <v>448</v>
      </c>
      <c r="C720" s="20" t="s">
        <v>47</v>
      </c>
      <c r="D720" s="20">
        <v>1380</v>
      </c>
      <c r="E720" s="38">
        <v>500</v>
      </c>
      <c r="F720" s="20" t="s">
        <v>8</v>
      </c>
      <c r="G720" s="43">
        <v>16.5</v>
      </c>
      <c r="H720" s="43">
        <v>19.95</v>
      </c>
      <c r="I720" s="43">
        <v>0</v>
      </c>
      <c r="J720" s="43">
        <v>0</v>
      </c>
      <c r="K720" s="1">
        <f t="shared" ref="K720:K721" si="731">(IF(F720="SELL",G720-H720,IF(F720="BUY",H720-G720)))*E720</f>
        <v>1724.9999999999995</v>
      </c>
      <c r="L720" s="43">
        <v>0</v>
      </c>
      <c r="M720" s="43">
        <v>0</v>
      </c>
      <c r="N720" s="1">
        <f t="shared" si="708"/>
        <v>3.4499999999999993</v>
      </c>
      <c r="O720" s="1">
        <f t="shared" si="709"/>
        <v>1724.9999999999995</v>
      </c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</row>
    <row r="721" spans="1:33" s="32" customFormat="1" ht="15" customHeight="1">
      <c r="A721" s="37">
        <v>43693</v>
      </c>
      <c r="B721" s="20" t="s">
        <v>357</v>
      </c>
      <c r="C721" s="20" t="s">
        <v>46</v>
      </c>
      <c r="D721" s="20">
        <v>680</v>
      </c>
      <c r="E721" s="38">
        <v>600</v>
      </c>
      <c r="F721" s="20" t="s">
        <v>8</v>
      </c>
      <c r="G721" s="43">
        <v>20</v>
      </c>
      <c r="H721" s="43">
        <v>15</v>
      </c>
      <c r="I721" s="43">
        <v>0</v>
      </c>
      <c r="J721" s="43">
        <v>0</v>
      </c>
      <c r="K721" s="1">
        <f t="shared" si="731"/>
        <v>-3000</v>
      </c>
      <c r="L721" s="43">
        <v>0</v>
      </c>
      <c r="M721" s="43">
        <v>0</v>
      </c>
      <c r="N721" s="1">
        <f t="shared" si="708"/>
        <v>-5</v>
      </c>
      <c r="O721" s="1">
        <f t="shared" si="709"/>
        <v>-3000</v>
      </c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</row>
    <row r="722" spans="1:33" s="32" customFormat="1" ht="15" customHeight="1">
      <c r="A722" s="37">
        <v>43691</v>
      </c>
      <c r="B722" s="20" t="s">
        <v>447</v>
      </c>
      <c r="C722" s="20" t="s">
        <v>46</v>
      </c>
      <c r="D722" s="20">
        <v>120</v>
      </c>
      <c r="E722" s="38">
        <v>3000</v>
      </c>
      <c r="F722" s="20" t="s">
        <v>8</v>
      </c>
      <c r="G722" s="43">
        <v>5</v>
      </c>
      <c r="H722" s="43">
        <v>5.75</v>
      </c>
      <c r="I722" s="43">
        <v>0</v>
      </c>
      <c r="J722" s="43">
        <v>0</v>
      </c>
      <c r="K722" s="1">
        <f t="shared" ref="K722" si="732">(IF(F722="SELL",G722-H722,IF(F722="BUY",H722-G722)))*E722</f>
        <v>2250</v>
      </c>
      <c r="L722" s="43">
        <v>0</v>
      </c>
      <c r="M722" s="43">
        <v>0</v>
      </c>
      <c r="N722" s="1">
        <f t="shared" si="708"/>
        <v>0.75</v>
      </c>
      <c r="O722" s="1">
        <f t="shared" si="709"/>
        <v>2250</v>
      </c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</row>
    <row r="723" spans="1:33" s="32" customFormat="1" ht="15" customHeight="1">
      <c r="A723" s="37">
        <v>43691</v>
      </c>
      <c r="B723" s="20" t="s">
        <v>266</v>
      </c>
      <c r="C723" s="20" t="s">
        <v>425</v>
      </c>
      <c r="D723" s="20">
        <v>580</v>
      </c>
      <c r="E723" s="38">
        <v>600</v>
      </c>
      <c r="F723" s="20" t="s">
        <v>8</v>
      </c>
      <c r="G723" s="43">
        <v>13</v>
      </c>
      <c r="H723" s="43">
        <v>15.5</v>
      </c>
      <c r="I723" s="43">
        <v>0</v>
      </c>
      <c r="J723" s="43">
        <v>0</v>
      </c>
      <c r="K723" s="1">
        <f t="shared" ref="K723" si="733">(IF(F723="SELL",G723-H723,IF(F723="BUY",H723-G723)))*E723</f>
        <v>1500</v>
      </c>
      <c r="L723" s="43">
        <v>0</v>
      </c>
      <c r="M723" s="43">
        <v>0</v>
      </c>
      <c r="N723" s="1">
        <f t="shared" si="708"/>
        <v>2.5</v>
      </c>
      <c r="O723" s="1">
        <f t="shared" si="709"/>
        <v>1500</v>
      </c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</row>
    <row r="724" spans="1:33" s="32" customFormat="1" ht="15" customHeight="1">
      <c r="A724" s="37">
        <v>43690</v>
      </c>
      <c r="B724" s="20" t="s">
        <v>402</v>
      </c>
      <c r="C724" s="20" t="s">
        <v>47</v>
      </c>
      <c r="D724" s="20">
        <v>1340</v>
      </c>
      <c r="E724" s="38">
        <v>500</v>
      </c>
      <c r="F724" s="20" t="s">
        <v>8</v>
      </c>
      <c r="G724" s="43">
        <v>10</v>
      </c>
      <c r="H724" s="43">
        <v>14.5</v>
      </c>
      <c r="I724" s="43">
        <v>19</v>
      </c>
      <c r="J724" s="43">
        <v>0</v>
      </c>
      <c r="K724" s="1">
        <f t="shared" ref="K724:K725" si="734">(IF(F724="SELL",G724-H724,IF(F724="BUY",H724-G724)))*E724</f>
        <v>2250</v>
      </c>
      <c r="L724" s="43">
        <f>E724*4.5</f>
        <v>2250</v>
      </c>
      <c r="M724" s="43">
        <v>0</v>
      </c>
      <c r="N724" s="1">
        <f t="shared" si="708"/>
        <v>9</v>
      </c>
      <c r="O724" s="1">
        <f t="shared" si="709"/>
        <v>4500</v>
      </c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</row>
    <row r="725" spans="1:33" s="32" customFormat="1" ht="15" customHeight="1">
      <c r="A725" s="37">
        <v>43690</v>
      </c>
      <c r="B725" s="20" t="s">
        <v>430</v>
      </c>
      <c r="C725" s="20" t="s">
        <v>46</v>
      </c>
      <c r="D725" s="20">
        <v>530</v>
      </c>
      <c r="E725" s="38">
        <v>1000</v>
      </c>
      <c r="F725" s="20" t="s">
        <v>8</v>
      </c>
      <c r="G725" s="43">
        <v>14</v>
      </c>
      <c r="H725" s="43">
        <v>16.5</v>
      </c>
      <c r="I725" s="43">
        <v>19</v>
      </c>
      <c r="J725" s="43">
        <v>22.5</v>
      </c>
      <c r="K725" s="1">
        <f t="shared" si="734"/>
        <v>2500</v>
      </c>
      <c r="L725" s="43">
        <f>E725*2.5</f>
        <v>2500</v>
      </c>
      <c r="M725" s="43">
        <f>E725*3.5</f>
        <v>3500</v>
      </c>
      <c r="N725" s="1">
        <f t="shared" si="708"/>
        <v>8.5</v>
      </c>
      <c r="O725" s="1">
        <f t="shared" si="709"/>
        <v>8500</v>
      </c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</row>
    <row r="726" spans="1:33" s="32" customFormat="1" ht="15" customHeight="1">
      <c r="A726" s="37">
        <v>43686</v>
      </c>
      <c r="B726" s="20" t="s">
        <v>420</v>
      </c>
      <c r="C726" s="20" t="s">
        <v>47</v>
      </c>
      <c r="D726" s="20">
        <v>1580</v>
      </c>
      <c r="E726" s="38">
        <v>600</v>
      </c>
      <c r="F726" s="20" t="s">
        <v>8</v>
      </c>
      <c r="G726" s="43">
        <v>32</v>
      </c>
      <c r="H726" s="43">
        <v>34.75</v>
      </c>
      <c r="I726" s="43">
        <v>0</v>
      </c>
      <c r="J726" s="43">
        <v>0</v>
      </c>
      <c r="K726" s="1">
        <f t="shared" ref="K726:K727" si="735">(IF(F726="SELL",G726-H726,IF(F726="BUY",H726-G726)))*E726</f>
        <v>1650</v>
      </c>
      <c r="L726" s="43">
        <v>0</v>
      </c>
      <c r="M726" s="43">
        <v>0</v>
      </c>
      <c r="N726" s="1">
        <f t="shared" si="708"/>
        <v>2.75</v>
      </c>
      <c r="O726" s="1">
        <f t="shared" si="709"/>
        <v>1650</v>
      </c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 spans="1:33" s="32" customFormat="1" ht="15" customHeight="1">
      <c r="A727" s="37">
        <v>43686</v>
      </c>
      <c r="B727" s="20" t="s">
        <v>30</v>
      </c>
      <c r="C727" s="20" t="s">
        <v>47</v>
      </c>
      <c r="D727" s="20">
        <v>400</v>
      </c>
      <c r="E727" s="38">
        <v>1375</v>
      </c>
      <c r="F727" s="20" t="s">
        <v>8</v>
      </c>
      <c r="G727" s="43">
        <v>22.5</v>
      </c>
      <c r="H727" s="43">
        <v>24.5</v>
      </c>
      <c r="I727" s="43">
        <v>0</v>
      </c>
      <c r="J727" s="43">
        <v>0</v>
      </c>
      <c r="K727" s="1">
        <f t="shared" si="735"/>
        <v>2750</v>
      </c>
      <c r="L727" s="43">
        <v>0</v>
      </c>
      <c r="M727" s="43">
        <v>0</v>
      </c>
      <c r="N727" s="1">
        <f t="shared" si="708"/>
        <v>2</v>
      </c>
      <c r="O727" s="1">
        <f t="shared" si="709"/>
        <v>2750</v>
      </c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 spans="1:33" s="32" customFormat="1" ht="15" customHeight="1">
      <c r="A728" s="37">
        <v>43686</v>
      </c>
      <c r="B728" s="20" t="s">
        <v>20</v>
      </c>
      <c r="C728" s="20" t="s">
        <v>47</v>
      </c>
      <c r="D728" s="20">
        <v>780</v>
      </c>
      <c r="E728" s="38">
        <v>1200</v>
      </c>
      <c r="F728" s="20" t="s">
        <v>8</v>
      </c>
      <c r="G728" s="43">
        <v>21.5</v>
      </c>
      <c r="H728" s="43">
        <v>0</v>
      </c>
      <c r="I728" s="43">
        <v>0</v>
      </c>
      <c r="J728" s="43">
        <v>0</v>
      </c>
      <c r="K728" s="1">
        <v>0</v>
      </c>
      <c r="L728" s="43">
        <v>0</v>
      </c>
      <c r="M728" s="43">
        <v>0</v>
      </c>
      <c r="N728" s="1">
        <f t="shared" si="708"/>
        <v>0</v>
      </c>
      <c r="O728" s="1">
        <f t="shared" si="709"/>
        <v>0</v>
      </c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</row>
    <row r="729" spans="1:33" s="32" customFormat="1" ht="15" customHeight="1">
      <c r="A729" s="37">
        <v>43685</v>
      </c>
      <c r="B729" s="20" t="s">
        <v>446</v>
      </c>
      <c r="C729" s="20" t="s">
        <v>47</v>
      </c>
      <c r="D729" s="20">
        <v>1740</v>
      </c>
      <c r="E729" s="38">
        <v>300</v>
      </c>
      <c r="F729" s="20" t="s">
        <v>8</v>
      </c>
      <c r="G729" s="43">
        <v>68</v>
      </c>
      <c r="H729" s="43">
        <v>78</v>
      </c>
      <c r="I729" s="43">
        <v>0</v>
      </c>
      <c r="J729" s="43">
        <v>0</v>
      </c>
      <c r="K729" s="1">
        <f t="shared" ref="K729:K731" si="736">(IF(F729="SELL",G729-H729,IF(F729="BUY",H729-G729)))*E729</f>
        <v>3000</v>
      </c>
      <c r="L729" s="43">
        <v>0</v>
      </c>
      <c r="M729" s="43">
        <v>0</v>
      </c>
      <c r="N729" s="1">
        <f t="shared" si="708"/>
        <v>10</v>
      </c>
      <c r="O729" s="1">
        <f t="shared" si="709"/>
        <v>3000</v>
      </c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</row>
    <row r="730" spans="1:33" s="32" customFormat="1" ht="15" customHeight="1">
      <c r="A730" s="37">
        <v>43685</v>
      </c>
      <c r="B730" s="20" t="s">
        <v>15</v>
      </c>
      <c r="C730" s="20" t="s">
        <v>46</v>
      </c>
      <c r="D730" s="20">
        <v>360</v>
      </c>
      <c r="E730" s="38">
        <v>1100</v>
      </c>
      <c r="F730" s="20" t="s">
        <v>8</v>
      </c>
      <c r="G730" s="43">
        <v>13</v>
      </c>
      <c r="H730" s="43">
        <v>14.75</v>
      </c>
      <c r="I730" s="43">
        <v>0</v>
      </c>
      <c r="J730" s="43">
        <v>0</v>
      </c>
      <c r="K730" s="1">
        <f t="shared" si="736"/>
        <v>1925</v>
      </c>
      <c r="L730" s="43">
        <v>0</v>
      </c>
      <c r="M730" s="43">
        <v>0</v>
      </c>
      <c r="N730" s="1">
        <f t="shared" si="708"/>
        <v>1.75</v>
      </c>
      <c r="O730" s="1">
        <f t="shared" si="709"/>
        <v>1925</v>
      </c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</row>
    <row r="731" spans="1:33" s="32" customFormat="1" ht="15" customHeight="1">
      <c r="A731" s="37">
        <v>43685</v>
      </c>
      <c r="B731" s="20" t="s">
        <v>77</v>
      </c>
      <c r="C731" s="20" t="s">
        <v>46</v>
      </c>
      <c r="D731" s="20">
        <v>120</v>
      </c>
      <c r="E731" s="38">
        <v>3000</v>
      </c>
      <c r="F731" s="20" t="s">
        <v>8</v>
      </c>
      <c r="G731" s="43">
        <v>4.0999999999999996</v>
      </c>
      <c r="H731" s="43">
        <v>4.0999999999999996</v>
      </c>
      <c r="I731" s="43">
        <v>0</v>
      </c>
      <c r="J731" s="43">
        <v>0</v>
      </c>
      <c r="K731" s="1">
        <f t="shared" si="736"/>
        <v>0</v>
      </c>
      <c r="L731" s="43">
        <v>0</v>
      </c>
      <c r="M731" s="43">
        <v>0</v>
      </c>
      <c r="N731" s="1">
        <f t="shared" si="708"/>
        <v>0</v>
      </c>
      <c r="O731" s="1">
        <f t="shared" si="709"/>
        <v>0</v>
      </c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</row>
    <row r="732" spans="1:33" s="32" customFormat="1" ht="15" customHeight="1">
      <c r="A732" s="37">
        <v>43684</v>
      </c>
      <c r="B732" s="20" t="s">
        <v>24</v>
      </c>
      <c r="C732" s="20" t="s">
        <v>46</v>
      </c>
      <c r="D732" s="20">
        <v>120</v>
      </c>
      <c r="E732" s="38">
        <v>3000</v>
      </c>
      <c r="F732" s="20" t="s">
        <v>8</v>
      </c>
      <c r="G732" s="43">
        <v>5.7</v>
      </c>
      <c r="H732" s="43">
        <v>6.7</v>
      </c>
      <c r="I732" s="43">
        <v>7.7</v>
      </c>
      <c r="J732" s="43">
        <v>0</v>
      </c>
      <c r="K732" s="1">
        <f t="shared" ref="K732:K733" si="737">(IF(F732="SELL",G732-H732,IF(F732="BUY",H732-G732)))*E732</f>
        <v>3000</v>
      </c>
      <c r="L732" s="43">
        <f>E732*1</f>
        <v>3000</v>
      </c>
      <c r="M732" s="43">
        <v>0</v>
      </c>
      <c r="N732" s="1">
        <f t="shared" si="708"/>
        <v>2</v>
      </c>
      <c r="O732" s="1">
        <f t="shared" si="709"/>
        <v>6000</v>
      </c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</row>
    <row r="733" spans="1:33" s="32" customFormat="1" ht="15" customHeight="1">
      <c r="A733" s="37">
        <v>43684</v>
      </c>
      <c r="B733" s="20" t="s">
        <v>430</v>
      </c>
      <c r="C733" s="20" t="s">
        <v>46</v>
      </c>
      <c r="D733" s="20">
        <v>540</v>
      </c>
      <c r="E733" s="38">
        <v>1000</v>
      </c>
      <c r="F733" s="20" t="s">
        <v>8</v>
      </c>
      <c r="G733" s="43">
        <v>16.399999999999999</v>
      </c>
      <c r="H733" s="43">
        <v>19.8</v>
      </c>
      <c r="I733" s="43">
        <v>22.8</v>
      </c>
      <c r="J733" s="43">
        <v>25.8</v>
      </c>
      <c r="K733" s="1">
        <f t="shared" si="737"/>
        <v>3400.0000000000023</v>
      </c>
      <c r="L733" s="43">
        <f>E733*3</f>
        <v>3000</v>
      </c>
      <c r="M733" s="43">
        <f>E733*3</f>
        <v>3000</v>
      </c>
      <c r="N733" s="1">
        <f t="shared" si="708"/>
        <v>9.4000000000000021</v>
      </c>
      <c r="O733" s="1">
        <f t="shared" si="709"/>
        <v>9400.0000000000018</v>
      </c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</row>
    <row r="734" spans="1:33" s="32" customFormat="1" ht="15" customHeight="1">
      <c r="A734" s="37">
        <v>43684</v>
      </c>
      <c r="B734" s="20" t="s">
        <v>445</v>
      </c>
      <c r="C734" s="20" t="s">
        <v>47</v>
      </c>
      <c r="D734" s="20">
        <v>275</v>
      </c>
      <c r="E734" s="38">
        <v>2700</v>
      </c>
      <c r="F734" s="20" t="s">
        <v>8</v>
      </c>
      <c r="G734" s="43">
        <v>7.7</v>
      </c>
      <c r="H734" s="43">
        <v>6.3</v>
      </c>
      <c r="I734" s="43">
        <v>0</v>
      </c>
      <c r="J734" s="43">
        <v>0</v>
      </c>
      <c r="K734" s="1">
        <f t="shared" ref="K734" si="738">(IF(F734="SELL",G734-H734,IF(F734="BUY",H734-G734)))*E734</f>
        <v>-3780.0000000000009</v>
      </c>
      <c r="L734" s="43">
        <v>0</v>
      </c>
      <c r="M734" s="43">
        <v>0</v>
      </c>
      <c r="N734" s="1">
        <f t="shared" si="708"/>
        <v>-1.4000000000000004</v>
      </c>
      <c r="O734" s="1">
        <f t="shared" si="709"/>
        <v>-3780.0000000000009</v>
      </c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</row>
    <row r="735" spans="1:33" s="32" customFormat="1" ht="15" customHeight="1">
      <c r="A735" s="37">
        <v>43683</v>
      </c>
      <c r="B735" s="20" t="s">
        <v>122</v>
      </c>
      <c r="C735" s="20" t="s">
        <v>47</v>
      </c>
      <c r="D735" s="20">
        <v>2220</v>
      </c>
      <c r="E735" s="38">
        <v>500</v>
      </c>
      <c r="F735" s="20" t="s">
        <v>8</v>
      </c>
      <c r="G735" s="43">
        <v>28.5</v>
      </c>
      <c r="H735" s="43">
        <v>43.5</v>
      </c>
      <c r="I735" s="43">
        <v>0</v>
      </c>
      <c r="J735" s="43">
        <v>0</v>
      </c>
      <c r="K735" s="1">
        <f t="shared" ref="K735" si="739">(IF(F735="SELL",G735-H735,IF(F735="BUY",H735-G735)))*E735</f>
        <v>7500</v>
      </c>
      <c r="L735" s="43">
        <v>0</v>
      </c>
      <c r="M735" s="43">
        <v>0</v>
      </c>
      <c r="N735" s="1">
        <f t="shared" si="708"/>
        <v>15</v>
      </c>
      <c r="O735" s="1">
        <f t="shared" si="709"/>
        <v>7500</v>
      </c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</row>
    <row r="736" spans="1:33" s="32" customFormat="1" ht="15" customHeight="1">
      <c r="A736" s="37">
        <v>43683</v>
      </c>
      <c r="B736" s="20" t="s">
        <v>30</v>
      </c>
      <c r="C736" s="20" t="s">
        <v>47</v>
      </c>
      <c r="D736" s="20">
        <v>415</v>
      </c>
      <c r="E736" s="38">
        <v>1375</v>
      </c>
      <c r="F736" s="20" t="s">
        <v>8</v>
      </c>
      <c r="G736" s="43">
        <v>9</v>
      </c>
      <c r="H736" s="43">
        <v>9.8000000000000007</v>
      </c>
      <c r="I736" s="43">
        <v>0</v>
      </c>
      <c r="J736" s="43">
        <v>0</v>
      </c>
      <c r="K736" s="1">
        <f t="shared" ref="K736" si="740">(IF(F736="SELL",G736-H736,IF(F736="BUY",H736-G736)))*E736</f>
        <v>1100.0000000000009</v>
      </c>
      <c r="L736" s="43">
        <v>0</v>
      </c>
      <c r="M736" s="43">
        <v>0</v>
      </c>
      <c r="N736" s="1">
        <f t="shared" si="708"/>
        <v>0.80000000000000071</v>
      </c>
      <c r="O736" s="1">
        <f t="shared" si="709"/>
        <v>1100.0000000000009</v>
      </c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</row>
    <row r="737" spans="1:33" s="32" customFormat="1" ht="15" customHeight="1">
      <c r="A737" s="37">
        <v>43682</v>
      </c>
      <c r="B737" s="20" t="s">
        <v>77</v>
      </c>
      <c r="C737" s="20" t="s">
        <v>46</v>
      </c>
      <c r="D737" s="20">
        <v>120</v>
      </c>
      <c r="E737" s="38">
        <v>5334</v>
      </c>
      <c r="F737" s="20" t="s">
        <v>8</v>
      </c>
      <c r="G737" s="43">
        <v>3</v>
      </c>
      <c r="H737" s="43">
        <v>3.4</v>
      </c>
      <c r="I737" s="43">
        <v>0</v>
      </c>
      <c r="J737" s="43">
        <v>0</v>
      </c>
      <c r="K737" s="1">
        <f t="shared" ref="K737:K738" si="741">(IF(F737="SELL",G737-H737,IF(F737="BUY",H737-G737)))*E737</f>
        <v>2133.5999999999995</v>
      </c>
      <c r="L737" s="43">
        <v>0</v>
      </c>
      <c r="M737" s="43">
        <v>0</v>
      </c>
      <c r="N737" s="1">
        <f t="shared" si="708"/>
        <v>0.39999999999999991</v>
      </c>
      <c r="O737" s="1">
        <f t="shared" si="709"/>
        <v>2133.5999999999995</v>
      </c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</row>
    <row r="738" spans="1:33" s="32" customFormat="1" ht="15" customHeight="1">
      <c r="A738" s="37">
        <v>43682</v>
      </c>
      <c r="B738" s="20" t="s">
        <v>399</v>
      </c>
      <c r="C738" s="20" t="s">
        <v>47</v>
      </c>
      <c r="D738" s="20">
        <v>275</v>
      </c>
      <c r="E738" s="38">
        <v>2700</v>
      </c>
      <c r="F738" s="20" t="s">
        <v>8</v>
      </c>
      <c r="G738" s="43">
        <v>4.8</v>
      </c>
      <c r="H738" s="43">
        <v>5.6</v>
      </c>
      <c r="I738" s="43">
        <v>0</v>
      </c>
      <c r="J738" s="43">
        <v>0</v>
      </c>
      <c r="K738" s="1">
        <f t="shared" si="741"/>
        <v>2159.9999999999995</v>
      </c>
      <c r="L738" s="43">
        <v>0</v>
      </c>
      <c r="M738" s="43">
        <v>0</v>
      </c>
      <c r="N738" s="1">
        <f t="shared" si="708"/>
        <v>0.79999999999999982</v>
      </c>
      <c r="O738" s="1">
        <f t="shared" si="709"/>
        <v>2159.9999999999995</v>
      </c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</row>
    <row r="739" spans="1:33" s="32" customFormat="1" ht="15" customHeight="1">
      <c r="A739" s="37">
        <v>43682</v>
      </c>
      <c r="B739" s="20" t="s">
        <v>423</v>
      </c>
      <c r="C739" s="20" t="s">
        <v>46</v>
      </c>
      <c r="D739" s="20">
        <v>520</v>
      </c>
      <c r="E739" s="38">
        <v>1000</v>
      </c>
      <c r="F739" s="20" t="s">
        <v>8</v>
      </c>
      <c r="G739" s="43">
        <v>14.8</v>
      </c>
      <c r="H739" s="43">
        <v>12</v>
      </c>
      <c r="I739" s="43">
        <v>0</v>
      </c>
      <c r="J739" s="43">
        <v>0</v>
      </c>
      <c r="K739" s="1">
        <f t="shared" ref="K739:K742" si="742">(IF(F739="SELL",G739-H739,IF(F739="BUY",H739-G739)))*E739</f>
        <v>-2800.0000000000009</v>
      </c>
      <c r="L739" s="43">
        <v>0</v>
      </c>
      <c r="M739" s="43">
        <v>0</v>
      </c>
      <c r="N739" s="1">
        <v>-2.8</v>
      </c>
      <c r="O739" s="1">
        <f t="shared" si="709"/>
        <v>-2800</v>
      </c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</row>
    <row r="740" spans="1:33" s="32" customFormat="1" ht="15" customHeight="1">
      <c r="A740" s="37">
        <v>43682</v>
      </c>
      <c r="B740" s="20" t="s">
        <v>67</v>
      </c>
      <c r="C740" s="20" t="s">
        <v>46</v>
      </c>
      <c r="D740" s="20">
        <v>550</v>
      </c>
      <c r="E740" s="38">
        <v>900</v>
      </c>
      <c r="F740" s="20" t="s">
        <v>8</v>
      </c>
      <c r="G740" s="43">
        <v>20</v>
      </c>
      <c r="H740" s="43">
        <v>15.5</v>
      </c>
      <c r="I740" s="43">
        <v>0</v>
      </c>
      <c r="J740" s="43">
        <v>0</v>
      </c>
      <c r="K740" s="1">
        <f t="shared" si="742"/>
        <v>-4050</v>
      </c>
      <c r="L740" s="43">
        <v>0</v>
      </c>
      <c r="M740" s="43">
        <v>0</v>
      </c>
      <c r="N740" s="1">
        <f>(L740+K740+M740)/E740</f>
        <v>-4.5</v>
      </c>
      <c r="O740" s="1">
        <f t="shared" si="709"/>
        <v>-4050</v>
      </c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 spans="1:33" s="32" customFormat="1" ht="15" customHeight="1">
      <c r="A741" s="37">
        <v>43679</v>
      </c>
      <c r="B741" s="20" t="s">
        <v>128</v>
      </c>
      <c r="C741" s="20" t="s">
        <v>47</v>
      </c>
      <c r="D741" s="20">
        <v>1500</v>
      </c>
      <c r="E741" s="38">
        <v>400</v>
      </c>
      <c r="F741" s="20" t="s">
        <v>8</v>
      </c>
      <c r="G741" s="43">
        <v>38</v>
      </c>
      <c r="H741" s="43">
        <v>45</v>
      </c>
      <c r="I741" s="43">
        <v>0</v>
      </c>
      <c r="J741" s="43">
        <v>0</v>
      </c>
      <c r="K741" s="1">
        <f t="shared" si="742"/>
        <v>2800</v>
      </c>
      <c r="L741" s="43">
        <v>0</v>
      </c>
      <c r="M741" s="43">
        <v>0</v>
      </c>
      <c r="N741" s="1">
        <v>7</v>
      </c>
      <c r="O741" s="1">
        <f t="shared" si="709"/>
        <v>2800</v>
      </c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</row>
    <row r="742" spans="1:33" s="32" customFormat="1" ht="15" customHeight="1">
      <c r="A742" s="37">
        <v>43679</v>
      </c>
      <c r="B742" s="20" t="s">
        <v>444</v>
      </c>
      <c r="C742" s="20" t="s">
        <v>46</v>
      </c>
      <c r="D742" s="20">
        <v>280</v>
      </c>
      <c r="E742" s="38">
        <v>1250</v>
      </c>
      <c r="F742" s="20" t="s">
        <v>8</v>
      </c>
      <c r="G742" s="43">
        <v>9</v>
      </c>
      <c r="H742" s="43">
        <v>6</v>
      </c>
      <c r="I742" s="43">
        <v>7.5</v>
      </c>
      <c r="J742" s="43">
        <v>0</v>
      </c>
      <c r="K742" s="1">
        <f t="shared" si="742"/>
        <v>-3750</v>
      </c>
      <c r="L742" s="43">
        <v>0</v>
      </c>
      <c r="M742" s="43">
        <v>0</v>
      </c>
      <c r="N742" s="1">
        <f t="shared" ref="N742:N805" si="743">(L742+K742+M742)/E742</f>
        <v>-3</v>
      </c>
      <c r="O742" s="1">
        <f t="shared" si="709"/>
        <v>-3750</v>
      </c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</row>
    <row r="743" spans="1:33" s="32" customFormat="1" ht="15" customHeight="1">
      <c r="A743" s="37">
        <v>43679</v>
      </c>
      <c r="B743" s="20" t="s">
        <v>443</v>
      </c>
      <c r="C743" s="20" t="s">
        <v>46</v>
      </c>
      <c r="D743" s="20">
        <v>400</v>
      </c>
      <c r="E743" s="38">
        <v>800</v>
      </c>
      <c r="F743" s="20" t="s">
        <v>8</v>
      </c>
      <c r="G743" s="43">
        <v>20</v>
      </c>
      <c r="H743" s="43">
        <v>16</v>
      </c>
      <c r="I743" s="43">
        <v>7.5</v>
      </c>
      <c r="J743" s="43">
        <v>0</v>
      </c>
      <c r="K743" s="1">
        <f t="shared" ref="K743:K745" si="744">(IF(F743="SELL",G743-H743,IF(F743="BUY",H743-G743)))*E743</f>
        <v>-3200</v>
      </c>
      <c r="L743" s="43">
        <v>0</v>
      </c>
      <c r="M743" s="43">
        <v>0</v>
      </c>
      <c r="N743" s="1">
        <f t="shared" si="743"/>
        <v>-4</v>
      </c>
      <c r="O743" s="1">
        <f t="shared" si="709"/>
        <v>-3200</v>
      </c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</row>
    <row r="744" spans="1:33" s="32" customFormat="1" ht="15" customHeight="1">
      <c r="A744" s="37">
        <v>43678</v>
      </c>
      <c r="B744" s="20" t="s">
        <v>96</v>
      </c>
      <c r="C744" s="20" t="s">
        <v>46</v>
      </c>
      <c r="D744" s="20">
        <v>540</v>
      </c>
      <c r="E744" s="38">
        <v>1000</v>
      </c>
      <c r="F744" s="20" t="s">
        <v>8</v>
      </c>
      <c r="G744" s="43">
        <v>16.2</v>
      </c>
      <c r="H744" s="43">
        <v>17.5</v>
      </c>
      <c r="I744" s="43">
        <v>0</v>
      </c>
      <c r="J744" s="43">
        <v>0</v>
      </c>
      <c r="K744" s="1">
        <f t="shared" ref="K744" si="745">(IF(F744="SELL",G744-H744,IF(F744="BUY",H744-G744)))*E744</f>
        <v>1300.0000000000007</v>
      </c>
      <c r="L744" s="43">
        <v>0</v>
      </c>
      <c r="M744" s="43">
        <v>0</v>
      </c>
      <c r="N744" s="1">
        <f t="shared" si="743"/>
        <v>1.3000000000000007</v>
      </c>
      <c r="O744" s="1">
        <f t="shared" si="709"/>
        <v>1300.0000000000007</v>
      </c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</row>
    <row r="745" spans="1:33" s="32" customFormat="1" ht="15" customHeight="1">
      <c r="A745" s="37">
        <v>43678</v>
      </c>
      <c r="B745" s="20" t="s">
        <v>442</v>
      </c>
      <c r="C745" s="20" t="s">
        <v>46</v>
      </c>
      <c r="D745" s="20">
        <v>5400</v>
      </c>
      <c r="E745" s="38">
        <v>75</v>
      </c>
      <c r="F745" s="20" t="s">
        <v>8</v>
      </c>
      <c r="G745" s="43">
        <v>190</v>
      </c>
      <c r="H745" s="43">
        <v>150</v>
      </c>
      <c r="I745" s="43">
        <v>0</v>
      </c>
      <c r="J745" s="43">
        <v>0</v>
      </c>
      <c r="K745" s="1">
        <f t="shared" si="744"/>
        <v>-3000</v>
      </c>
      <c r="L745" s="43">
        <v>0</v>
      </c>
      <c r="M745" s="43">
        <v>0</v>
      </c>
      <c r="N745" s="1">
        <f t="shared" si="743"/>
        <v>-40</v>
      </c>
      <c r="O745" s="1">
        <f t="shared" si="709"/>
        <v>-3000</v>
      </c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</row>
    <row r="746" spans="1:33" s="32" customFormat="1" ht="15" customHeight="1">
      <c r="A746" s="37">
        <v>43677</v>
      </c>
      <c r="B746" s="20" t="s">
        <v>326</v>
      </c>
      <c r="C746" s="20" t="s">
        <v>46</v>
      </c>
      <c r="D746" s="20">
        <v>207.5</v>
      </c>
      <c r="E746" s="38">
        <v>4000</v>
      </c>
      <c r="F746" s="20" t="s">
        <v>8</v>
      </c>
      <c r="G746" s="43">
        <v>5.7</v>
      </c>
      <c r="H746" s="43">
        <v>6.7</v>
      </c>
      <c r="I746" s="43">
        <v>7.7</v>
      </c>
      <c r="J746" s="43">
        <v>0</v>
      </c>
      <c r="K746" s="1">
        <f t="shared" ref="K746:K748" si="746">(IF(F746="SELL",G746-H746,IF(F746="BUY",H746-G746)))*E746</f>
        <v>4000</v>
      </c>
      <c r="L746" s="43">
        <f>E746*1</f>
        <v>4000</v>
      </c>
      <c r="M746" s="43">
        <v>0</v>
      </c>
      <c r="N746" s="1">
        <f t="shared" si="743"/>
        <v>2</v>
      </c>
      <c r="O746" s="1">
        <f t="shared" si="709"/>
        <v>8000</v>
      </c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</row>
    <row r="747" spans="1:33" s="32" customFormat="1" ht="15" customHeight="1">
      <c r="A747" s="37">
        <v>43677</v>
      </c>
      <c r="B747" s="20" t="s">
        <v>98</v>
      </c>
      <c r="C747" s="20" t="s">
        <v>46</v>
      </c>
      <c r="D747" s="20">
        <v>230</v>
      </c>
      <c r="E747" s="38">
        <v>1800</v>
      </c>
      <c r="F747" s="20" t="s">
        <v>8</v>
      </c>
      <c r="G747" s="43">
        <v>10.3</v>
      </c>
      <c r="H747" s="43">
        <v>11.85</v>
      </c>
      <c r="I747" s="43">
        <v>0</v>
      </c>
      <c r="J747" s="43">
        <v>0</v>
      </c>
      <c r="K747" s="1">
        <f t="shared" si="746"/>
        <v>2789.9999999999982</v>
      </c>
      <c r="L747" s="43">
        <v>0</v>
      </c>
      <c r="M747" s="43">
        <v>0</v>
      </c>
      <c r="N747" s="1">
        <f t="shared" si="743"/>
        <v>1.5499999999999989</v>
      </c>
      <c r="O747" s="1">
        <f t="shared" si="709"/>
        <v>2789.9999999999982</v>
      </c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</row>
    <row r="748" spans="1:33" s="32" customFormat="1" ht="15" customHeight="1">
      <c r="A748" s="37">
        <v>43677</v>
      </c>
      <c r="B748" s="20" t="s">
        <v>20</v>
      </c>
      <c r="C748" s="20" t="s">
        <v>47</v>
      </c>
      <c r="D748" s="20">
        <v>830</v>
      </c>
      <c r="E748" s="38">
        <v>1200</v>
      </c>
      <c r="F748" s="20" t="s">
        <v>8</v>
      </c>
      <c r="G748" s="43">
        <v>6.1</v>
      </c>
      <c r="H748" s="43">
        <v>5</v>
      </c>
      <c r="I748" s="43">
        <v>0</v>
      </c>
      <c r="J748" s="43">
        <v>0</v>
      </c>
      <c r="K748" s="1">
        <f t="shared" si="746"/>
        <v>-1319.9999999999995</v>
      </c>
      <c r="L748" s="43">
        <v>0</v>
      </c>
      <c r="M748" s="43">
        <v>0</v>
      </c>
      <c r="N748" s="1">
        <f t="shared" si="743"/>
        <v>-1.0999999999999996</v>
      </c>
      <c r="O748" s="1">
        <f t="shared" si="709"/>
        <v>-1319.9999999999995</v>
      </c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</row>
    <row r="749" spans="1:33" s="32" customFormat="1" ht="15" customHeight="1">
      <c r="A749" s="37">
        <v>43676</v>
      </c>
      <c r="B749" s="20" t="s">
        <v>38</v>
      </c>
      <c r="C749" s="20" t="s">
        <v>46</v>
      </c>
      <c r="D749" s="20">
        <v>5300</v>
      </c>
      <c r="E749" s="38">
        <v>75</v>
      </c>
      <c r="F749" s="20" t="s">
        <v>8</v>
      </c>
      <c r="G749" s="43">
        <v>110</v>
      </c>
      <c r="H749" s="43">
        <v>128.4</v>
      </c>
      <c r="I749" s="43">
        <v>0</v>
      </c>
      <c r="J749" s="43">
        <v>0</v>
      </c>
      <c r="K749" s="1">
        <f t="shared" ref="K749:K751" si="747">(IF(F749="SELL",G749-H749,IF(F749="BUY",H749-G749)))*E749</f>
        <v>1380.0000000000005</v>
      </c>
      <c r="L749" s="43">
        <v>0</v>
      </c>
      <c r="M749" s="43">
        <v>0</v>
      </c>
      <c r="N749" s="1">
        <f t="shared" si="743"/>
        <v>18.400000000000006</v>
      </c>
      <c r="O749" s="1">
        <f t="shared" si="709"/>
        <v>1380.0000000000005</v>
      </c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</row>
    <row r="750" spans="1:33" s="32" customFormat="1" ht="15" customHeight="1">
      <c r="A750" s="37">
        <v>43676</v>
      </c>
      <c r="B750" s="20" t="s">
        <v>15</v>
      </c>
      <c r="C750" s="20" t="s">
        <v>46</v>
      </c>
      <c r="D750" s="20">
        <v>340</v>
      </c>
      <c r="E750" s="38">
        <v>1100</v>
      </c>
      <c r="F750" s="20" t="s">
        <v>8</v>
      </c>
      <c r="G750" s="43">
        <v>10</v>
      </c>
      <c r="H750" s="43">
        <v>12.5</v>
      </c>
      <c r="I750" s="43">
        <v>0</v>
      </c>
      <c r="J750" s="43">
        <v>0</v>
      </c>
      <c r="K750" s="1">
        <f t="shared" si="747"/>
        <v>2750</v>
      </c>
      <c r="L750" s="43">
        <v>0</v>
      </c>
      <c r="M750" s="43">
        <v>0</v>
      </c>
      <c r="N750" s="1">
        <f t="shared" si="743"/>
        <v>2.5</v>
      </c>
      <c r="O750" s="1">
        <f t="shared" si="709"/>
        <v>2750</v>
      </c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</row>
    <row r="751" spans="1:33" s="32" customFormat="1" ht="15" customHeight="1">
      <c r="A751" s="37">
        <v>43676</v>
      </c>
      <c r="B751" s="20" t="s">
        <v>20</v>
      </c>
      <c r="C751" s="20" t="s">
        <v>47</v>
      </c>
      <c r="D751" s="20">
        <v>800</v>
      </c>
      <c r="E751" s="38">
        <v>1200</v>
      </c>
      <c r="F751" s="20" t="s">
        <v>8</v>
      </c>
      <c r="G751" s="43">
        <v>16.399999999999999</v>
      </c>
      <c r="H751" s="43">
        <v>15.2</v>
      </c>
      <c r="I751" s="43">
        <v>0</v>
      </c>
      <c r="J751" s="43">
        <v>0</v>
      </c>
      <c r="K751" s="1">
        <f t="shared" si="747"/>
        <v>-1439.9999999999991</v>
      </c>
      <c r="L751" s="43">
        <v>0</v>
      </c>
      <c r="M751" s="43">
        <v>0</v>
      </c>
      <c r="N751" s="1">
        <f t="shared" si="743"/>
        <v>-1.1999999999999993</v>
      </c>
      <c r="O751" s="1">
        <f t="shared" si="709"/>
        <v>-1439.9999999999991</v>
      </c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</row>
    <row r="752" spans="1:33" s="32" customFormat="1" ht="15" customHeight="1">
      <c r="A752" s="37">
        <v>43675</v>
      </c>
      <c r="B752" s="20" t="s">
        <v>413</v>
      </c>
      <c r="C752" s="20" t="s">
        <v>46</v>
      </c>
      <c r="D752" s="20">
        <v>500</v>
      </c>
      <c r="E752" s="38">
        <v>800</v>
      </c>
      <c r="F752" s="20" t="s">
        <v>8</v>
      </c>
      <c r="G752" s="43">
        <v>26</v>
      </c>
      <c r="H752" s="43">
        <v>30</v>
      </c>
      <c r="I752" s="43">
        <v>34</v>
      </c>
      <c r="J752" s="43">
        <v>0</v>
      </c>
      <c r="K752" s="1">
        <f t="shared" ref="K752" si="748">(IF(F752="SELL",G752-H752,IF(F752="BUY",H752-G752)))*E752</f>
        <v>3200</v>
      </c>
      <c r="L752" s="43">
        <f>E752*4</f>
        <v>3200</v>
      </c>
      <c r="M752" s="43">
        <v>0</v>
      </c>
      <c r="N752" s="1">
        <f t="shared" si="743"/>
        <v>8</v>
      </c>
      <c r="O752" s="1">
        <f t="shared" si="709"/>
        <v>6400</v>
      </c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</row>
    <row r="753" spans="1:33" s="32" customFormat="1" ht="15" customHeight="1">
      <c r="A753" s="37">
        <v>43675</v>
      </c>
      <c r="B753" s="20" t="s">
        <v>38</v>
      </c>
      <c r="C753" s="20" t="s">
        <v>46</v>
      </c>
      <c r="D753" s="20">
        <v>5400</v>
      </c>
      <c r="E753" s="38">
        <v>75</v>
      </c>
      <c r="F753" s="20" t="s">
        <v>8</v>
      </c>
      <c r="G753" s="43">
        <v>120</v>
      </c>
      <c r="H753" s="43">
        <v>150</v>
      </c>
      <c r="I753" s="43">
        <v>0</v>
      </c>
      <c r="J753" s="43">
        <v>0</v>
      </c>
      <c r="K753" s="1">
        <f t="shared" ref="K753:K754" si="749">(IF(F753="SELL",G753-H753,IF(F753="BUY",H753-G753)))*E753</f>
        <v>2250</v>
      </c>
      <c r="L753" s="43">
        <v>0</v>
      </c>
      <c r="M753" s="43">
        <v>0</v>
      </c>
      <c r="N753" s="1">
        <f t="shared" si="743"/>
        <v>30</v>
      </c>
      <c r="O753" s="1">
        <f t="shared" ref="O753:O816" si="750">N753*E753</f>
        <v>2250</v>
      </c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</row>
    <row r="754" spans="1:33" s="32" customFormat="1" ht="15" customHeight="1">
      <c r="A754" s="37">
        <v>43675</v>
      </c>
      <c r="B754" s="20" t="s">
        <v>128</v>
      </c>
      <c r="C754" s="20" t="s">
        <v>47</v>
      </c>
      <c r="D754" s="20">
        <v>1520</v>
      </c>
      <c r="E754" s="38">
        <v>400</v>
      </c>
      <c r="F754" s="20" t="s">
        <v>8</v>
      </c>
      <c r="G754" s="43">
        <v>41</v>
      </c>
      <c r="H754" s="43">
        <v>31.5</v>
      </c>
      <c r="I754" s="43">
        <v>0</v>
      </c>
      <c r="J754" s="43">
        <v>0</v>
      </c>
      <c r="K754" s="1">
        <f t="shared" si="749"/>
        <v>-3800</v>
      </c>
      <c r="L754" s="43">
        <v>0</v>
      </c>
      <c r="M754" s="43">
        <v>0</v>
      </c>
      <c r="N754" s="1">
        <f t="shared" si="743"/>
        <v>-9.5</v>
      </c>
      <c r="O754" s="1">
        <f t="shared" si="750"/>
        <v>-3800</v>
      </c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</row>
    <row r="755" spans="1:33" s="32" customFormat="1" ht="15" customHeight="1">
      <c r="A755" s="37">
        <v>43672</v>
      </c>
      <c r="B755" s="20" t="s">
        <v>420</v>
      </c>
      <c r="C755" s="20" t="s">
        <v>47</v>
      </c>
      <c r="D755" s="20">
        <v>1540</v>
      </c>
      <c r="E755" s="38">
        <v>600</v>
      </c>
      <c r="F755" s="20" t="s">
        <v>8</v>
      </c>
      <c r="G755" s="43">
        <v>27</v>
      </c>
      <c r="H755" s="43">
        <v>32</v>
      </c>
      <c r="I755" s="43">
        <v>0</v>
      </c>
      <c r="J755" s="43">
        <v>0</v>
      </c>
      <c r="K755" s="1">
        <f t="shared" ref="K755:K757" si="751">(IF(F755="SELL",G755-H755,IF(F755="BUY",H755-G755)))*E755</f>
        <v>3000</v>
      </c>
      <c r="L755" s="43">
        <v>0</v>
      </c>
      <c r="M755" s="43">
        <v>0</v>
      </c>
      <c r="N755" s="1">
        <f t="shared" si="743"/>
        <v>5</v>
      </c>
      <c r="O755" s="1">
        <f t="shared" si="750"/>
        <v>3000</v>
      </c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</row>
    <row r="756" spans="1:33" s="32" customFormat="1" ht="15" customHeight="1">
      <c r="A756" s="37">
        <v>43672</v>
      </c>
      <c r="B756" s="20" t="s">
        <v>37</v>
      </c>
      <c r="C756" s="20" t="s">
        <v>46</v>
      </c>
      <c r="D756" s="20">
        <v>2100</v>
      </c>
      <c r="E756" s="38">
        <v>250</v>
      </c>
      <c r="F756" s="20" t="s">
        <v>8</v>
      </c>
      <c r="G756" s="43">
        <v>41</v>
      </c>
      <c r="H756" s="43">
        <v>38</v>
      </c>
      <c r="I756" s="43">
        <v>0</v>
      </c>
      <c r="J756" s="43">
        <v>0</v>
      </c>
      <c r="K756" s="1">
        <f t="shared" si="751"/>
        <v>-750</v>
      </c>
      <c r="L756" s="43">
        <v>0</v>
      </c>
      <c r="M756" s="43">
        <v>0</v>
      </c>
      <c r="N756" s="1">
        <f t="shared" si="743"/>
        <v>-3</v>
      </c>
      <c r="O756" s="1">
        <f t="shared" si="750"/>
        <v>-750</v>
      </c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</row>
    <row r="757" spans="1:33" s="32" customFormat="1" ht="15" customHeight="1">
      <c r="A757" s="37">
        <v>43672</v>
      </c>
      <c r="B757" s="20" t="s">
        <v>103</v>
      </c>
      <c r="C757" s="20" t="s">
        <v>47</v>
      </c>
      <c r="D757" s="20">
        <v>75</v>
      </c>
      <c r="E757" s="38">
        <v>6000</v>
      </c>
      <c r="F757" s="20" t="s">
        <v>8</v>
      </c>
      <c r="G757" s="43">
        <v>3.5</v>
      </c>
      <c r="H757" s="43">
        <v>3.5</v>
      </c>
      <c r="I757" s="43">
        <v>0</v>
      </c>
      <c r="J757" s="43">
        <v>0</v>
      </c>
      <c r="K757" s="1">
        <f t="shared" si="751"/>
        <v>0</v>
      </c>
      <c r="L757" s="43">
        <v>0</v>
      </c>
      <c r="M757" s="43">
        <v>0</v>
      </c>
      <c r="N757" s="1">
        <f t="shared" si="743"/>
        <v>0</v>
      </c>
      <c r="O757" s="1">
        <f t="shared" si="750"/>
        <v>0</v>
      </c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</row>
    <row r="758" spans="1:33" s="32" customFormat="1" ht="15" customHeight="1">
      <c r="A758" s="37">
        <v>43671</v>
      </c>
      <c r="B758" s="20" t="s">
        <v>441</v>
      </c>
      <c r="C758" s="20" t="s">
        <v>47</v>
      </c>
      <c r="D758" s="20">
        <v>1000</v>
      </c>
      <c r="E758" s="38">
        <v>600</v>
      </c>
      <c r="F758" s="20" t="s">
        <v>8</v>
      </c>
      <c r="G758" s="43">
        <v>38</v>
      </c>
      <c r="H758" s="43">
        <v>43</v>
      </c>
      <c r="I758" s="43">
        <v>47</v>
      </c>
      <c r="J758" s="43">
        <v>52</v>
      </c>
      <c r="K758" s="1">
        <f>(IF(F758="SELL",G758-H758,IF(F758="BUY",H758-G758)))*E758</f>
        <v>3000</v>
      </c>
      <c r="L758" s="43">
        <f>E758*4</f>
        <v>2400</v>
      </c>
      <c r="M758" s="43">
        <f>E758*5</f>
        <v>3000</v>
      </c>
      <c r="N758" s="1">
        <f t="shared" si="743"/>
        <v>14</v>
      </c>
      <c r="O758" s="1">
        <f t="shared" si="750"/>
        <v>8400</v>
      </c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</row>
    <row r="759" spans="1:33" s="32" customFormat="1" ht="15" customHeight="1">
      <c r="A759" s="37">
        <v>43671</v>
      </c>
      <c r="B759" s="20" t="s">
        <v>439</v>
      </c>
      <c r="C759" s="20" t="s">
        <v>47</v>
      </c>
      <c r="D759" s="20">
        <v>760</v>
      </c>
      <c r="E759" s="38">
        <v>700</v>
      </c>
      <c r="F759" s="20" t="s">
        <v>8</v>
      </c>
      <c r="G759" s="43">
        <v>32</v>
      </c>
      <c r="H759" s="43">
        <v>35</v>
      </c>
      <c r="I759" s="43">
        <v>38</v>
      </c>
      <c r="J759" s="43">
        <v>0</v>
      </c>
      <c r="K759" s="1">
        <f t="shared" ref="K759:K760" si="752">(IF(F759="SELL",G759-H759,IF(F759="BUY",H759-G759)))*E759</f>
        <v>2100</v>
      </c>
      <c r="L759" s="43">
        <f>E759*3</f>
        <v>2100</v>
      </c>
      <c r="M759" s="43">
        <v>0</v>
      </c>
      <c r="N759" s="1">
        <f t="shared" si="743"/>
        <v>6</v>
      </c>
      <c r="O759" s="1">
        <f t="shared" si="750"/>
        <v>4200</v>
      </c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</row>
    <row r="760" spans="1:33" s="32" customFormat="1" ht="15" customHeight="1">
      <c r="A760" s="37">
        <v>43671</v>
      </c>
      <c r="B760" s="20" t="s">
        <v>440</v>
      </c>
      <c r="C760" s="20" t="s">
        <v>47</v>
      </c>
      <c r="D760" s="20">
        <v>2700</v>
      </c>
      <c r="E760" s="38">
        <v>250</v>
      </c>
      <c r="F760" s="20" t="s">
        <v>8</v>
      </c>
      <c r="G760" s="43">
        <v>82</v>
      </c>
      <c r="H760" s="43">
        <v>90</v>
      </c>
      <c r="I760" s="43">
        <v>0</v>
      </c>
      <c r="J760" s="43">
        <v>0</v>
      </c>
      <c r="K760" s="1">
        <f t="shared" si="752"/>
        <v>2000</v>
      </c>
      <c r="L760" s="43">
        <v>0</v>
      </c>
      <c r="M760" s="43">
        <v>0</v>
      </c>
      <c r="N760" s="1">
        <f t="shared" si="743"/>
        <v>8</v>
      </c>
      <c r="O760" s="1">
        <f t="shared" si="750"/>
        <v>2000</v>
      </c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</row>
    <row r="761" spans="1:33" s="32" customFormat="1" ht="15" customHeight="1">
      <c r="A761" s="37">
        <v>43670</v>
      </c>
      <c r="B761" s="20" t="s">
        <v>300</v>
      </c>
      <c r="C761" s="20" t="s">
        <v>46</v>
      </c>
      <c r="D761" s="20">
        <v>300</v>
      </c>
      <c r="E761" s="38">
        <v>1250</v>
      </c>
      <c r="F761" s="20" t="s">
        <v>8</v>
      </c>
      <c r="G761" s="43">
        <v>3</v>
      </c>
      <c r="H761" s="43">
        <v>4.5</v>
      </c>
      <c r="I761" s="43">
        <v>0</v>
      </c>
      <c r="J761" s="43">
        <v>0</v>
      </c>
      <c r="K761" s="1">
        <f t="shared" ref="K761:K764" si="753">(IF(F761="SELL",G761-H761,IF(F761="BUY",H761-G761)))*E761</f>
        <v>1875</v>
      </c>
      <c r="L761" s="43">
        <v>0</v>
      </c>
      <c r="M761" s="43">
        <v>0</v>
      </c>
      <c r="N761" s="1">
        <f t="shared" si="743"/>
        <v>1.5</v>
      </c>
      <c r="O761" s="1">
        <f t="shared" si="750"/>
        <v>1875</v>
      </c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</row>
    <row r="762" spans="1:33" s="32" customFormat="1" ht="15" customHeight="1">
      <c r="A762" s="37">
        <v>43670</v>
      </c>
      <c r="B762" s="20" t="s">
        <v>400</v>
      </c>
      <c r="C762" s="20" t="s">
        <v>46</v>
      </c>
      <c r="D762" s="20">
        <v>450</v>
      </c>
      <c r="E762" s="38">
        <v>1061</v>
      </c>
      <c r="F762" s="20" t="s">
        <v>8</v>
      </c>
      <c r="G762" s="43">
        <v>7</v>
      </c>
      <c r="H762" s="43">
        <v>5.5</v>
      </c>
      <c r="I762" s="43">
        <v>0</v>
      </c>
      <c r="J762" s="43">
        <v>0</v>
      </c>
      <c r="K762" s="1">
        <f t="shared" si="753"/>
        <v>-1591.5</v>
      </c>
      <c r="L762" s="43">
        <v>0</v>
      </c>
      <c r="M762" s="43">
        <v>0</v>
      </c>
      <c r="N762" s="1">
        <f t="shared" si="743"/>
        <v>-1.5</v>
      </c>
      <c r="O762" s="1">
        <f t="shared" si="750"/>
        <v>-1591.5</v>
      </c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</row>
    <row r="763" spans="1:33" s="32" customFormat="1" ht="15" customHeight="1">
      <c r="A763" s="37">
        <v>43670</v>
      </c>
      <c r="B763" s="20" t="s">
        <v>27</v>
      </c>
      <c r="C763" s="20" t="s">
        <v>46</v>
      </c>
      <c r="D763" s="20">
        <v>220</v>
      </c>
      <c r="E763" s="38">
        <v>2200</v>
      </c>
      <c r="F763" s="20" t="s">
        <v>8</v>
      </c>
      <c r="G763" s="43">
        <v>4.7</v>
      </c>
      <c r="H763" s="43">
        <v>3.85</v>
      </c>
      <c r="I763" s="43">
        <v>0</v>
      </c>
      <c r="J763" s="43">
        <v>0</v>
      </c>
      <c r="K763" s="1">
        <f t="shared" si="753"/>
        <v>-1870.0000000000002</v>
      </c>
      <c r="L763" s="43">
        <v>0</v>
      </c>
      <c r="M763" s="43">
        <v>0</v>
      </c>
      <c r="N763" s="1">
        <f t="shared" si="743"/>
        <v>-0.85000000000000009</v>
      </c>
      <c r="O763" s="1">
        <f t="shared" si="750"/>
        <v>-1870.0000000000002</v>
      </c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</row>
    <row r="764" spans="1:33" s="32" customFormat="1" ht="15" customHeight="1">
      <c r="A764" s="37">
        <v>43670</v>
      </c>
      <c r="B764" s="20" t="s">
        <v>22</v>
      </c>
      <c r="C764" s="20" t="s">
        <v>47</v>
      </c>
      <c r="D764" s="20">
        <v>175</v>
      </c>
      <c r="E764" s="38">
        <v>2800</v>
      </c>
      <c r="F764" s="20" t="s">
        <v>8</v>
      </c>
      <c r="G764" s="43">
        <v>2.9</v>
      </c>
      <c r="H764" s="43">
        <v>1.9</v>
      </c>
      <c r="I764" s="43">
        <v>0</v>
      </c>
      <c r="J764" s="43">
        <v>0</v>
      </c>
      <c r="K764" s="1">
        <f t="shared" si="753"/>
        <v>-2800</v>
      </c>
      <c r="L764" s="43">
        <v>0</v>
      </c>
      <c r="M764" s="43">
        <v>0</v>
      </c>
      <c r="N764" s="1">
        <f t="shared" si="743"/>
        <v>-1</v>
      </c>
      <c r="O764" s="1">
        <f t="shared" si="750"/>
        <v>-2800</v>
      </c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</row>
    <row r="765" spans="1:33" s="32" customFormat="1" ht="15" customHeight="1">
      <c r="A765" s="37">
        <v>43669</v>
      </c>
      <c r="B765" s="20" t="s">
        <v>437</v>
      </c>
      <c r="C765" s="20" t="s">
        <v>46</v>
      </c>
      <c r="D765" s="20">
        <v>380</v>
      </c>
      <c r="E765" s="38">
        <v>1100</v>
      </c>
      <c r="F765" s="20" t="s">
        <v>8</v>
      </c>
      <c r="G765" s="43">
        <v>10</v>
      </c>
      <c r="H765" s="43">
        <v>12</v>
      </c>
      <c r="I765" s="43">
        <v>16</v>
      </c>
      <c r="J765" s="43">
        <v>0</v>
      </c>
      <c r="K765" s="1">
        <f t="shared" ref="K765:K767" si="754">(IF(F765="SELL",G765-H765,IF(F765="BUY",H765-G765)))*E765</f>
        <v>2200</v>
      </c>
      <c r="L765" s="43">
        <f>E765*4</f>
        <v>4400</v>
      </c>
      <c r="M765" s="43">
        <v>0</v>
      </c>
      <c r="N765" s="1">
        <f t="shared" si="743"/>
        <v>6</v>
      </c>
      <c r="O765" s="1">
        <f t="shared" si="750"/>
        <v>6600</v>
      </c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</row>
    <row r="766" spans="1:33" s="32" customFormat="1" ht="15" customHeight="1">
      <c r="A766" s="37">
        <v>43669</v>
      </c>
      <c r="B766" s="20" t="s">
        <v>438</v>
      </c>
      <c r="C766" s="20" t="s">
        <v>46</v>
      </c>
      <c r="D766" s="20">
        <v>2120</v>
      </c>
      <c r="E766" s="38">
        <v>250</v>
      </c>
      <c r="F766" s="20" t="s">
        <v>8</v>
      </c>
      <c r="G766" s="43">
        <v>22</v>
      </c>
      <c r="H766" s="43">
        <v>20</v>
      </c>
      <c r="I766" s="43">
        <v>0</v>
      </c>
      <c r="J766" s="43">
        <v>0</v>
      </c>
      <c r="K766" s="1">
        <f t="shared" si="754"/>
        <v>-500</v>
      </c>
      <c r="L766" s="43">
        <v>0</v>
      </c>
      <c r="M766" s="43">
        <v>0</v>
      </c>
      <c r="N766" s="1">
        <f t="shared" si="743"/>
        <v>-2</v>
      </c>
      <c r="O766" s="1">
        <f t="shared" si="750"/>
        <v>-500</v>
      </c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</row>
    <row r="767" spans="1:33" s="32" customFormat="1" ht="15" customHeight="1">
      <c r="A767" s="37">
        <v>43669</v>
      </c>
      <c r="B767" s="20" t="s">
        <v>405</v>
      </c>
      <c r="C767" s="20" t="s">
        <v>46</v>
      </c>
      <c r="D767" s="20">
        <v>350</v>
      </c>
      <c r="E767" s="38">
        <v>1300</v>
      </c>
      <c r="F767" s="20" t="s">
        <v>8</v>
      </c>
      <c r="G767" s="43">
        <v>8.5</v>
      </c>
      <c r="H767" s="43">
        <v>4</v>
      </c>
      <c r="I767" s="43">
        <v>0</v>
      </c>
      <c r="J767" s="43">
        <v>0</v>
      </c>
      <c r="K767" s="1">
        <f t="shared" si="754"/>
        <v>-5850</v>
      </c>
      <c r="L767" s="43">
        <v>0</v>
      </c>
      <c r="M767" s="43">
        <v>0</v>
      </c>
      <c r="N767" s="1">
        <f t="shared" si="743"/>
        <v>-4.5</v>
      </c>
      <c r="O767" s="1">
        <f t="shared" si="750"/>
        <v>-5850</v>
      </c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</row>
    <row r="768" spans="1:33" s="32" customFormat="1" ht="15" customHeight="1">
      <c r="A768" s="37">
        <v>43668</v>
      </c>
      <c r="B768" s="20" t="s">
        <v>92</v>
      </c>
      <c r="C768" s="20" t="s">
        <v>47</v>
      </c>
      <c r="D768" s="20">
        <v>590</v>
      </c>
      <c r="E768" s="38">
        <v>1250</v>
      </c>
      <c r="F768" s="20" t="s">
        <v>8</v>
      </c>
      <c r="G768" s="43">
        <v>15.5</v>
      </c>
      <c r="H768" s="43">
        <v>17.5</v>
      </c>
      <c r="I768" s="43">
        <v>20</v>
      </c>
      <c r="J768" s="43">
        <v>0</v>
      </c>
      <c r="K768" s="1">
        <f t="shared" ref="K768:K770" si="755">(IF(F768="SELL",G768-H768,IF(F768="BUY",H768-G768)))*E768</f>
        <v>2500</v>
      </c>
      <c r="L768" s="43">
        <f>E768*2.5</f>
        <v>3125</v>
      </c>
      <c r="M768" s="43">
        <v>0</v>
      </c>
      <c r="N768" s="1">
        <f t="shared" si="743"/>
        <v>4.5</v>
      </c>
      <c r="O768" s="1">
        <f t="shared" si="750"/>
        <v>5625</v>
      </c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</row>
    <row r="769" spans="1:33" s="32" customFormat="1" ht="15" customHeight="1">
      <c r="A769" s="37">
        <v>43668</v>
      </c>
      <c r="B769" s="20" t="s">
        <v>107</v>
      </c>
      <c r="C769" s="20" t="s">
        <v>47</v>
      </c>
      <c r="D769" s="20">
        <v>430</v>
      </c>
      <c r="E769" s="38">
        <v>1100</v>
      </c>
      <c r="F769" s="20" t="s">
        <v>8</v>
      </c>
      <c r="G769" s="43">
        <v>7</v>
      </c>
      <c r="H769" s="43">
        <v>9</v>
      </c>
      <c r="I769" s="43">
        <v>0</v>
      </c>
      <c r="J769" s="43">
        <v>0</v>
      </c>
      <c r="K769" s="1">
        <f t="shared" si="755"/>
        <v>2200</v>
      </c>
      <c r="L769" s="43">
        <v>0</v>
      </c>
      <c r="M769" s="43">
        <v>0</v>
      </c>
      <c r="N769" s="1">
        <f t="shared" si="743"/>
        <v>2</v>
      </c>
      <c r="O769" s="1">
        <f t="shared" si="750"/>
        <v>2200</v>
      </c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</row>
    <row r="770" spans="1:33" s="32" customFormat="1" ht="15" customHeight="1">
      <c r="A770" s="37">
        <v>43668</v>
      </c>
      <c r="B770" s="20" t="s">
        <v>96</v>
      </c>
      <c r="C770" s="20" t="s">
        <v>47</v>
      </c>
      <c r="D770" s="20">
        <v>570</v>
      </c>
      <c r="E770" s="38">
        <v>1000</v>
      </c>
      <c r="F770" s="20" t="s">
        <v>8</v>
      </c>
      <c r="G770" s="43">
        <v>10</v>
      </c>
      <c r="H770" s="43">
        <v>6</v>
      </c>
      <c r="I770" s="43">
        <v>0</v>
      </c>
      <c r="J770" s="43">
        <v>0</v>
      </c>
      <c r="K770" s="1">
        <f t="shared" si="755"/>
        <v>-4000</v>
      </c>
      <c r="L770" s="43">
        <v>0</v>
      </c>
      <c r="M770" s="43">
        <v>0</v>
      </c>
      <c r="N770" s="1">
        <f t="shared" si="743"/>
        <v>-4</v>
      </c>
      <c r="O770" s="1">
        <f t="shared" si="750"/>
        <v>-4000</v>
      </c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</row>
    <row r="771" spans="1:33" s="32" customFormat="1" ht="15" customHeight="1">
      <c r="A771" s="37">
        <v>43665</v>
      </c>
      <c r="B771" s="20" t="s">
        <v>98</v>
      </c>
      <c r="C771" s="20" t="s">
        <v>46</v>
      </c>
      <c r="D771" s="20">
        <v>245</v>
      </c>
      <c r="E771" s="38">
        <v>1800</v>
      </c>
      <c r="F771" s="20" t="s">
        <v>8</v>
      </c>
      <c r="G771" s="43">
        <v>5</v>
      </c>
      <c r="H771" s="43">
        <v>6.5</v>
      </c>
      <c r="I771" s="43">
        <v>8</v>
      </c>
      <c r="J771" s="43">
        <v>0</v>
      </c>
      <c r="K771" s="1">
        <f t="shared" ref="K771:K774" si="756">(IF(F771="SELL",G771-H771,IF(F771="BUY",H771-G771)))*E771</f>
        <v>2700</v>
      </c>
      <c r="L771" s="43">
        <f>E771*1.5</f>
        <v>2700</v>
      </c>
      <c r="M771" s="43">
        <v>0</v>
      </c>
      <c r="N771" s="1">
        <f t="shared" si="743"/>
        <v>3</v>
      </c>
      <c r="O771" s="1">
        <f t="shared" si="750"/>
        <v>5400</v>
      </c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</row>
    <row r="772" spans="1:33" s="32" customFormat="1" ht="15" customHeight="1">
      <c r="A772" s="37">
        <v>43665</v>
      </c>
      <c r="B772" s="20" t="s">
        <v>435</v>
      </c>
      <c r="C772" s="20" t="s">
        <v>46</v>
      </c>
      <c r="D772" s="20">
        <v>510</v>
      </c>
      <c r="E772" s="38">
        <v>1200</v>
      </c>
      <c r="F772" s="20" t="s">
        <v>8</v>
      </c>
      <c r="G772" s="43">
        <v>16</v>
      </c>
      <c r="H772" s="43">
        <v>18</v>
      </c>
      <c r="I772" s="43">
        <v>21</v>
      </c>
      <c r="J772" s="43">
        <v>0</v>
      </c>
      <c r="K772" s="1">
        <f t="shared" si="756"/>
        <v>2400</v>
      </c>
      <c r="L772" s="43">
        <f>E772*3</f>
        <v>3600</v>
      </c>
      <c r="M772" s="43">
        <v>0</v>
      </c>
      <c r="N772" s="1">
        <f t="shared" si="743"/>
        <v>5</v>
      </c>
      <c r="O772" s="1">
        <f t="shared" si="750"/>
        <v>6000</v>
      </c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</row>
    <row r="773" spans="1:33" s="32" customFormat="1" ht="15" customHeight="1">
      <c r="A773" s="37">
        <v>43665</v>
      </c>
      <c r="B773" s="20" t="s">
        <v>38</v>
      </c>
      <c r="C773" s="20" t="s">
        <v>46</v>
      </c>
      <c r="D773" s="20">
        <v>5700</v>
      </c>
      <c r="E773" s="38">
        <v>75</v>
      </c>
      <c r="F773" s="20" t="s">
        <v>8</v>
      </c>
      <c r="G773" s="43">
        <v>90</v>
      </c>
      <c r="H773" s="43">
        <v>75</v>
      </c>
      <c r="I773" s="43">
        <v>0</v>
      </c>
      <c r="J773" s="43">
        <v>0</v>
      </c>
      <c r="K773" s="1">
        <f t="shared" si="756"/>
        <v>-1125</v>
      </c>
      <c r="L773" s="43">
        <v>0</v>
      </c>
      <c r="M773" s="43">
        <v>0</v>
      </c>
      <c r="N773" s="1">
        <f t="shared" si="743"/>
        <v>-15</v>
      </c>
      <c r="O773" s="1">
        <f t="shared" si="750"/>
        <v>-1125</v>
      </c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</row>
    <row r="774" spans="1:33" s="32" customFormat="1" ht="15" customHeight="1">
      <c r="A774" s="37">
        <v>43665</v>
      </c>
      <c r="B774" s="20" t="s">
        <v>20</v>
      </c>
      <c r="C774" s="20" t="s">
        <v>46</v>
      </c>
      <c r="D774" s="20">
        <v>780</v>
      </c>
      <c r="E774" s="38">
        <v>1200</v>
      </c>
      <c r="F774" s="20" t="s">
        <v>8</v>
      </c>
      <c r="G774" s="43">
        <v>5</v>
      </c>
      <c r="H774" s="43">
        <v>4</v>
      </c>
      <c r="I774" s="43">
        <v>0</v>
      </c>
      <c r="J774" s="43">
        <v>0</v>
      </c>
      <c r="K774" s="1">
        <f t="shared" si="756"/>
        <v>-1200</v>
      </c>
      <c r="L774" s="43">
        <v>0</v>
      </c>
      <c r="M774" s="43">
        <v>0</v>
      </c>
      <c r="N774" s="1">
        <f t="shared" si="743"/>
        <v>-1</v>
      </c>
      <c r="O774" s="1">
        <f t="shared" si="750"/>
        <v>-1200</v>
      </c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</row>
    <row r="775" spans="1:33" s="32" customFormat="1" ht="15" customHeight="1">
      <c r="A775" s="37">
        <v>43664</v>
      </c>
      <c r="B775" s="20" t="s">
        <v>21</v>
      </c>
      <c r="C775" s="20" t="s">
        <v>46</v>
      </c>
      <c r="D775" s="20">
        <v>370</v>
      </c>
      <c r="E775" s="38">
        <v>3000</v>
      </c>
      <c r="F775" s="20" t="s">
        <v>8</v>
      </c>
      <c r="G775" s="43">
        <v>5.3</v>
      </c>
      <c r="H775" s="43">
        <v>6</v>
      </c>
      <c r="I775" s="43">
        <v>7.5</v>
      </c>
      <c r="J775" s="43">
        <v>0</v>
      </c>
      <c r="K775" s="1">
        <f t="shared" ref="K775:K778" si="757">(IF(F775="SELL",G775-H775,IF(F775="BUY",H775-G775)))*E775</f>
        <v>2100.0000000000005</v>
      </c>
      <c r="L775" s="43">
        <f>E775*1.5</f>
        <v>4500</v>
      </c>
      <c r="M775" s="43">
        <v>0</v>
      </c>
      <c r="N775" s="1">
        <f t="shared" si="743"/>
        <v>2.2000000000000002</v>
      </c>
      <c r="O775" s="1">
        <f t="shared" si="750"/>
        <v>6600.0000000000009</v>
      </c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</row>
    <row r="776" spans="1:33" s="32" customFormat="1" ht="15" customHeight="1">
      <c r="A776" s="37">
        <v>43664</v>
      </c>
      <c r="B776" s="20" t="s">
        <v>89</v>
      </c>
      <c r="C776" s="20" t="s">
        <v>46</v>
      </c>
      <c r="D776" s="20">
        <v>540</v>
      </c>
      <c r="E776" s="38">
        <v>1100</v>
      </c>
      <c r="F776" s="20" t="s">
        <v>8</v>
      </c>
      <c r="G776" s="43">
        <v>13</v>
      </c>
      <c r="H776" s="43">
        <v>15</v>
      </c>
      <c r="I776" s="43">
        <v>17</v>
      </c>
      <c r="J776" s="43">
        <v>0</v>
      </c>
      <c r="K776" s="1">
        <f t="shared" si="757"/>
        <v>2200</v>
      </c>
      <c r="L776" s="43">
        <f>E776*2</f>
        <v>2200</v>
      </c>
      <c r="M776" s="43">
        <v>0</v>
      </c>
      <c r="N776" s="1">
        <f t="shared" si="743"/>
        <v>4</v>
      </c>
      <c r="O776" s="1">
        <f t="shared" si="750"/>
        <v>4400</v>
      </c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</row>
    <row r="777" spans="1:33" s="32" customFormat="1" ht="15" customHeight="1">
      <c r="A777" s="37">
        <v>43664</v>
      </c>
      <c r="B777" s="20" t="s">
        <v>10</v>
      </c>
      <c r="C777" s="20" t="s">
        <v>46</v>
      </c>
      <c r="D777" s="20">
        <v>710</v>
      </c>
      <c r="E777" s="38">
        <v>1000</v>
      </c>
      <c r="F777" s="20" t="s">
        <v>8</v>
      </c>
      <c r="G777" s="43">
        <v>7</v>
      </c>
      <c r="H777" s="43">
        <v>7.75</v>
      </c>
      <c r="I777" s="43">
        <v>0</v>
      </c>
      <c r="J777" s="43">
        <v>0</v>
      </c>
      <c r="K777" s="1">
        <f t="shared" si="757"/>
        <v>750</v>
      </c>
      <c r="L777" s="43">
        <v>0</v>
      </c>
      <c r="M777" s="43">
        <v>0</v>
      </c>
      <c r="N777" s="1">
        <f t="shared" si="743"/>
        <v>0.75</v>
      </c>
      <c r="O777" s="1">
        <f t="shared" si="750"/>
        <v>750</v>
      </c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</row>
    <row r="778" spans="1:33" s="32" customFormat="1" ht="15" customHeight="1">
      <c r="A778" s="37">
        <v>43664</v>
      </c>
      <c r="B778" s="20" t="s">
        <v>72</v>
      </c>
      <c r="C778" s="20" t="s">
        <v>46</v>
      </c>
      <c r="D778" s="20">
        <v>350</v>
      </c>
      <c r="E778" s="38">
        <v>1800</v>
      </c>
      <c r="F778" s="20" t="s">
        <v>8</v>
      </c>
      <c r="G778" s="43">
        <v>6</v>
      </c>
      <c r="H778" s="43">
        <v>5</v>
      </c>
      <c r="I778" s="43">
        <v>0</v>
      </c>
      <c r="J778" s="43">
        <v>0</v>
      </c>
      <c r="K778" s="1">
        <f t="shared" si="757"/>
        <v>-1800</v>
      </c>
      <c r="L778" s="43">
        <v>0</v>
      </c>
      <c r="M778" s="43">
        <v>0</v>
      </c>
      <c r="N778" s="1">
        <f t="shared" si="743"/>
        <v>-1</v>
      </c>
      <c r="O778" s="1">
        <f t="shared" si="750"/>
        <v>-1800</v>
      </c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</row>
    <row r="779" spans="1:33" s="32" customFormat="1" ht="15" customHeight="1">
      <c r="A779" s="37">
        <v>43663</v>
      </c>
      <c r="B779" s="20" t="s">
        <v>428</v>
      </c>
      <c r="C779" s="20" t="s">
        <v>46</v>
      </c>
      <c r="D779" s="20">
        <v>1460</v>
      </c>
      <c r="E779" s="38">
        <v>400</v>
      </c>
      <c r="F779" s="20" t="s">
        <v>8</v>
      </c>
      <c r="G779" s="43">
        <v>25</v>
      </c>
      <c r="H779" s="43">
        <v>15</v>
      </c>
      <c r="I779" s="43">
        <v>0</v>
      </c>
      <c r="J779" s="43">
        <v>0</v>
      </c>
      <c r="K779" s="1">
        <f t="shared" ref="K779:K782" si="758">(IF(F779="SELL",G779-H779,IF(F779="BUY",H779-G779)))*E779</f>
        <v>-4000</v>
      </c>
      <c r="L779" s="43">
        <v>0</v>
      </c>
      <c r="M779" s="43">
        <v>0</v>
      </c>
      <c r="N779" s="1">
        <f t="shared" si="743"/>
        <v>-10</v>
      </c>
      <c r="O779" s="1">
        <f t="shared" si="750"/>
        <v>-4000</v>
      </c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</row>
    <row r="780" spans="1:33" s="32" customFormat="1" ht="15" customHeight="1">
      <c r="A780" s="37">
        <v>43663</v>
      </c>
      <c r="B780" s="20" t="s">
        <v>367</v>
      </c>
      <c r="C780" s="20" t="s">
        <v>47</v>
      </c>
      <c r="D780" s="20">
        <v>185</v>
      </c>
      <c r="E780" s="38">
        <v>3000</v>
      </c>
      <c r="F780" s="20" t="s">
        <v>8</v>
      </c>
      <c r="G780" s="43">
        <v>4.5</v>
      </c>
      <c r="H780" s="43">
        <v>2.85</v>
      </c>
      <c r="I780" s="43">
        <v>0</v>
      </c>
      <c r="J780" s="43">
        <v>0</v>
      </c>
      <c r="K780" s="1">
        <f t="shared" si="758"/>
        <v>-4950</v>
      </c>
      <c r="L780" s="43">
        <v>0</v>
      </c>
      <c r="M780" s="43">
        <v>0</v>
      </c>
      <c r="N780" s="1">
        <f t="shared" si="743"/>
        <v>-1.65</v>
      </c>
      <c r="O780" s="1">
        <f t="shared" si="750"/>
        <v>-4950</v>
      </c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</row>
    <row r="781" spans="1:33" s="32" customFormat="1" ht="15" customHeight="1">
      <c r="A781" s="37">
        <v>43663</v>
      </c>
      <c r="B781" s="20" t="s">
        <v>406</v>
      </c>
      <c r="C781" s="20" t="s">
        <v>47</v>
      </c>
      <c r="D781" s="20">
        <v>430</v>
      </c>
      <c r="E781" s="38">
        <v>1250</v>
      </c>
      <c r="F781" s="20" t="s">
        <v>8</v>
      </c>
      <c r="G781" s="43">
        <v>11</v>
      </c>
      <c r="H781" s="43">
        <v>8.5500000000000007</v>
      </c>
      <c r="I781" s="43">
        <v>0</v>
      </c>
      <c r="J781" s="43">
        <v>0</v>
      </c>
      <c r="K781" s="1">
        <f t="shared" si="758"/>
        <v>-3062.4999999999991</v>
      </c>
      <c r="L781" s="43">
        <v>0</v>
      </c>
      <c r="M781" s="43">
        <v>0</v>
      </c>
      <c r="N781" s="1">
        <f t="shared" si="743"/>
        <v>-2.4499999999999993</v>
      </c>
      <c r="O781" s="1">
        <f t="shared" si="750"/>
        <v>-3062.4999999999991</v>
      </c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</row>
    <row r="782" spans="1:33" s="32" customFormat="1" ht="15" customHeight="1">
      <c r="A782" s="37">
        <v>43663</v>
      </c>
      <c r="B782" s="20" t="s">
        <v>107</v>
      </c>
      <c r="C782" s="20" t="s">
        <v>47</v>
      </c>
      <c r="D782" s="20">
        <v>430</v>
      </c>
      <c r="E782" s="38">
        <v>1100</v>
      </c>
      <c r="F782" s="20" t="s">
        <v>8</v>
      </c>
      <c r="G782" s="43">
        <v>11</v>
      </c>
      <c r="H782" s="43">
        <v>8</v>
      </c>
      <c r="I782" s="43">
        <v>0</v>
      </c>
      <c r="J782" s="43">
        <v>0</v>
      </c>
      <c r="K782" s="1">
        <f t="shared" si="758"/>
        <v>-3300</v>
      </c>
      <c r="L782" s="43">
        <v>0</v>
      </c>
      <c r="M782" s="43">
        <v>0</v>
      </c>
      <c r="N782" s="1">
        <f t="shared" si="743"/>
        <v>-3</v>
      </c>
      <c r="O782" s="1">
        <f t="shared" si="750"/>
        <v>-3300</v>
      </c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</row>
    <row r="783" spans="1:33" s="32" customFormat="1" ht="15" customHeight="1">
      <c r="A783" s="37">
        <v>43662</v>
      </c>
      <c r="B783" s="20" t="s">
        <v>435</v>
      </c>
      <c r="C783" s="20" t="s">
        <v>46</v>
      </c>
      <c r="D783" s="20">
        <v>600</v>
      </c>
      <c r="E783" s="38">
        <v>1200</v>
      </c>
      <c r="F783" s="20" t="s">
        <v>8</v>
      </c>
      <c r="G783" s="43">
        <v>19</v>
      </c>
      <c r="H783" s="43">
        <v>21</v>
      </c>
      <c r="I783" s="43">
        <v>25</v>
      </c>
      <c r="J783" s="43">
        <v>30</v>
      </c>
      <c r="K783" s="1">
        <f t="shared" ref="K783:K785" si="759">(IF(F783="SELL",G783-H783,IF(F783="BUY",H783-G783)))*E783</f>
        <v>2400</v>
      </c>
      <c r="L783" s="43">
        <f>E783*4</f>
        <v>4800</v>
      </c>
      <c r="M783" s="43">
        <f>E783*5</f>
        <v>6000</v>
      </c>
      <c r="N783" s="1">
        <f t="shared" si="743"/>
        <v>11</v>
      </c>
      <c r="O783" s="1">
        <f t="shared" si="750"/>
        <v>13200</v>
      </c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</row>
    <row r="784" spans="1:33" s="32" customFormat="1" ht="15" customHeight="1">
      <c r="A784" s="37">
        <v>43662</v>
      </c>
      <c r="B784" s="20" t="s">
        <v>21</v>
      </c>
      <c r="C784" s="20" t="s">
        <v>47</v>
      </c>
      <c r="D784" s="20">
        <v>360</v>
      </c>
      <c r="E784" s="38">
        <v>3000</v>
      </c>
      <c r="F784" s="20" t="s">
        <v>8</v>
      </c>
      <c r="G784" s="43">
        <v>6.75</v>
      </c>
      <c r="H784" s="43">
        <v>7.5</v>
      </c>
      <c r="I784" s="43">
        <v>8.5</v>
      </c>
      <c r="J784" s="43">
        <v>0</v>
      </c>
      <c r="K784" s="1">
        <f t="shared" si="759"/>
        <v>2250</v>
      </c>
      <c r="L784" s="43">
        <f>E784*1</f>
        <v>3000</v>
      </c>
      <c r="M784" s="43">
        <v>0</v>
      </c>
      <c r="N784" s="1">
        <f t="shared" si="743"/>
        <v>1.75</v>
      </c>
      <c r="O784" s="1">
        <f t="shared" si="750"/>
        <v>5250</v>
      </c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</row>
    <row r="785" spans="1:33" s="32" customFormat="1" ht="15" customHeight="1">
      <c r="A785" s="37">
        <v>43662</v>
      </c>
      <c r="B785" s="20" t="s">
        <v>17</v>
      </c>
      <c r="C785" s="20" t="s">
        <v>47</v>
      </c>
      <c r="D785" s="20">
        <v>760</v>
      </c>
      <c r="E785" s="38">
        <v>1200</v>
      </c>
      <c r="F785" s="20" t="s">
        <v>8</v>
      </c>
      <c r="G785" s="43">
        <v>11.5</v>
      </c>
      <c r="H785" s="43">
        <v>9.65</v>
      </c>
      <c r="I785" s="43">
        <v>0</v>
      </c>
      <c r="J785" s="43">
        <v>0</v>
      </c>
      <c r="K785" s="1">
        <f t="shared" si="759"/>
        <v>-2219.9999999999995</v>
      </c>
      <c r="L785" s="43">
        <v>0</v>
      </c>
      <c r="M785" s="43">
        <v>0</v>
      </c>
      <c r="N785" s="1">
        <f t="shared" si="743"/>
        <v>-1.8499999999999996</v>
      </c>
      <c r="O785" s="1">
        <f t="shared" si="750"/>
        <v>-2219.9999999999995</v>
      </c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</row>
    <row r="786" spans="1:33" s="32" customFormat="1" ht="15" customHeight="1">
      <c r="A786" s="37">
        <v>43662</v>
      </c>
      <c r="B786" s="20" t="s">
        <v>22</v>
      </c>
      <c r="C786" s="20" t="s">
        <v>47</v>
      </c>
      <c r="D786" s="20">
        <v>190</v>
      </c>
      <c r="E786" s="38">
        <v>2800</v>
      </c>
      <c r="F786" s="20" t="s">
        <v>8</v>
      </c>
      <c r="G786" s="43">
        <v>5</v>
      </c>
      <c r="H786" s="43">
        <v>3.7</v>
      </c>
      <c r="I786" s="43">
        <v>0</v>
      </c>
      <c r="J786" s="43">
        <v>0</v>
      </c>
      <c r="K786" s="1">
        <f t="shared" ref="K786" si="760">(IF(F786="SELL",G786-H786,IF(F786="BUY",H786-G786)))*E786</f>
        <v>-3639.9999999999995</v>
      </c>
      <c r="L786" s="43">
        <v>0</v>
      </c>
      <c r="M786" s="43">
        <v>0</v>
      </c>
      <c r="N786" s="1">
        <f t="shared" si="743"/>
        <v>-1.2999999999999998</v>
      </c>
      <c r="O786" s="1">
        <f t="shared" si="750"/>
        <v>-3639.9999999999995</v>
      </c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</row>
    <row r="787" spans="1:33" s="32" customFormat="1" ht="15" customHeight="1">
      <c r="A787" s="37">
        <v>43661</v>
      </c>
      <c r="B787" s="20" t="s">
        <v>94</v>
      </c>
      <c r="C787" s="20" t="s">
        <v>47</v>
      </c>
      <c r="D787" s="20">
        <v>2000</v>
      </c>
      <c r="E787" s="38">
        <v>302</v>
      </c>
      <c r="F787" s="20" t="s">
        <v>8</v>
      </c>
      <c r="G787" s="43">
        <v>60</v>
      </c>
      <c r="H787" s="43">
        <v>68</v>
      </c>
      <c r="I787" s="43">
        <v>76</v>
      </c>
      <c r="J787" s="43">
        <v>86</v>
      </c>
      <c r="K787" s="1">
        <f t="shared" ref="K787" si="761">(IF(F787="SELL",G787-H787,IF(F787="BUY",H787-G787)))*E787</f>
        <v>2416</v>
      </c>
      <c r="L787" s="43">
        <f>E787*8</f>
        <v>2416</v>
      </c>
      <c r="M787" s="43">
        <f>E787*10</f>
        <v>3020</v>
      </c>
      <c r="N787" s="1">
        <f t="shared" si="743"/>
        <v>26</v>
      </c>
      <c r="O787" s="1">
        <f t="shared" si="750"/>
        <v>7852</v>
      </c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</row>
    <row r="788" spans="1:33" s="32" customFormat="1" ht="15" customHeight="1">
      <c r="A788" s="37">
        <v>43661</v>
      </c>
      <c r="B788" s="20" t="s">
        <v>107</v>
      </c>
      <c r="C788" s="20" t="s">
        <v>47</v>
      </c>
      <c r="D788" s="20">
        <v>400</v>
      </c>
      <c r="E788" s="38">
        <v>1100</v>
      </c>
      <c r="F788" s="20" t="s">
        <v>8</v>
      </c>
      <c r="G788" s="43">
        <v>25.5</v>
      </c>
      <c r="H788" s="43">
        <v>28</v>
      </c>
      <c r="I788" s="43">
        <v>0</v>
      </c>
      <c r="J788" s="43">
        <v>0</v>
      </c>
      <c r="K788" s="1">
        <f t="shared" ref="K788" si="762">(IF(F788="SELL",G788-H788,IF(F788="BUY",H788-G788)))*E788</f>
        <v>2750</v>
      </c>
      <c r="L788" s="43">
        <v>0</v>
      </c>
      <c r="M788" s="43">
        <v>0</v>
      </c>
      <c r="N788" s="1">
        <f t="shared" si="743"/>
        <v>2.5</v>
      </c>
      <c r="O788" s="1">
        <f t="shared" si="750"/>
        <v>2750</v>
      </c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</row>
    <row r="789" spans="1:33" s="32" customFormat="1" ht="15" customHeight="1">
      <c r="A789" s="37">
        <v>43661</v>
      </c>
      <c r="B789" s="20" t="s">
        <v>436</v>
      </c>
      <c r="C789" s="20" t="s">
        <v>47</v>
      </c>
      <c r="D789" s="20">
        <v>2500</v>
      </c>
      <c r="E789" s="38">
        <v>200</v>
      </c>
      <c r="F789" s="20" t="s">
        <v>8</v>
      </c>
      <c r="G789" s="43">
        <v>45</v>
      </c>
      <c r="H789" s="43">
        <v>57</v>
      </c>
      <c r="I789" s="43">
        <v>69</v>
      </c>
      <c r="J789" s="43">
        <v>0</v>
      </c>
      <c r="K789" s="1">
        <f t="shared" ref="K789" si="763">(IF(F789="SELL",G789-H789,IF(F789="BUY",H789-G789)))*E789</f>
        <v>2400</v>
      </c>
      <c r="L789" s="43">
        <f>E789*12</f>
        <v>2400</v>
      </c>
      <c r="M789" s="43">
        <v>0</v>
      </c>
      <c r="N789" s="1">
        <f t="shared" si="743"/>
        <v>24</v>
      </c>
      <c r="O789" s="1">
        <f t="shared" si="750"/>
        <v>4800</v>
      </c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</row>
    <row r="790" spans="1:33" s="32" customFormat="1" ht="15" customHeight="1">
      <c r="A790" s="37">
        <v>43658</v>
      </c>
      <c r="B790" s="20" t="s">
        <v>24</v>
      </c>
      <c r="C790" s="20" t="s">
        <v>47</v>
      </c>
      <c r="D790" s="20">
        <v>160</v>
      </c>
      <c r="E790" s="38">
        <v>3000</v>
      </c>
      <c r="F790" s="20" t="s">
        <v>8</v>
      </c>
      <c r="G790" s="43">
        <v>4.5</v>
      </c>
      <c r="H790" s="43">
        <v>6</v>
      </c>
      <c r="I790" s="43">
        <v>0</v>
      </c>
      <c r="J790" s="43">
        <v>0</v>
      </c>
      <c r="K790" s="1">
        <f t="shared" ref="K790" si="764">(IF(F790="SELL",G790-H790,IF(F790="BUY",H790-G790)))*E790</f>
        <v>4500</v>
      </c>
      <c r="L790" s="43">
        <v>0</v>
      </c>
      <c r="M790" s="43">
        <v>0</v>
      </c>
      <c r="N790" s="1">
        <f t="shared" si="743"/>
        <v>1.5</v>
      </c>
      <c r="O790" s="1">
        <f t="shared" si="750"/>
        <v>4500</v>
      </c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</row>
    <row r="791" spans="1:33" s="32" customFormat="1" ht="15" customHeight="1">
      <c r="A791" s="37">
        <v>43658</v>
      </c>
      <c r="B791" s="20" t="s">
        <v>296</v>
      </c>
      <c r="C791" s="20" t="s">
        <v>47</v>
      </c>
      <c r="D791" s="20">
        <v>1540</v>
      </c>
      <c r="E791" s="38">
        <v>400</v>
      </c>
      <c r="F791" s="20" t="s">
        <v>8</v>
      </c>
      <c r="G791" s="43">
        <v>53</v>
      </c>
      <c r="H791" s="43">
        <v>47</v>
      </c>
      <c r="I791" s="43">
        <v>0</v>
      </c>
      <c r="J791" s="43">
        <v>0</v>
      </c>
      <c r="K791" s="1">
        <f t="shared" ref="K791" si="765">(IF(F791="SELL",G791-H791,IF(F791="BUY",H791-G791)))*E791</f>
        <v>-2400</v>
      </c>
      <c r="L791" s="43">
        <v>0</v>
      </c>
      <c r="M791" s="43">
        <v>0</v>
      </c>
      <c r="N791" s="1">
        <f t="shared" si="743"/>
        <v>-6</v>
      </c>
      <c r="O791" s="1">
        <f t="shared" si="750"/>
        <v>-2400</v>
      </c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</row>
    <row r="792" spans="1:33" s="32" customFormat="1" ht="15" customHeight="1">
      <c r="A792" s="37">
        <v>43657</v>
      </c>
      <c r="B792" s="20" t="s">
        <v>410</v>
      </c>
      <c r="C792" s="20" t="s">
        <v>46</v>
      </c>
      <c r="D792" s="20">
        <v>1400</v>
      </c>
      <c r="E792" s="38">
        <v>600</v>
      </c>
      <c r="F792" s="20" t="s">
        <v>8</v>
      </c>
      <c r="G792" s="43">
        <v>105</v>
      </c>
      <c r="H792" s="43">
        <v>109</v>
      </c>
      <c r="I792" s="43">
        <v>113</v>
      </c>
      <c r="J792" s="43">
        <v>117</v>
      </c>
      <c r="K792" s="1">
        <f t="shared" ref="K792" si="766">(IF(F792="SELL",G792-H792,IF(F792="BUY",H792-G792)))*E792</f>
        <v>2400</v>
      </c>
      <c r="L792" s="43">
        <f>E792*4</f>
        <v>2400</v>
      </c>
      <c r="M792" s="43">
        <f>E792*7</f>
        <v>4200</v>
      </c>
      <c r="N792" s="1">
        <f t="shared" si="743"/>
        <v>15</v>
      </c>
      <c r="O792" s="1">
        <f t="shared" si="750"/>
        <v>9000</v>
      </c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</row>
    <row r="793" spans="1:33" s="32" customFormat="1" ht="15" customHeight="1">
      <c r="A793" s="37">
        <v>43657</v>
      </c>
      <c r="B793" s="20" t="s">
        <v>107</v>
      </c>
      <c r="C793" s="20" t="s">
        <v>47</v>
      </c>
      <c r="D793" s="20">
        <v>400</v>
      </c>
      <c r="E793" s="38">
        <v>1100</v>
      </c>
      <c r="F793" s="20" t="s">
        <v>8</v>
      </c>
      <c r="G793" s="43">
        <v>10</v>
      </c>
      <c r="H793" s="43">
        <v>7.5</v>
      </c>
      <c r="I793" s="43">
        <v>0</v>
      </c>
      <c r="J793" s="43">
        <v>0</v>
      </c>
      <c r="K793" s="1">
        <f t="shared" ref="K793" si="767">(IF(F793="SELL",G793-H793,IF(F793="BUY",H793-G793)))*E793</f>
        <v>-2750</v>
      </c>
      <c r="L793" s="43">
        <v>0</v>
      </c>
      <c r="M793" s="43">
        <v>0</v>
      </c>
      <c r="N793" s="1">
        <f t="shared" si="743"/>
        <v>-2.5</v>
      </c>
      <c r="O793" s="1">
        <f t="shared" si="750"/>
        <v>-2750</v>
      </c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</row>
    <row r="794" spans="1:33" s="32" customFormat="1" ht="15" customHeight="1">
      <c r="A794" s="37">
        <v>43656</v>
      </c>
      <c r="B794" s="20" t="s">
        <v>71</v>
      </c>
      <c r="C794" s="20" t="s">
        <v>46</v>
      </c>
      <c r="D794" s="20">
        <v>255</v>
      </c>
      <c r="E794" s="38">
        <v>2000</v>
      </c>
      <c r="F794" s="20" t="s">
        <v>8</v>
      </c>
      <c r="G794" s="43">
        <v>7.5</v>
      </c>
      <c r="H794" s="43">
        <v>8.5</v>
      </c>
      <c r="I794" s="43">
        <v>0</v>
      </c>
      <c r="J794" s="43">
        <v>0</v>
      </c>
      <c r="K794" s="1">
        <f t="shared" ref="K794:K795" si="768">(IF(F794="SELL",G794-H794,IF(F794="BUY",H794-G794)))*E794</f>
        <v>2000</v>
      </c>
      <c r="L794" s="43">
        <v>0</v>
      </c>
      <c r="M794" s="43">
        <v>0</v>
      </c>
      <c r="N794" s="1">
        <f t="shared" si="743"/>
        <v>1</v>
      </c>
      <c r="O794" s="1">
        <f t="shared" si="750"/>
        <v>2000</v>
      </c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</row>
    <row r="795" spans="1:33" s="32" customFormat="1" ht="15" customHeight="1">
      <c r="A795" s="37">
        <v>43656</v>
      </c>
      <c r="B795" s="20" t="s">
        <v>107</v>
      </c>
      <c r="C795" s="20" t="s">
        <v>47</v>
      </c>
      <c r="D795" s="20">
        <v>360</v>
      </c>
      <c r="E795" s="38">
        <v>1100</v>
      </c>
      <c r="F795" s="20" t="s">
        <v>8</v>
      </c>
      <c r="G795" s="43">
        <v>10</v>
      </c>
      <c r="H795" s="43">
        <v>6</v>
      </c>
      <c r="I795" s="43">
        <v>0</v>
      </c>
      <c r="J795" s="43">
        <v>0</v>
      </c>
      <c r="K795" s="1">
        <f t="shared" si="768"/>
        <v>-4400</v>
      </c>
      <c r="L795" s="43">
        <v>0</v>
      </c>
      <c r="M795" s="43">
        <v>0</v>
      </c>
      <c r="N795" s="1">
        <f t="shared" si="743"/>
        <v>-4</v>
      </c>
      <c r="O795" s="1">
        <f t="shared" si="750"/>
        <v>-4400</v>
      </c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</row>
    <row r="796" spans="1:33" s="32" customFormat="1" ht="15" customHeight="1">
      <c r="A796" s="37">
        <v>43655</v>
      </c>
      <c r="B796" s="20" t="s">
        <v>410</v>
      </c>
      <c r="C796" s="20" t="s">
        <v>46</v>
      </c>
      <c r="D796" s="20">
        <v>1540</v>
      </c>
      <c r="E796" s="38">
        <v>600</v>
      </c>
      <c r="F796" s="20" t="s">
        <v>8</v>
      </c>
      <c r="G796" s="43">
        <v>51</v>
      </c>
      <c r="H796" s="43">
        <v>53.5</v>
      </c>
      <c r="I796" s="43">
        <v>59</v>
      </c>
      <c r="J796" s="43">
        <v>0</v>
      </c>
      <c r="K796" s="1">
        <f t="shared" ref="K796:K800" si="769">(IF(F796="SELL",G796-H796,IF(F796="BUY",H796-G796)))*E796</f>
        <v>1500</v>
      </c>
      <c r="L796" s="43">
        <f>E796*5.5</f>
        <v>3300</v>
      </c>
      <c r="M796" s="43">
        <v>0</v>
      </c>
      <c r="N796" s="1">
        <f t="shared" si="743"/>
        <v>8</v>
      </c>
      <c r="O796" s="1">
        <f t="shared" si="750"/>
        <v>4800</v>
      </c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</row>
    <row r="797" spans="1:33" s="32" customFormat="1" ht="15" customHeight="1">
      <c r="A797" s="37">
        <v>43655</v>
      </c>
      <c r="B797" s="20" t="s">
        <v>21</v>
      </c>
      <c r="C797" s="20" t="s">
        <v>47</v>
      </c>
      <c r="D797" s="20">
        <v>360</v>
      </c>
      <c r="E797" s="38">
        <v>3000</v>
      </c>
      <c r="F797" s="20" t="s">
        <v>8</v>
      </c>
      <c r="G797" s="43">
        <v>7.3</v>
      </c>
      <c r="H797" s="43">
        <v>8</v>
      </c>
      <c r="I797" s="43">
        <v>0</v>
      </c>
      <c r="J797" s="43">
        <v>0</v>
      </c>
      <c r="K797" s="1">
        <f t="shared" si="769"/>
        <v>2100.0000000000005</v>
      </c>
      <c r="L797" s="43">
        <v>0</v>
      </c>
      <c r="M797" s="43">
        <v>0</v>
      </c>
      <c r="N797" s="1">
        <f t="shared" si="743"/>
        <v>0.70000000000000018</v>
      </c>
      <c r="O797" s="1">
        <f t="shared" si="750"/>
        <v>2100.0000000000005</v>
      </c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</row>
    <row r="798" spans="1:33" s="32" customFormat="1" ht="15" customHeight="1">
      <c r="A798" s="37">
        <v>43655</v>
      </c>
      <c r="B798" s="20" t="s">
        <v>404</v>
      </c>
      <c r="C798" s="20" t="s">
        <v>46</v>
      </c>
      <c r="D798" s="20">
        <v>150</v>
      </c>
      <c r="E798" s="38">
        <v>6000</v>
      </c>
      <c r="F798" s="20" t="s">
        <v>8</v>
      </c>
      <c r="G798" s="43">
        <v>7.15</v>
      </c>
      <c r="H798" s="43">
        <v>7.55</v>
      </c>
      <c r="I798" s="43">
        <v>8.3000000000000007</v>
      </c>
      <c r="J798" s="43">
        <v>0</v>
      </c>
      <c r="K798" s="1">
        <f t="shared" si="769"/>
        <v>2399.9999999999968</v>
      </c>
      <c r="L798" s="43">
        <f>E798*0.75</f>
        <v>4500</v>
      </c>
      <c r="M798" s="43">
        <v>0</v>
      </c>
      <c r="N798" s="1">
        <f t="shared" si="743"/>
        <v>1.1499999999999995</v>
      </c>
      <c r="O798" s="1">
        <f t="shared" si="750"/>
        <v>6899.9999999999964</v>
      </c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</row>
    <row r="799" spans="1:33" s="32" customFormat="1" ht="15" customHeight="1">
      <c r="A799" s="37">
        <v>43655</v>
      </c>
      <c r="B799" s="20" t="s">
        <v>86</v>
      </c>
      <c r="C799" s="20" t="s">
        <v>47</v>
      </c>
      <c r="D799" s="20">
        <v>3600</v>
      </c>
      <c r="E799" s="38">
        <v>250</v>
      </c>
      <c r="F799" s="20" t="s">
        <v>8</v>
      </c>
      <c r="G799" s="43">
        <v>112</v>
      </c>
      <c r="H799" s="43">
        <v>120</v>
      </c>
      <c r="I799" s="43">
        <v>0</v>
      </c>
      <c r="J799" s="43">
        <v>0</v>
      </c>
      <c r="K799" s="1">
        <f t="shared" si="769"/>
        <v>2000</v>
      </c>
      <c r="L799" s="43">
        <v>0</v>
      </c>
      <c r="M799" s="43">
        <v>0</v>
      </c>
      <c r="N799" s="1">
        <f t="shared" si="743"/>
        <v>8</v>
      </c>
      <c r="O799" s="1">
        <f t="shared" si="750"/>
        <v>2000</v>
      </c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</row>
    <row r="800" spans="1:33" s="32" customFormat="1" ht="15" customHeight="1">
      <c r="A800" s="37">
        <v>43655</v>
      </c>
      <c r="B800" s="20" t="s">
        <v>26</v>
      </c>
      <c r="C800" s="20" t="s">
        <v>46</v>
      </c>
      <c r="D800" s="20">
        <v>460</v>
      </c>
      <c r="E800" s="38">
        <v>1061</v>
      </c>
      <c r="F800" s="20" t="s">
        <v>8</v>
      </c>
      <c r="G800" s="43">
        <v>12</v>
      </c>
      <c r="H800" s="43">
        <v>9.8000000000000007</v>
      </c>
      <c r="I800" s="43">
        <v>0</v>
      </c>
      <c r="J800" s="43">
        <v>0</v>
      </c>
      <c r="K800" s="1">
        <f t="shared" si="769"/>
        <v>-2334.1999999999994</v>
      </c>
      <c r="L800" s="43">
        <v>0</v>
      </c>
      <c r="M800" s="43">
        <v>0</v>
      </c>
      <c r="N800" s="1">
        <f t="shared" si="743"/>
        <v>-2.1999999999999993</v>
      </c>
      <c r="O800" s="1">
        <f t="shared" si="750"/>
        <v>-2334.1999999999994</v>
      </c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</row>
    <row r="801" spans="1:33" s="32" customFormat="1" ht="15" customHeight="1">
      <c r="A801" s="37">
        <v>43654</v>
      </c>
      <c r="B801" s="20" t="s">
        <v>421</v>
      </c>
      <c r="C801" s="20" t="s">
        <v>46</v>
      </c>
      <c r="D801" s="20">
        <v>360</v>
      </c>
      <c r="E801" s="38">
        <v>3000</v>
      </c>
      <c r="F801" s="20" t="s">
        <v>8</v>
      </c>
      <c r="G801" s="43">
        <v>7</v>
      </c>
      <c r="H801" s="43">
        <v>7.75</v>
      </c>
      <c r="I801" s="43">
        <v>9</v>
      </c>
      <c r="J801" s="43">
        <v>0</v>
      </c>
      <c r="K801" s="1">
        <f t="shared" ref="K801:K804" si="770">(IF(F801="SELL",G801-H801,IF(F801="BUY",H801-G801)))*E801</f>
        <v>2250</v>
      </c>
      <c r="L801" s="43">
        <f>E801*1.25</f>
        <v>3750</v>
      </c>
      <c r="M801" s="43">
        <v>0</v>
      </c>
      <c r="N801" s="1">
        <f t="shared" si="743"/>
        <v>2</v>
      </c>
      <c r="O801" s="1">
        <f t="shared" si="750"/>
        <v>6000</v>
      </c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</row>
    <row r="802" spans="1:33" s="32" customFormat="1" ht="15" customHeight="1">
      <c r="A802" s="37">
        <v>43654</v>
      </c>
      <c r="B802" s="20" t="s">
        <v>36</v>
      </c>
      <c r="C802" s="20" t="s">
        <v>46</v>
      </c>
      <c r="D802" s="20">
        <v>150</v>
      </c>
      <c r="E802" s="38">
        <v>3500</v>
      </c>
      <c r="F802" s="20" t="s">
        <v>8</v>
      </c>
      <c r="G802" s="43">
        <v>5</v>
      </c>
      <c r="H802" s="43">
        <v>5.8</v>
      </c>
      <c r="I802" s="43">
        <v>7</v>
      </c>
      <c r="J802" s="43">
        <v>0</v>
      </c>
      <c r="K802" s="1">
        <f t="shared" si="770"/>
        <v>2799.9999999999995</v>
      </c>
      <c r="L802" s="43">
        <f>E802*1.2</f>
        <v>4200</v>
      </c>
      <c r="M802" s="43">
        <v>0</v>
      </c>
      <c r="N802" s="1">
        <f t="shared" si="743"/>
        <v>2</v>
      </c>
      <c r="O802" s="1">
        <f t="shared" si="750"/>
        <v>7000</v>
      </c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</row>
    <row r="803" spans="1:33" s="32" customFormat="1" ht="15" customHeight="1">
      <c r="A803" s="37">
        <v>43654</v>
      </c>
      <c r="B803" s="20" t="s">
        <v>435</v>
      </c>
      <c r="C803" s="20" t="s">
        <v>47</v>
      </c>
      <c r="D803" s="20">
        <v>640</v>
      </c>
      <c r="E803" s="38">
        <v>1200</v>
      </c>
      <c r="F803" s="20" t="s">
        <v>8</v>
      </c>
      <c r="G803" s="43">
        <v>16.5</v>
      </c>
      <c r="H803" s="43">
        <v>17.8</v>
      </c>
      <c r="I803" s="43">
        <v>0</v>
      </c>
      <c r="J803" s="43">
        <v>0</v>
      </c>
      <c r="K803" s="1">
        <f t="shared" si="770"/>
        <v>1560.0000000000009</v>
      </c>
      <c r="L803" s="43">
        <v>0</v>
      </c>
      <c r="M803" s="43">
        <v>0</v>
      </c>
      <c r="N803" s="1">
        <f t="shared" si="743"/>
        <v>1.3000000000000007</v>
      </c>
      <c r="O803" s="1">
        <f t="shared" si="750"/>
        <v>1560.0000000000009</v>
      </c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</row>
    <row r="804" spans="1:33" s="32" customFormat="1" ht="15" customHeight="1">
      <c r="A804" s="37">
        <v>43654</v>
      </c>
      <c r="B804" s="20" t="s">
        <v>100</v>
      </c>
      <c r="C804" s="20" t="s">
        <v>46</v>
      </c>
      <c r="D804" s="20">
        <v>2950</v>
      </c>
      <c r="E804" s="38">
        <v>250</v>
      </c>
      <c r="F804" s="20" t="s">
        <v>8</v>
      </c>
      <c r="G804" s="43">
        <v>95</v>
      </c>
      <c r="H804" s="43">
        <v>85</v>
      </c>
      <c r="I804" s="43">
        <v>0</v>
      </c>
      <c r="J804" s="43">
        <v>0</v>
      </c>
      <c r="K804" s="1">
        <f t="shared" si="770"/>
        <v>-2500</v>
      </c>
      <c r="L804" s="43">
        <v>0</v>
      </c>
      <c r="M804" s="43">
        <v>0</v>
      </c>
      <c r="N804" s="1">
        <f t="shared" si="743"/>
        <v>-10</v>
      </c>
      <c r="O804" s="1">
        <f t="shared" si="750"/>
        <v>-2500</v>
      </c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</row>
    <row r="805" spans="1:33" s="32" customFormat="1" ht="15" customHeight="1">
      <c r="A805" s="37">
        <v>43651</v>
      </c>
      <c r="B805" s="20" t="s">
        <v>36</v>
      </c>
      <c r="C805" s="20" t="s">
        <v>46</v>
      </c>
      <c r="D805" s="20">
        <v>155</v>
      </c>
      <c r="E805" s="38">
        <v>3500</v>
      </c>
      <c r="F805" s="20" t="s">
        <v>8</v>
      </c>
      <c r="G805" s="43">
        <v>5</v>
      </c>
      <c r="H805" s="43">
        <v>5.75</v>
      </c>
      <c r="I805" s="43">
        <v>7</v>
      </c>
      <c r="J805" s="43">
        <v>0</v>
      </c>
      <c r="K805" s="1">
        <f t="shared" ref="K805:K809" si="771">(IF(F805="SELL",G805-H805,IF(F805="BUY",H805-G805)))*E805</f>
        <v>2625</v>
      </c>
      <c r="L805" s="43">
        <f>E805*1.25</f>
        <v>4375</v>
      </c>
      <c r="M805" s="43">
        <v>0</v>
      </c>
      <c r="N805" s="1">
        <f t="shared" si="743"/>
        <v>2</v>
      </c>
      <c r="O805" s="1">
        <f t="shared" si="750"/>
        <v>7000</v>
      </c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</row>
    <row r="806" spans="1:33" s="32" customFormat="1" ht="15" customHeight="1">
      <c r="A806" s="37">
        <v>43651</v>
      </c>
      <c r="B806" s="20" t="s">
        <v>54</v>
      </c>
      <c r="C806" s="20" t="s">
        <v>46</v>
      </c>
      <c r="D806" s="20">
        <v>500</v>
      </c>
      <c r="E806" s="38">
        <v>1000</v>
      </c>
      <c r="F806" s="20" t="s">
        <v>8</v>
      </c>
      <c r="G806" s="43">
        <v>22</v>
      </c>
      <c r="H806" s="43">
        <v>23.5</v>
      </c>
      <c r="I806" s="43">
        <v>26.5</v>
      </c>
      <c r="J806" s="43">
        <v>0</v>
      </c>
      <c r="K806" s="1">
        <f t="shared" si="771"/>
        <v>1500</v>
      </c>
      <c r="L806" s="43">
        <f>E806*3</f>
        <v>3000</v>
      </c>
      <c r="M806" s="43">
        <v>0</v>
      </c>
      <c r="N806" s="1">
        <f t="shared" ref="N806:N869" si="772">(L806+K806+M806)/E806</f>
        <v>4.5</v>
      </c>
      <c r="O806" s="1">
        <f t="shared" si="750"/>
        <v>4500</v>
      </c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</row>
    <row r="807" spans="1:33" s="32" customFormat="1" ht="15" customHeight="1">
      <c r="A807" s="37">
        <v>43651</v>
      </c>
      <c r="B807" s="20" t="s">
        <v>434</v>
      </c>
      <c r="C807" s="20" t="s">
        <v>46</v>
      </c>
      <c r="D807" s="20">
        <v>1900</v>
      </c>
      <c r="E807" s="38">
        <v>302</v>
      </c>
      <c r="F807" s="20" t="s">
        <v>8</v>
      </c>
      <c r="G807" s="43">
        <v>95</v>
      </c>
      <c r="H807" s="43">
        <v>80</v>
      </c>
      <c r="I807" s="43">
        <v>0</v>
      </c>
      <c r="J807" s="43">
        <v>0</v>
      </c>
      <c r="K807" s="1">
        <f t="shared" si="771"/>
        <v>-4530</v>
      </c>
      <c r="L807" s="43">
        <v>0</v>
      </c>
      <c r="M807" s="43">
        <v>0</v>
      </c>
      <c r="N807" s="1">
        <f t="shared" si="772"/>
        <v>-15</v>
      </c>
      <c r="O807" s="1">
        <f t="shared" si="750"/>
        <v>-4530</v>
      </c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</row>
    <row r="808" spans="1:33" s="32" customFormat="1" ht="15" customHeight="1">
      <c r="A808" s="37">
        <v>43651</v>
      </c>
      <c r="B808" s="20" t="s">
        <v>427</v>
      </c>
      <c r="C808" s="20" t="s">
        <v>47</v>
      </c>
      <c r="D808" s="20">
        <v>1700</v>
      </c>
      <c r="E808" s="38">
        <v>400</v>
      </c>
      <c r="F808" s="20" t="s">
        <v>8</v>
      </c>
      <c r="G808" s="43">
        <v>47.5</v>
      </c>
      <c r="H808" s="43">
        <v>35</v>
      </c>
      <c r="I808" s="43">
        <v>0</v>
      </c>
      <c r="J808" s="43">
        <v>0</v>
      </c>
      <c r="K808" s="1">
        <f t="shared" si="771"/>
        <v>-5000</v>
      </c>
      <c r="L808" s="43">
        <v>0</v>
      </c>
      <c r="M808" s="43">
        <v>0</v>
      </c>
      <c r="N808" s="1">
        <f t="shared" si="772"/>
        <v>-12.5</v>
      </c>
      <c r="O808" s="1">
        <f t="shared" si="750"/>
        <v>-5000</v>
      </c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</row>
    <row r="809" spans="1:33" s="32" customFormat="1" ht="15" customHeight="1">
      <c r="A809" s="37">
        <v>43651</v>
      </c>
      <c r="B809" s="20" t="s">
        <v>71</v>
      </c>
      <c r="C809" s="20" t="s">
        <v>47</v>
      </c>
      <c r="D809" s="20">
        <v>275</v>
      </c>
      <c r="E809" s="38">
        <v>2000</v>
      </c>
      <c r="F809" s="20" t="s">
        <v>8</v>
      </c>
      <c r="G809" s="43">
        <v>9</v>
      </c>
      <c r="H809" s="43">
        <v>6.5</v>
      </c>
      <c r="I809" s="43">
        <v>0</v>
      </c>
      <c r="J809" s="43">
        <v>0</v>
      </c>
      <c r="K809" s="1">
        <f t="shared" si="771"/>
        <v>-5000</v>
      </c>
      <c r="L809" s="43">
        <v>0</v>
      </c>
      <c r="M809" s="43">
        <v>0</v>
      </c>
      <c r="N809" s="1">
        <f t="shared" si="772"/>
        <v>-2.5</v>
      </c>
      <c r="O809" s="1">
        <f t="shared" si="750"/>
        <v>-5000</v>
      </c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</row>
    <row r="810" spans="1:33" s="32" customFormat="1" ht="15" customHeight="1">
      <c r="A810" s="37">
        <v>43650</v>
      </c>
      <c r="B810" s="20" t="s">
        <v>121</v>
      </c>
      <c r="C810" s="20" t="s">
        <v>47</v>
      </c>
      <c r="D810" s="20">
        <v>760</v>
      </c>
      <c r="E810" s="38">
        <v>800</v>
      </c>
      <c r="F810" s="20" t="s">
        <v>8</v>
      </c>
      <c r="G810" s="43">
        <v>31</v>
      </c>
      <c r="H810" s="43">
        <v>33</v>
      </c>
      <c r="I810" s="43">
        <v>0</v>
      </c>
      <c r="J810" s="43">
        <v>0</v>
      </c>
      <c r="K810" s="1">
        <f t="shared" ref="K810:K812" si="773">(IF(F810="SELL",G810-H810,IF(F810="BUY",H810-G810)))*E810</f>
        <v>1600</v>
      </c>
      <c r="L810" s="43">
        <v>0</v>
      </c>
      <c r="M810" s="43">
        <v>0</v>
      </c>
      <c r="N810" s="1">
        <f t="shared" si="772"/>
        <v>2</v>
      </c>
      <c r="O810" s="1">
        <f t="shared" si="750"/>
        <v>1600</v>
      </c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</row>
    <row r="811" spans="1:33" s="32" customFormat="1" ht="15" customHeight="1">
      <c r="A811" s="37">
        <v>43650</v>
      </c>
      <c r="B811" s="20" t="s">
        <v>428</v>
      </c>
      <c r="C811" s="20" t="s">
        <v>47</v>
      </c>
      <c r="D811" s="20">
        <v>1500</v>
      </c>
      <c r="E811" s="38">
        <v>400</v>
      </c>
      <c r="F811" s="20" t="s">
        <v>8</v>
      </c>
      <c r="G811" s="43">
        <v>45</v>
      </c>
      <c r="H811" s="43">
        <v>51</v>
      </c>
      <c r="I811" s="43">
        <v>0</v>
      </c>
      <c r="J811" s="43">
        <v>0</v>
      </c>
      <c r="K811" s="1">
        <f t="shared" si="773"/>
        <v>2400</v>
      </c>
      <c r="L811" s="43">
        <v>0</v>
      </c>
      <c r="M811" s="43">
        <v>0</v>
      </c>
      <c r="N811" s="1">
        <f t="shared" si="772"/>
        <v>6</v>
      </c>
      <c r="O811" s="1">
        <f t="shared" si="750"/>
        <v>2400</v>
      </c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</row>
    <row r="812" spans="1:33" s="32" customFormat="1" ht="15" customHeight="1">
      <c r="A812" s="37">
        <v>43650</v>
      </c>
      <c r="B812" s="20" t="s">
        <v>21</v>
      </c>
      <c r="C812" s="20" t="s">
        <v>47</v>
      </c>
      <c r="D812" s="20">
        <v>365</v>
      </c>
      <c r="E812" s="38">
        <v>3000</v>
      </c>
      <c r="F812" s="20" t="s">
        <v>8</v>
      </c>
      <c r="G812" s="43">
        <v>12.25</v>
      </c>
      <c r="H812" s="43">
        <v>13</v>
      </c>
      <c r="I812" s="43">
        <v>0</v>
      </c>
      <c r="J812" s="43">
        <v>0</v>
      </c>
      <c r="K812" s="1">
        <f t="shared" si="773"/>
        <v>2250</v>
      </c>
      <c r="L812" s="43">
        <v>0</v>
      </c>
      <c r="M812" s="43">
        <v>0</v>
      </c>
      <c r="N812" s="1">
        <f t="shared" si="772"/>
        <v>0.75</v>
      </c>
      <c r="O812" s="1">
        <f t="shared" si="750"/>
        <v>2250</v>
      </c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</row>
    <row r="813" spans="1:33" s="32" customFormat="1" ht="15" customHeight="1">
      <c r="A813" s="37">
        <v>43649</v>
      </c>
      <c r="B813" s="20" t="s">
        <v>413</v>
      </c>
      <c r="C813" s="20" t="s">
        <v>47</v>
      </c>
      <c r="D813" s="20">
        <v>640</v>
      </c>
      <c r="E813" s="38">
        <v>800</v>
      </c>
      <c r="F813" s="20" t="s">
        <v>8</v>
      </c>
      <c r="G813" s="43">
        <v>51</v>
      </c>
      <c r="H813" s="43">
        <v>54</v>
      </c>
      <c r="I813" s="43">
        <v>58</v>
      </c>
      <c r="J813" s="43">
        <v>65</v>
      </c>
      <c r="K813" s="1">
        <f t="shared" ref="K813:K816" si="774">(IF(F813="SELL",G813-H813,IF(F813="BUY",H813-G813)))*E813</f>
        <v>2400</v>
      </c>
      <c r="L813" s="43">
        <f>E813*4</f>
        <v>3200</v>
      </c>
      <c r="M813" s="43">
        <f>E813*7</f>
        <v>5600</v>
      </c>
      <c r="N813" s="1">
        <f t="shared" si="772"/>
        <v>14</v>
      </c>
      <c r="O813" s="1">
        <f t="shared" si="750"/>
        <v>11200</v>
      </c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</row>
    <row r="814" spans="1:33" s="32" customFormat="1" ht="15" customHeight="1">
      <c r="A814" s="37">
        <v>43649</v>
      </c>
      <c r="B814" s="20" t="s">
        <v>21</v>
      </c>
      <c r="C814" s="20" t="s">
        <v>47</v>
      </c>
      <c r="D814" s="20">
        <v>360</v>
      </c>
      <c r="E814" s="38">
        <v>3000</v>
      </c>
      <c r="F814" s="20" t="s">
        <v>8</v>
      </c>
      <c r="G814" s="43">
        <v>12.7</v>
      </c>
      <c r="H814" s="43">
        <v>13.2</v>
      </c>
      <c r="I814" s="43">
        <v>0</v>
      </c>
      <c r="J814" s="43">
        <v>0</v>
      </c>
      <c r="K814" s="1">
        <f t="shared" si="774"/>
        <v>1500</v>
      </c>
      <c r="L814" s="43">
        <v>0</v>
      </c>
      <c r="M814" s="43">
        <v>0</v>
      </c>
      <c r="N814" s="1">
        <f t="shared" si="772"/>
        <v>0.5</v>
      </c>
      <c r="O814" s="1">
        <f t="shared" si="750"/>
        <v>1500</v>
      </c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</row>
    <row r="815" spans="1:33" s="32" customFormat="1" ht="15" customHeight="1">
      <c r="A815" s="37">
        <v>43649</v>
      </c>
      <c r="B815" s="20" t="s">
        <v>122</v>
      </c>
      <c r="C815" s="20" t="s">
        <v>47</v>
      </c>
      <c r="D815" s="20">
        <v>2260</v>
      </c>
      <c r="E815" s="38">
        <v>500</v>
      </c>
      <c r="F815" s="20" t="s">
        <v>8</v>
      </c>
      <c r="G815" s="43">
        <v>45</v>
      </c>
      <c r="H815" s="43">
        <v>48</v>
      </c>
      <c r="I815" s="43">
        <v>0</v>
      </c>
      <c r="J815" s="43">
        <v>0</v>
      </c>
      <c r="K815" s="1">
        <f t="shared" si="774"/>
        <v>1500</v>
      </c>
      <c r="L815" s="43">
        <v>0</v>
      </c>
      <c r="M815" s="43">
        <v>0</v>
      </c>
      <c r="N815" s="1">
        <f t="shared" si="772"/>
        <v>3</v>
      </c>
      <c r="O815" s="1">
        <f t="shared" si="750"/>
        <v>1500</v>
      </c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</row>
    <row r="816" spans="1:33" s="32" customFormat="1" ht="15" customHeight="1">
      <c r="A816" s="37">
        <v>43649</v>
      </c>
      <c r="B816" s="20" t="s">
        <v>73</v>
      </c>
      <c r="C816" s="20" t="s">
        <v>47</v>
      </c>
      <c r="D816" s="20">
        <v>1580</v>
      </c>
      <c r="E816" s="38">
        <v>375</v>
      </c>
      <c r="F816" s="20" t="s">
        <v>8</v>
      </c>
      <c r="G816" s="43">
        <v>36</v>
      </c>
      <c r="H816" s="43">
        <v>35</v>
      </c>
      <c r="I816" s="43">
        <v>0</v>
      </c>
      <c r="J816" s="43">
        <v>0</v>
      </c>
      <c r="K816" s="1">
        <f t="shared" si="774"/>
        <v>-375</v>
      </c>
      <c r="L816" s="43">
        <v>0</v>
      </c>
      <c r="M816" s="43">
        <v>0</v>
      </c>
      <c r="N816" s="1">
        <f t="shared" si="772"/>
        <v>-1</v>
      </c>
      <c r="O816" s="1">
        <f t="shared" si="750"/>
        <v>-375</v>
      </c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</row>
    <row r="817" spans="1:33" s="32" customFormat="1" ht="15" customHeight="1">
      <c r="A817" s="37">
        <v>43648</v>
      </c>
      <c r="B817" s="20" t="s">
        <v>60</v>
      </c>
      <c r="C817" s="20" t="s">
        <v>46</v>
      </c>
      <c r="D817" s="20">
        <v>175</v>
      </c>
      <c r="E817" s="38">
        <v>3000</v>
      </c>
      <c r="F817" s="20" t="s">
        <v>8</v>
      </c>
      <c r="G817" s="43">
        <v>6.7</v>
      </c>
      <c r="H817" s="43">
        <v>7.2</v>
      </c>
      <c r="I817" s="43">
        <v>8.0500000000000007</v>
      </c>
      <c r="J817" s="43">
        <v>0</v>
      </c>
      <c r="K817" s="1">
        <f t="shared" ref="K817:K820" si="775">(IF(F817="SELL",G817-H817,IF(F817="BUY",H817-G817)))*E817</f>
        <v>1500</v>
      </c>
      <c r="L817" s="43">
        <f>E817*0.85</f>
        <v>2550</v>
      </c>
      <c r="M817" s="43">
        <v>0</v>
      </c>
      <c r="N817" s="1">
        <f t="shared" si="772"/>
        <v>1.35</v>
      </c>
      <c r="O817" s="1">
        <f t="shared" ref="O817:O880" si="776">N817*E817</f>
        <v>4050.0000000000005</v>
      </c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</row>
    <row r="818" spans="1:33" s="32" customFormat="1" ht="15" customHeight="1">
      <c r="A818" s="37">
        <v>43648</v>
      </c>
      <c r="B818" s="20" t="s">
        <v>26</v>
      </c>
      <c r="C818" s="20" t="s">
        <v>46</v>
      </c>
      <c r="D818" s="20">
        <v>500</v>
      </c>
      <c r="E818" s="38">
        <v>1061</v>
      </c>
      <c r="F818" s="20" t="s">
        <v>8</v>
      </c>
      <c r="G818" s="43">
        <v>20.5</v>
      </c>
      <c r="H818" s="43">
        <v>18.5</v>
      </c>
      <c r="I818" s="43">
        <v>0</v>
      </c>
      <c r="J818" s="43">
        <v>0</v>
      </c>
      <c r="K818" s="1">
        <f t="shared" si="775"/>
        <v>-2122</v>
      </c>
      <c r="L818" s="43">
        <v>0</v>
      </c>
      <c r="M818" s="43">
        <v>0</v>
      </c>
      <c r="N818" s="1">
        <f t="shared" si="772"/>
        <v>-2</v>
      </c>
      <c r="O818" s="1">
        <f t="shared" si="776"/>
        <v>-2122</v>
      </c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</row>
    <row r="819" spans="1:33" s="32" customFormat="1" ht="15" customHeight="1">
      <c r="A819" s="37">
        <v>43648</v>
      </c>
      <c r="B819" s="20" t="s">
        <v>179</v>
      </c>
      <c r="C819" s="20" t="s">
        <v>46</v>
      </c>
      <c r="D819" s="20">
        <v>120</v>
      </c>
      <c r="E819" s="38">
        <v>4500</v>
      </c>
      <c r="F819" s="20" t="s">
        <v>8</v>
      </c>
      <c r="G819" s="43">
        <v>4.5</v>
      </c>
      <c r="H819" s="43">
        <v>4.5</v>
      </c>
      <c r="I819" s="43">
        <v>0</v>
      </c>
      <c r="J819" s="43">
        <v>0</v>
      </c>
      <c r="K819" s="1">
        <f t="shared" si="775"/>
        <v>0</v>
      </c>
      <c r="L819" s="43">
        <v>0</v>
      </c>
      <c r="M819" s="43">
        <v>0</v>
      </c>
      <c r="N819" s="1">
        <f t="shared" si="772"/>
        <v>0</v>
      </c>
      <c r="O819" s="1">
        <f t="shared" si="776"/>
        <v>0</v>
      </c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</row>
    <row r="820" spans="1:33" s="32" customFormat="1" ht="15" customHeight="1">
      <c r="A820" s="37">
        <v>43648</v>
      </c>
      <c r="B820" s="20" t="s">
        <v>433</v>
      </c>
      <c r="C820" s="20" t="s">
        <v>46</v>
      </c>
      <c r="D820" s="20">
        <v>140</v>
      </c>
      <c r="E820" s="38">
        <v>4800</v>
      </c>
      <c r="F820" s="20" t="s">
        <v>8</v>
      </c>
      <c r="G820" s="43">
        <v>2.35</v>
      </c>
      <c r="H820" s="43">
        <v>2.35</v>
      </c>
      <c r="I820" s="43">
        <v>0</v>
      </c>
      <c r="J820" s="43">
        <v>0</v>
      </c>
      <c r="K820" s="1">
        <f t="shared" si="775"/>
        <v>0</v>
      </c>
      <c r="L820" s="43">
        <v>0</v>
      </c>
      <c r="M820" s="43">
        <v>0</v>
      </c>
      <c r="N820" s="1">
        <f t="shared" si="772"/>
        <v>0</v>
      </c>
      <c r="O820" s="1">
        <f t="shared" si="776"/>
        <v>0</v>
      </c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</row>
    <row r="821" spans="1:33" s="32" customFormat="1" ht="15" customHeight="1">
      <c r="A821" s="37">
        <v>43647</v>
      </c>
      <c r="B821" s="20" t="s">
        <v>67</v>
      </c>
      <c r="C821" s="20" t="s">
        <v>47</v>
      </c>
      <c r="D821" s="20">
        <v>950</v>
      </c>
      <c r="E821" s="38">
        <v>600</v>
      </c>
      <c r="F821" s="20" t="s">
        <v>8</v>
      </c>
      <c r="G821" s="43">
        <v>33</v>
      </c>
      <c r="H821" s="43">
        <v>35.5</v>
      </c>
      <c r="I821" s="43">
        <v>0</v>
      </c>
      <c r="J821" s="43">
        <v>0</v>
      </c>
      <c r="K821" s="1">
        <f t="shared" ref="K821:K823" si="777">(IF(F821="SELL",G821-H821,IF(F821="BUY",H821-G821)))*E821</f>
        <v>1500</v>
      </c>
      <c r="L821" s="43">
        <v>0</v>
      </c>
      <c r="M821" s="43">
        <v>0</v>
      </c>
      <c r="N821" s="1">
        <f t="shared" si="772"/>
        <v>2.5</v>
      </c>
      <c r="O821" s="1">
        <f t="shared" si="776"/>
        <v>1500</v>
      </c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</row>
    <row r="822" spans="1:33" s="32" customFormat="1" ht="15" customHeight="1">
      <c r="A822" s="37">
        <v>43647</v>
      </c>
      <c r="B822" s="20" t="s">
        <v>175</v>
      </c>
      <c r="C822" s="20" t="s">
        <v>47</v>
      </c>
      <c r="D822" s="20">
        <v>3750</v>
      </c>
      <c r="E822" s="38">
        <v>250</v>
      </c>
      <c r="F822" s="20" t="s">
        <v>8</v>
      </c>
      <c r="G822" s="43">
        <v>79</v>
      </c>
      <c r="H822" s="43">
        <v>74</v>
      </c>
      <c r="I822" s="43">
        <v>0</v>
      </c>
      <c r="J822" s="43">
        <v>0</v>
      </c>
      <c r="K822" s="1">
        <f t="shared" si="777"/>
        <v>-1250</v>
      </c>
      <c r="L822" s="43">
        <v>0</v>
      </c>
      <c r="M822" s="43">
        <v>0</v>
      </c>
      <c r="N822" s="1">
        <f t="shared" si="772"/>
        <v>-5</v>
      </c>
      <c r="O822" s="1">
        <f t="shared" si="776"/>
        <v>-1250</v>
      </c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</row>
    <row r="823" spans="1:33" s="32" customFormat="1" ht="15" customHeight="1">
      <c r="A823" s="37">
        <v>43647</v>
      </c>
      <c r="B823" s="20" t="s">
        <v>22</v>
      </c>
      <c r="C823" s="20" t="s">
        <v>47</v>
      </c>
      <c r="D823" s="20">
        <v>190</v>
      </c>
      <c r="E823" s="38">
        <v>2600</v>
      </c>
      <c r="F823" s="20" t="s">
        <v>8</v>
      </c>
      <c r="G823" s="43">
        <v>8.5</v>
      </c>
      <c r="H823" s="43">
        <v>8.5</v>
      </c>
      <c r="I823" s="43">
        <v>0</v>
      </c>
      <c r="J823" s="43">
        <v>0</v>
      </c>
      <c r="K823" s="1">
        <f t="shared" si="777"/>
        <v>0</v>
      </c>
      <c r="L823" s="43">
        <v>0</v>
      </c>
      <c r="M823" s="43">
        <v>0</v>
      </c>
      <c r="N823" s="1">
        <f t="shared" si="772"/>
        <v>0</v>
      </c>
      <c r="O823" s="1">
        <f t="shared" si="776"/>
        <v>0</v>
      </c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</row>
    <row r="824" spans="1:33" s="32" customFormat="1" ht="15" customHeight="1">
      <c r="A824" s="37">
        <v>43644</v>
      </c>
      <c r="B824" s="20" t="s">
        <v>400</v>
      </c>
      <c r="C824" s="20" t="s">
        <v>46</v>
      </c>
      <c r="D824" s="20">
        <v>500</v>
      </c>
      <c r="E824" s="38">
        <v>1061</v>
      </c>
      <c r="F824" s="20" t="s">
        <v>8</v>
      </c>
      <c r="G824" s="43">
        <v>19</v>
      </c>
      <c r="H824" s="43">
        <v>21.5</v>
      </c>
      <c r="I824" s="43">
        <v>0</v>
      </c>
      <c r="J824" s="43">
        <v>0</v>
      </c>
      <c r="K824" s="1">
        <f t="shared" ref="K824:K827" si="778">(IF(F824="SELL",G824-H824,IF(F824="BUY",H824-G824)))*E824</f>
        <v>2652.5</v>
      </c>
      <c r="L824" s="43">
        <v>0</v>
      </c>
      <c r="M824" s="43">
        <v>0</v>
      </c>
      <c r="N824" s="1">
        <f t="shared" si="772"/>
        <v>2.5</v>
      </c>
      <c r="O824" s="1">
        <f t="shared" si="776"/>
        <v>2652.5</v>
      </c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</row>
    <row r="825" spans="1:33" s="32" customFormat="1" ht="15" customHeight="1">
      <c r="A825" s="37">
        <v>43644</v>
      </c>
      <c r="B825" s="20" t="s">
        <v>421</v>
      </c>
      <c r="C825" s="20" t="s">
        <v>47</v>
      </c>
      <c r="D825" s="20">
        <v>360</v>
      </c>
      <c r="E825" s="38">
        <v>3000</v>
      </c>
      <c r="F825" s="20" t="s">
        <v>8</v>
      </c>
      <c r="G825" s="43">
        <v>13.8</v>
      </c>
      <c r="H825" s="43">
        <v>14.3</v>
      </c>
      <c r="I825" s="43">
        <v>0</v>
      </c>
      <c r="J825" s="43">
        <v>0</v>
      </c>
      <c r="K825" s="1">
        <f t="shared" si="778"/>
        <v>1500</v>
      </c>
      <c r="L825" s="43">
        <v>0</v>
      </c>
      <c r="M825" s="43">
        <v>0</v>
      </c>
      <c r="N825" s="1">
        <f t="shared" si="772"/>
        <v>0.5</v>
      </c>
      <c r="O825" s="1">
        <f t="shared" si="776"/>
        <v>1500</v>
      </c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</row>
    <row r="826" spans="1:33" s="32" customFormat="1" ht="15" customHeight="1">
      <c r="A826" s="37">
        <v>43644</v>
      </c>
      <c r="B826" s="20" t="s">
        <v>20</v>
      </c>
      <c r="C826" s="20" t="s">
        <v>46</v>
      </c>
      <c r="D826" s="20">
        <v>740</v>
      </c>
      <c r="E826" s="38">
        <v>1200</v>
      </c>
      <c r="F826" s="20" t="s">
        <v>8</v>
      </c>
      <c r="G826" s="43">
        <v>21</v>
      </c>
      <c r="H826" s="43">
        <v>22.3</v>
      </c>
      <c r="I826" s="43">
        <v>0</v>
      </c>
      <c r="J826" s="43">
        <v>0</v>
      </c>
      <c r="K826" s="1">
        <f t="shared" si="778"/>
        <v>1560.0000000000009</v>
      </c>
      <c r="L826" s="43">
        <v>0</v>
      </c>
      <c r="M826" s="43">
        <v>0</v>
      </c>
      <c r="N826" s="1">
        <f t="shared" si="772"/>
        <v>1.3000000000000007</v>
      </c>
      <c r="O826" s="1">
        <f t="shared" si="776"/>
        <v>1560.0000000000009</v>
      </c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</row>
    <row r="827" spans="1:33" s="32" customFormat="1" ht="15" customHeight="1">
      <c r="A827" s="37">
        <v>43644</v>
      </c>
      <c r="B827" s="20" t="s">
        <v>98</v>
      </c>
      <c r="C827" s="20" t="s">
        <v>47</v>
      </c>
      <c r="D827" s="20">
        <v>250</v>
      </c>
      <c r="E827" s="38">
        <v>1800</v>
      </c>
      <c r="F827" s="20" t="s">
        <v>8</v>
      </c>
      <c r="G827" s="43">
        <v>10</v>
      </c>
      <c r="H827" s="43">
        <v>9.4499999999999993</v>
      </c>
      <c r="I827" s="43">
        <v>0</v>
      </c>
      <c r="J827" s="43">
        <v>0</v>
      </c>
      <c r="K827" s="1">
        <f t="shared" si="778"/>
        <v>-990.00000000000125</v>
      </c>
      <c r="L827" s="43">
        <v>0</v>
      </c>
      <c r="M827" s="43">
        <v>0</v>
      </c>
      <c r="N827" s="1">
        <f t="shared" si="772"/>
        <v>-0.55000000000000071</v>
      </c>
      <c r="O827" s="1">
        <f t="shared" si="776"/>
        <v>-990.00000000000125</v>
      </c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</row>
    <row r="828" spans="1:33" s="32" customFormat="1" ht="15" customHeight="1">
      <c r="A828" s="37">
        <v>43643</v>
      </c>
      <c r="B828" s="20" t="s">
        <v>67</v>
      </c>
      <c r="C828" s="20" t="s">
        <v>47</v>
      </c>
      <c r="D828" s="20">
        <v>950</v>
      </c>
      <c r="E828" s="38">
        <v>600</v>
      </c>
      <c r="F828" s="20" t="s">
        <v>8</v>
      </c>
      <c r="G828" s="43">
        <v>7</v>
      </c>
      <c r="H828" s="43">
        <v>9.5</v>
      </c>
      <c r="I828" s="43">
        <v>0</v>
      </c>
      <c r="J828" s="43">
        <v>0</v>
      </c>
      <c r="K828" s="1">
        <f t="shared" ref="K828:K830" si="779">(IF(F828="SELL",G828-H828,IF(F828="BUY",H828-G828)))*E828</f>
        <v>1500</v>
      </c>
      <c r="L828" s="43">
        <v>0</v>
      </c>
      <c r="M828" s="43">
        <v>0</v>
      </c>
      <c r="N828" s="1">
        <f t="shared" si="772"/>
        <v>2.5</v>
      </c>
      <c r="O828" s="1">
        <f t="shared" si="776"/>
        <v>1500</v>
      </c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</row>
    <row r="829" spans="1:33" s="32" customFormat="1" ht="15" customHeight="1">
      <c r="A829" s="37">
        <v>43643</v>
      </c>
      <c r="B829" s="20" t="s">
        <v>63</v>
      </c>
      <c r="C829" s="20" t="s">
        <v>425</v>
      </c>
      <c r="D829" s="20">
        <v>290</v>
      </c>
      <c r="E829" s="38">
        <v>2100</v>
      </c>
      <c r="F829" s="20" t="s">
        <v>8</v>
      </c>
      <c r="G829" s="43">
        <v>1.4</v>
      </c>
      <c r="H829" s="43">
        <v>2.2000000000000002</v>
      </c>
      <c r="I829" s="43">
        <v>0</v>
      </c>
      <c r="J829" s="43">
        <v>0</v>
      </c>
      <c r="K829" s="1">
        <f t="shared" si="779"/>
        <v>1680.0000000000005</v>
      </c>
      <c r="L829" s="43">
        <v>0</v>
      </c>
      <c r="M829" s="43">
        <v>0</v>
      </c>
      <c r="N829" s="1">
        <f t="shared" si="772"/>
        <v>0.80000000000000027</v>
      </c>
      <c r="O829" s="1">
        <f t="shared" si="776"/>
        <v>1680.0000000000005</v>
      </c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</row>
    <row r="830" spans="1:33" s="32" customFormat="1" ht="15" customHeight="1">
      <c r="A830" s="37">
        <v>43643</v>
      </c>
      <c r="B830" s="20" t="s">
        <v>17</v>
      </c>
      <c r="C830" s="20" t="s">
        <v>47</v>
      </c>
      <c r="D830" s="20">
        <v>800</v>
      </c>
      <c r="E830" s="38">
        <v>1200</v>
      </c>
      <c r="F830" s="20" t="s">
        <v>8</v>
      </c>
      <c r="G830" s="43">
        <v>6</v>
      </c>
      <c r="H830" s="43">
        <v>4</v>
      </c>
      <c r="I830" s="43">
        <v>0</v>
      </c>
      <c r="J830" s="43">
        <v>0</v>
      </c>
      <c r="K830" s="1">
        <f t="shared" si="779"/>
        <v>-2400</v>
      </c>
      <c r="L830" s="43">
        <v>0</v>
      </c>
      <c r="M830" s="43">
        <v>0</v>
      </c>
      <c r="N830" s="1">
        <f t="shared" si="772"/>
        <v>-2</v>
      </c>
      <c r="O830" s="1">
        <f t="shared" si="776"/>
        <v>-2400</v>
      </c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</row>
    <row r="831" spans="1:33" s="32" customFormat="1" ht="15" customHeight="1">
      <c r="A831" s="37">
        <v>43642</v>
      </c>
      <c r="B831" s="20" t="s">
        <v>400</v>
      </c>
      <c r="C831" s="20" t="s">
        <v>47</v>
      </c>
      <c r="D831" s="20">
        <v>500</v>
      </c>
      <c r="E831" s="38">
        <v>1061</v>
      </c>
      <c r="F831" s="20" t="s">
        <v>8</v>
      </c>
      <c r="G831" s="43">
        <v>4</v>
      </c>
      <c r="H831" s="43">
        <v>6.5</v>
      </c>
      <c r="I831" s="43">
        <v>9</v>
      </c>
      <c r="J831" s="43">
        <v>13.3</v>
      </c>
      <c r="K831" s="1">
        <f t="shared" ref="K831:K834" si="780">(IF(F831="SELL",G831-H831,IF(F831="BUY",H831-G831)))*E831</f>
        <v>2652.5</v>
      </c>
      <c r="L831" s="43">
        <f>E831*2.5</f>
        <v>2652.5</v>
      </c>
      <c r="M831" s="43">
        <f>E831*4.3</f>
        <v>4562.3</v>
      </c>
      <c r="N831" s="1">
        <f t="shared" si="772"/>
        <v>9.2999999999999989</v>
      </c>
      <c r="O831" s="1">
        <f t="shared" si="776"/>
        <v>9867.2999999999993</v>
      </c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</row>
    <row r="832" spans="1:33" s="32" customFormat="1" ht="15" customHeight="1">
      <c r="A832" s="37">
        <v>43642</v>
      </c>
      <c r="B832" s="20" t="s">
        <v>16</v>
      </c>
      <c r="C832" s="20" t="s">
        <v>47</v>
      </c>
      <c r="D832" s="20">
        <v>410</v>
      </c>
      <c r="E832" s="38">
        <v>2500</v>
      </c>
      <c r="F832" s="20" t="s">
        <v>8</v>
      </c>
      <c r="G832" s="43">
        <v>3.5</v>
      </c>
      <c r="H832" s="43">
        <v>4.0999999999999996</v>
      </c>
      <c r="I832" s="43">
        <v>5.5</v>
      </c>
      <c r="J832" s="43">
        <v>0</v>
      </c>
      <c r="K832" s="1">
        <f t="shared" si="780"/>
        <v>1499.9999999999991</v>
      </c>
      <c r="L832" s="43">
        <f>E832*1.4</f>
        <v>3500</v>
      </c>
      <c r="M832" s="43">
        <v>0</v>
      </c>
      <c r="N832" s="1">
        <f t="shared" si="772"/>
        <v>1.9999999999999996</v>
      </c>
      <c r="O832" s="1">
        <f t="shared" si="776"/>
        <v>4999.9999999999991</v>
      </c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</row>
    <row r="833" spans="1:33" s="32" customFormat="1" ht="15" customHeight="1">
      <c r="A833" s="37">
        <v>43642</v>
      </c>
      <c r="B833" s="20" t="s">
        <v>17</v>
      </c>
      <c r="C833" s="20" t="s">
        <v>47</v>
      </c>
      <c r="D833" s="20">
        <v>780</v>
      </c>
      <c r="E833" s="38">
        <v>1200</v>
      </c>
      <c r="F833" s="20" t="s">
        <v>8</v>
      </c>
      <c r="G833" s="43">
        <v>11.5</v>
      </c>
      <c r="H833" s="43">
        <v>12.8</v>
      </c>
      <c r="I833" s="43">
        <v>0</v>
      </c>
      <c r="J833" s="43">
        <v>0</v>
      </c>
      <c r="K833" s="1">
        <f t="shared" si="780"/>
        <v>1560.0000000000009</v>
      </c>
      <c r="L833" s="43">
        <v>0</v>
      </c>
      <c r="M833" s="43">
        <v>0</v>
      </c>
      <c r="N833" s="1">
        <f t="shared" si="772"/>
        <v>1.3000000000000007</v>
      </c>
      <c r="O833" s="1">
        <f t="shared" si="776"/>
        <v>1560.0000000000009</v>
      </c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</row>
    <row r="834" spans="1:33" s="32" customFormat="1" ht="15" customHeight="1">
      <c r="A834" s="37">
        <v>43642</v>
      </c>
      <c r="B834" s="20" t="s">
        <v>131</v>
      </c>
      <c r="C834" s="20" t="s">
        <v>47</v>
      </c>
      <c r="D834" s="20">
        <v>220</v>
      </c>
      <c r="E834" s="38">
        <v>2500</v>
      </c>
      <c r="F834" s="20" t="s">
        <v>8</v>
      </c>
      <c r="G834" s="43">
        <v>1.5</v>
      </c>
      <c r="H834" s="43">
        <v>0.9</v>
      </c>
      <c r="I834" s="43">
        <v>0</v>
      </c>
      <c r="J834" s="43">
        <v>0</v>
      </c>
      <c r="K834" s="1">
        <f t="shared" si="780"/>
        <v>-1500</v>
      </c>
      <c r="L834" s="43">
        <v>0</v>
      </c>
      <c r="M834" s="43">
        <v>0</v>
      </c>
      <c r="N834" s="1">
        <f t="shared" si="772"/>
        <v>-0.6</v>
      </c>
      <c r="O834" s="1">
        <f t="shared" si="776"/>
        <v>-1500</v>
      </c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</row>
    <row r="835" spans="1:33" s="32" customFormat="1" ht="15" customHeight="1">
      <c r="A835" s="37">
        <v>43641</v>
      </c>
      <c r="B835" s="20" t="s">
        <v>21</v>
      </c>
      <c r="C835" s="20" t="s">
        <v>47</v>
      </c>
      <c r="D835" s="20">
        <v>350</v>
      </c>
      <c r="E835" s="38">
        <v>3000</v>
      </c>
      <c r="F835" s="20" t="s">
        <v>8</v>
      </c>
      <c r="G835" s="43">
        <v>5</v>
      </c>
      <c r="H835" s="43">
        <v>5.75</v>
      </c>
      <c r="I835" s="43">
        <v>7</v>
      </c>
      <c r="J835" s="43">
        <v>0</v>
      </c>
      <c r="K835" s="1">
        <f t="shared" ref="K835:K837" si="781">(IF(F835="SELL",G835-H835,IF(F835="BUY",H835-G835)))*E835</f>
        <v>2250</v>
      </c>
      <c r="L835" s="43">
        <f>E835*1.25</f>
        <v>3750</v>
      </c>
      <c r="M835" s="43">
        <v>0</v>
      </c>
      <c r="N835" s="1">
        <f t="shared" si="772"/>
        <v>2</v>
      </c>
      <c r="O835" s="1">
        <f t="shared" si="776"/>
        <v>6000</v>
      </c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</row>
    <row r="836" spans="1:33" s="32" customFormat="1" ht="15" customHeight="1">
      <c r="A836" s="37">
        <v>43641</v>
      </c>
      <c r="B836" s="20" t="s">
        <v>431</v>
      </c>
      <c r="C836" s="20" t="s">
        <v>47</v>
      </c>
      <c r="D836" s="20">
        <v>260</v>
      </c>
      <c r="E836" s="38">
        <v>2000</v>
      </c>
      <c r="F836" s="20" t="s">
        <v>8</v>
      </c>
      <c r="G836" s="43">
        <v>3.5</v>
      </c>
      <c r="H836" s="43">
        <v>5</v>
      </c>
      <c r="I836" s="43">
        <v>0</v>
      </c>
      <c r="J836" s="43">
        <v>0</v>
      </c>
      <c r="K836" s="1">
        <f t="shared" si="781"/>
        <v>3000</v>
      </c>
      <c r="L836" s="43">
        <v>0</v>
      </c>
      <c r="M836" s="43">
        <v>0</v>
      </c>
      <c r="N836" s="1">
        <f t="shared" si="772"/>
        <v>1.5</v>
      </c>
      <c r="O836" s="1">
        <f t="shared" si="776"/>
        <v>3000</v>
      </c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</row>
    <row r="837" spans="1:33" s="32" customFormat="1" ht="15" customHeight="1">
      <c r="A837" s="37">
        <v>43641</v>
      </c>
      <c r="B837" s="20" t="s">
        <v>432</v>
      </c>
      <c r="C837" s="20" t="s">
        <v>47</v>
      </c>
      <c r="D837" s="20">
        <v>290</v>
      </c>
      <c r="E837" s="38">
        <v>1600</v>
      </c>
      <c r="F837" s="20" t="s">
        <v>8</v>
      </c>
      <c r="G837" s="43">
        <v>8</v>
      </c>
      <c r="H837" s="43">
        <v>4</v>
      </c>
      <c r="I837" s="43">
        <v>0</v>
      </c>
      <c r="J837" s="43">
        <v>0</v>
      </c>
      <c r="K837" s="1">
        <f t="shared" si="781"/>
        <v>-6400</v>
      </c>
      <c r="L837" s="43">
        <v>0</v>
      </c>
      <c r="M837" s="43">
        <v>0</v>
      </c>
      <c r="N837" s="1">
        <f t="shared" si="772"/>
        <v>-4</v>
      </c>
      <c r="O837" s="1">
        <f t="shared" si="776"/>
        <v>-6400</v>
      </c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</row>
    <row r="838" spans="1:33" s="32" customFormat="1" ht="15" customHeight="1">
      <c r="A838" s="37">
        <v>43640</v>
      </c>
      <c r="B838" s="20" t="s">
        <v>67</v>
      </c>
      <c r="C838" s="20" t="s">
        <v>47</v>
      </c>
      <c r="D838" s="20">
        <v>910</v>
      </c>
      <c r="E838" s="38">
        <v>600</v>
      </c>
      <c r="F838" s="20" t="s">
        <v>8</v>
      </c>
      <c r="G838" s="43">
        <v>23</v>
      </c>
      <c r="H838" s="43">
        <v>25.5</v>
      </c>
      <c r="I838" s="43">
        <v>31</v>
      </c>
      <c r="J838" s="43">
        <v>0</v>
      </c>
      <c r="K838" s="1">
        <f t="shared" ref="K838:K842" si="782">(IF(F838="SELL",G838-H838,IF(F838="BUY",H838-G838)))*E838</f>
        <v>1500</v>
      </c>
      <c r="L838" s="43">
        <f>E838*5.5</f>
        <v>3300</v>
      </c>
      <c r="M838" s="43">
        <v>0</v>
      </c>
      <c r="N838" s="1">
        <f t="shared" si="772"/>
        <v>8</v>
      </c>
      <c r="O838" s="1">
        <f t="shared" si="776"/>
        <v>4800</v>
      </c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</row>
    <row r="839" spans="1:33" s="32" customFormat="1" ht="15" customHeight="1">
      <c r="A839" s="37">
        <v>43640</v>
      </c>
      <c r="B839" s="20" t="s">
        <v>414</v>
      </c>
      <c r="C839" s="20" t="s">
        <v>47</v>
      </c>
      <c r="D839" s="20">
        <v>110</v>
      </c>
      <c r="E839" s="38">
        <v>1750</v>
      </c>
      <c r="F839" s="20" t="s">
        <v>8</v>
      </c>
      <c r="G839" s="43">
        <v>4.5</v>
      </c>
      <c r="H839" s="43">
        <v>5.85</v>
      </c>
      <c r="I839" s="43">
        <v>0</v>
      </c>
      <c r="J839" s="43">
        <v>0</v>
      </c>
      <c r="K839" s="1">
        <f t="shared" si="782"/>
        <v>2362.4999999999995</v>
      </c>
      <c r="L839" s="43">
        <v>0</v>
      </c>
      <c r="M839" s="43">
        <v>0</v>
      </c>
      <c r="N839" s="1">
        <f t="shared" si="772"/>
        <v>1.3499999999999996</v>
      </c>
      <c r="O839" s="1">
        <f t="shared" si="776"/>
        <v>2362.4999999999995</v>
      </c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</row>
    <row r="840" spans="1:33" s="32" customFormat="1" ht="15" customHeight="1">
      <c r="A840" s="37">
        <v>43640</v>
      </c>
      <c r="B840" s="20" t="s">
        <v>26</v>
      </c>
      <c r="C840" s="20" t="s">
        <v>46</v>
      </c>
      <c r="D840" s="20">
        <v>490</v>
      </c>
      <c r="E840" s="38">
        <v>1061</v>
      </c>
      <c r="F840" s="20" t="s">
        <v>8</v>
      </c>
      <c r="G840" s="43">
        <v>6.5</v>
      </c>
      <c r="H840" s="43">
        <v>9</v>
      </c>
      <c r="I840" s="43">
        <v>0</v>
      </c>
      <c r="J840" s="43">
        <v>0</v>
      </c>
      <c r="K840" s="1">
        <f t="shared" si="782"/>
        <v>2652.5</v>
      </c>
      <c r="L840" s="43">
        <v>0</v>
      </c>
      <c r="M840" s="43">
        <v>0</v>
      </c>
      <c r="N840" s="1">
        <f t="shared" si="772"/>
        <v>2.5</v>
      </c>
      <c r="O840" s="1">
        <f t="shared" si="776"/>
        <v>2652.5</v>
      </c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</row>
    <row r="841" spans="1:33" s="32" customFormat="1" ht="15" customHeight="1">
      <c r="A841" s="37">
        <v>43640</v>
      </c>
      <c r="B841" s="20" t="s">
        <v>424</v>
      </c>
      <c r="C841" s="20" t="s">
        <v>47</v>
      </c>
      <c r="D841" s="20">
        <v>1300</v>
      </c>
      <c r="E841" s="38">
        <v>750</v>
      </c>
      <c r="F841" s="20" t="s">
        <v>8</v>
      </c>
      <c r="G841" s="43">
        <v>14</v>
      </c>
      <c r="H841" s="43">
        <v>16</v>
      </c>
      <c r="I841" s="43">
        <v>0</v>
      </c>
      <c r="J841" s="43">
        <v>0</v>
      </c>
      <c r="K841" s="1">
        <f t="shared" si="782"/>
        <v>1500</v>
      </c>
      <c r="L841" s="43">
        <v>0</v>
      </c>
      <c r="M841" s="43">
        <v>0</v>
      </c>
      <c r="N841" s="1">
        <f t="shared" si="772"/>
        <v>2</v>
      </c>
      <c r="O841" s="1">
        <f t="shared" si="776"/>
        <v>1500</v>
      </c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</row>
    <row r="842" spans="1:33" s="32" customFormat="1" ht="15" customHeight="1">
      <c r="A842" s="37">
        <v>43640</v>
      </c>
      <c r="B842" s="20" t="s">
        <v>107</v>
      </c>
      <c r="C842" s="20" t="s">
        <v>46</v>
      </c>
      <c r="D842" s="20">
        <v>380</v>
      </c>
      <c r="E842" s="38">
        <v>1100</v>
      </c>
      <c r="F842" s="20" t="s">
        <v>8</v>
      </c>
      <c r="G842" s="43">
        <v>6.5</v>
      </c>
      <c r="H842" s="43">
        <v>3.6</v>
      </c>
      <c r="I842" s="43">
        <v>0</v>
      </c>
      <c r="J842" s="43">
        <v>0</v>
      </c>
      <c r="K842" s="1">
        <f t="shared" si="782"/>
        <v>-3190</v>
      </c>
      <c r="L842" s="43">
        <v>0</v>
      </c>
      <c r="M842" s="43">
        <v>0</v>
      </c>
      <c r="N842" s="1">
        <f t="shared" si="772"/>
        <v>-2.9</v>
      </c>
      <c r="O842" s="1">
        <f t="shared" si="776"/>
        <v>-3190</v>
      </c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</row>
    <row r="843" spans="1:33" s="32" customFormat="1" ht="15" customHeight="1">
      <c r="A843" s="37">
        <v>43637</v>
      </c>
      <c r="B843" s="20" t="s">
        <v>67</v>
      </c>
      <c r="C843" s="20" t="s">
        <v>47</v>
      </c>
      <c r="D843" s="20">
        <v>900</v>
      </c>
      <c r="E843" s="38">
        <v>600</v>
      </c>
      <c r="F843" s="20" t="s">
        <v>8</v>
      </c>
      <c r="G843" s="43">
        <v>24.5</v>
      </c>
      <c r="H843" s="43">
        <v>27</v>
      </c>
      <c r="I843" s="43">
        <v>32</v>
      </c>
      <c r="J843" s="43">
        <v>0</v>
      </c>
      <c r="K843" s="1">
        <f t="shared" ref="K843:K846" si="783">(IF(F843="SELL",G843-H843,IF(F843="BUY",H843-G843)))*E843</f>
        <v>1500</v>
      </c>
      <c r="L843" s="43">
        <f>E843*5</f>
        <v>3000</v>
      </c>
      <c r="M843" s="43">
        <v>0</v>
      </c>
      <c r="N843" s="1">
        <f t="shared" si="772"/>
        <v>7.5</v>
      </c>
      <c r="O843" s="1">
        <f t="shared" si="776"/>
        <v>4500</v>
      </c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</row>
    <row r="844" spans="1:33" s="32" customFormat="1" ht="15" customHeight="1">
      <c r="A844" s="37">
        <v>43637</v>
      </c>
      <c r="B844" s="20" t="s">
        <v>406</v>
      </c>
      <c r="C844" s="20" t="s">
        <v>47</v>
      </c>
      <c r="D844" s="20">
        <v>390</v>
      </c>
      <c r="E844" s="38">
        <v>1250</v>
      </c>
      <c r="F844" s="20" t="s">
        <v>8</v>
      </c>
      <c r="G844" s="43">
        <v>5.0999999999999996</v>
      </c>
      <c r="H844" s="43">
        <v>6.05</v>
      </c>
      <c r="I844" s="43">
        <v>0</v>
      </c>
      <c r="J844" s="43">
        <v>0</v>
      </c>
      <c r="K844" s="1">
        <f t="shared" si="783"/>
        <v>1187.5000000000002</v>
      </c>
      <c r="L844" s="43">
        <v>0</v>
      </c>
      <c r="M844" s="43">
        <v>0</v>
      </c>
      <c r="N844" s="1">
        <f t="shared" si="772"/>
        <v>0.95000000000000018</v>
      </c>
      <c r="O844" s="1">
        <f t="shared" si="776"/>
        <v>1187.5000000000002</v>
      </c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</row>
    <row r="845" spans="1:33" s="32" customFormat="1" ht="15" customHeight="1">
      <c r="A845" s="37">
        <v>43637</v>
      </c>
      <c r="B845" s="20" t="s">
        <v>21</v>
      </c>
      <c r="C845" s="20" t="s">
        <v>47</v>
      </c>
      <c r="D845" s="20">
        <v>350</v>
      </c>
      <c r="E845" s="38">
        <v>3000</v>
      </c>
      <c r="F845" s="20" t="s">
        <v>8</v>
      </c>
      <c r="G845" s="43">
        <v>4</v>
      </c>
      <c r="H845" s="43">
        <v>2.75</v>
      </c>
      <c r="I845" s="43">
        <v>0</v>
      </c>
      <c r="J845" s="43">
        <v>0</v>
      </c>
      <c r="K845" s="1">
        <f t="shared" si="783"/>
        <v>-3750</v>
      </c>
      <c r="L845" s="43">
        <v>0</v>
      </c>
      <c r="M845" s="43">
        <v>0</v>
      </c>
      <c r="N845" s="1">
        <f t="shared" si="772"/>
        <v>-1.25</v>
      </c>
      <c r="O845" s="1">
        <f t="shared" si="776"/>
        <v>-3750</v>
      </c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</row>
    <row r="846" spans="1:33" s="32" customFormat="1" ht="15" customHeight="1">
      <c r="A846" s="37">
        <v>43637</v>
      </c>
      <c r="B846" s="20" t="s">
        <v>430</v>
      </c>
      <c r="C846" s="20" t="s">
        <v>46</v>
      </c>
      <c r="D846" s="20">
        <v>620</v>
      </c>
      <c r="E846" s="38">
        <v>1000</v>
      </c>
      <c r="F846" s="20" t="s">
        <v>8</v>
      </c>
      <c r="G846" s="43">
        <v>7</v>
      </c>
      <c r="H846" s="43">
        <v>4.4000000000000004</v>
      </c>
      <c r="I846" s="43">
        <v>0</v>
      </c>
      <c r="J846" s="43">
        <v>0</v>
      </c>
      <c r="K846" s="1">
        <f t="shared" si="783"/>
        <v>-2599.9999999999995</v>
      </c>
      <c r="L846" s="43">
        <v>0</v>
      </c>
      <c r="M846" s="43">
        <v>0</v>
      </c>
      <c r="N846" s="1">
        <f t="shared" si="772"/>
        <v>-2.5999999999999996</v>
      </c>
      <c r="O846" s="1">
        <f t="shared" si="776"/>
        <v>-2599.9999999999995</v>
      </c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</row>
    <row r="847" spans="1:33" s="32" customFormat="1" ht="15" customHeight="1">
      <c r="A847" s="37">
        <v>43636</v>
      </c>
      <c r="B847" s="20" t="s">
        <v>369</v>
      </c>
      <c r="C847" s="20" t="s">
        <v>47</v>
      </c>
      <c r="D847" s="20">
        <v>260</v>
      </c>
      <c r="E847" s="38">
        <v>2000</v>
      </c>
      <c r="F847" s="20" t="s">
        <v>8</v>
      </c>
      <c r="G847" s="43">
        <v>8</v>
      </c>
      <c r="H847" s="43">
        <v>9.5</v>
      </c>
      <c r="I847" s="43">
        <v>11.5</v>
      </c>
      <c r="J847" s="43">
        <v>0</v>
      </c>
      <c r="K847" s="1">
        <f>(IF(F847="SELL",G847-H847,IF(F847="BUY",H847-G847)))*E847</f>
        <v>3000</v>
      </c>
      <c r="L847" s="43">
        <f>E847*2</f>
        <v>4000</v>
      </c>
      <c r="M847" s="43">
        <v>0</v>
      </c>
      <c r="N847" s="1">
        <f t="shared" si="772"/>
        <v>3.5</v>
      </c>
      <c r="O847" s="1">
        <f t="shared" si="776"/>
        <v>7000</v>
      </c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</row>
    <row r="848" spans="1:33" s="32" customFormat="1" ht="15" customHeight="1">
      <c r="A848" s="37">
        <v>43636</v>
      </c>
      <c r="B848" s="20" t="s">
        <v>22</v>
      </c>
      <c r="C848" s="20" t="s">
        <v>47</v>
      </c>
      <c r="D848" s="20">
        <v>175</v>
      </c>
      <c r="E848" s="38">
        <v>2600</v>
      </c>
      <c r="F848" s="20" t="s">
        <v>8</v>
      </c>
      <c r="G848" s="43">
        <v>5.2</v>
      </c>
      <c r="H848" s="43">
        <v>5.9</v>
      </c>
      <c r="I848" s="43">
        <v>7.2</v>
      </c>
      <c r="J848" s="43">
        <v>0</v>
      </c>
      <c r="K848" s="1">
        <f t="shared" ref="K848:K850" si="784">(IF(F848="SELL",G848-H848,IF(F848="BUY",H848-G848)))*E848</f>
        <v>1820.0000000000005</v>
      </c>
      <c r="L848" s="43">
        <f>E848*1.3</f>
        <v>3380</v>
      </c>
      <c r="M848" s="43">
        <v>0</v>
      </c>
      <c r="N848" s="1">
        <f t="shared" si="772"/>
        <v>2</v>
      </c>
      <c r="O848" s="1">
        <f t="shared" si="776"/>
        <v>5200</v>
      </c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</row>
    <row r="849" spans="1:33" s="32" customFormat="1" ht="15" customHeight="1">
      <c r="A849" s="37">
        <v>43636</v>
      </c>
      <c r="B849" s="20" t="s">
        <v>414</v>
      </c>
      <c r="C849" s="20" t="s">
        <v>47</v>
      </c>
      <c r="D849" s="20">
        <v>100</v>
      </c>
      <c r="E849" s="38">
        <v>1750</v>
      </c>
      <c r="F849" s="20" t="s">
        <v>8</v>
      </c>
      <c r="G849" s="43">
        <v>11</v>
      </c>
      <c r="H849" s="43">
        <v>12</v>
      </c>
      <c r="I849" s="43">
        <v>14</v>
      </c>
      <c r="J849" s="43">
        <v>0</v>
      </c>
      <c r="K849" s="1">
        <f t="shared" si="784"/>
        <v>1750</v>
      </c>
      <c r="L849" s="43">
        <f>E849*2</f>
        <v>3500</v>
      </c>
      <c r="M849" s="43">
        <v>0</v>
      </c>
      <c r="N849" s="1">
        <f t="shared" si="772"/>
        <v>3</v>
      </c>
      <c r="O849" s="1">
        <f t="shared" si="776"/>
        <v>5250</v>
      </c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</row>
    <row r="850" spans="1:33" s="32" customFormat="1" ht="15" customHeight="1">
      <c r="A850" s="37">
        <v>43636</v>
      </c>
      <c r="B850" s="20" t="s">
        <v>410</v>
      </c>
      <c r="C850" s="20" t="s">
        <v>46</v>
      </c>
      <c r="D850" s="20">
        <v>1580</v>
      </c>
      <c r="E850" s="38">
        <v>600</v>
      </c>
      <c r="F850" s="20" t="s">
        <v>8</v>
      </c>
      <c r="G850" s="43">
        <v>41</v>
      </c>
      <c r="H850" s="43">
        <v>37</v>
      </c>
      <c r="I850" s="43">
        <v>0</v>
      </c>
      <c r="J850" s="43">
        <v>0</v>
      </c>
      <c r="K850" s="1">
        <f t="shared" si="784"/>
        <v>-2400</v>
      </c>
      <c r="L850" s="43">
        <v>0</v>
      </c>
      <c r="M850" s="43">
        <v>0</v>
      </c>
      <c r="N850" s="1">
        <f t="shared" si="772"/>
        <v>-4</v>
      </c>
      <c r="O850" s="1">
        <f t="shared" si="776"/>
        <v>-2400</v>
      </c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</row>
    <row r="851" spans="1:33" s="32" customFormat="1" ht="15" customHeight="1">
      <c r="A851" s="37">
        <v>43635</v>
      </c>
      <c r="B851" s="20" t="s">
        <v>428</v>
      </c>
      <c r="C851" s="20" t="s">
        <v>425</v>
      </c>
      <c r="D851" s="20">
        <v>1420</v>
      </c>
      <c r="E851" s="38">
        <v>300</v>
      </c>
      <c r="F851" s="20" t="s">
        <v>8</v>
      </c>
      <c r="G851" s="43">
        <v>39</v>
      </c>
      <c r="H851" s="43">
        <v>45</v>
      </c>
      <c r="I851" s="43">
        <v>55</v>
      </c>
      <c r="J851" s="43">
        <v>65</v>
      </c>
      <c r="K851" s="1">
        <f t="shared" ref="K851:K853" si="785">(IF(F851="SELL",G851-H851,IF(F851="BUY",H851-G851)))*E851</f>
        <v>1800</v>
      </c>
      <c r="L851" s="43">
        <f>E851*10</f>
        <v>3000</v>
      </c>
      <c r="M851" s="43">
        <f>E851*10</f>
        <v>3000</v>
      </c>
      <c r="N851" s="1">
        <f t="shared" si="772"/>
        <v>26</v>
      </c>
      <c r="O851" s="1">
        <f t="shared" si="776"/>
        <v>7800</v>
      </c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</row>
    <row r="852" spans="1:33" s="32" customFormat="1" ht="15" customHeight="1">
      <c r="A852" s="37">
        <v>43635</v>
      </c>
      <c r="B852" s="20" t="s">
        <v>18</v>
      </c>
      <c r="C852" s="20" t="s">
        <v>425</v>
      </c>
      <c r="D852" s="20">
        <v>550</v>
      </c>
      <c r="E852" s="38">
        <v>1000</v>
      </c>
      <c r="F852" s="20" t="s">
        <v>8</v>
      </c>
      <c r="G852" s="43">
        <v>8</v>
      </c>
      <c r="H852" s="43">
        <v>10.5</v>
      </c>
      <c r="I852" s="43">
        <v>14</v>
      </c>
      <c r="J852" s="43">
        <v>0</v>
      </c>
      <c r="K852" s="1">
        <f t="shared" si="785"/>
        <v>2500</v>
      </c>
      <c r="L852" s="43">
        <f>E852*3.5</f>
        <v>3500</v>
      </c>
      <c r="M852" s="43">
        <v>0</v>
      </c>
      <c r="N852" s="1">
        <f t="shared" si="772"/>
        <v>6</v>
      </c>
      <c r="O852" s="1">
        <f t="shared" si="776"/>
        <v>6000</v>
      </c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</row>
    <row r="853" spans="1:33" s="32" customFormat="1" ht="15" customHeight="1">
      <c r="A853" s="37">
        <v>43635</v>
      </c>
      <c r="B853" s="20" t="s">
        <v>429</v>
      </c>
      <c r="C853" s="20" t="s">
        <v>47</v>
      </c>
      <c r="D853" s="20">
        <v>1060</v>
      </c>
      <c r="E853" s="38">
        <v>600</v>
      </c>
      <c r="F853" s="20" t="s">
        <v>8</v>
      </c>
      <c r="G853" s="43">
        <v>27</v>
      </c>
      <c r="H853" s="43">
        <v>29.5</v>
      </c>
      <c r="I853" s="43">
        <v>0</v>
      </c>
      <c r="J853" s="43">
        <v>0</v>
      </c>
      <c r="K853" s="1">
        <f t="shared" si="785"/>
        <v>1500</v>
      </c>
      <c r="L853" s="43">
        <v>0</v>
      </c>
      <c r="M853" s="43">
        <v>0</v>
      </c>
      <c r="N853" s="1">
        <f t="shared" si="772"/>
        <v>2.5</v>
      </c>
      <c r="O853" s="1">
        <f t="shared" si="776"/>
        <v>1500</v>
      </c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</row>
    <row r="854" spans="1:33" s="32" customFormat="1" ht="15" customHeight="1">
      <c r="A854" s="37">
        <v>43634</v>
      </c>
      <c r="B854" s="20" t="s">
        <v>411</v>
      </c>
      <c r="C854" s="20" t="s">
        <v>425</v>
      </c>
      <c r="D854" s="20">
        <v>120</v>
      </c>
      <c r="E854" s="38">
        <v>1750</v>
      </c>
      <c r="F854" s="20" t="s">
        <v>8</v>
      </c>
      <c r="G854" s="43">
        <v>8.8000000000000007</v>
      </c>
      <c r="H854" s="43">
        <v>9.6999999999999993</v>
      </c>
      <c r="I854" s="43">
        <v>11.5</v>
      </c>
      <c r="J854" s="43">
        <v>0</v>
      </c>
      <c r="K854" s="1">
        <f t="shared" ref="K854:K857" si="786">(IF(F854="SELL",G854-H854,IF(F854="BUY",H854-G854)))*E854</f>
        <v>1574.9999999999975</v>
      </c>
      <c r="L854" s="43">
        <f>E854*1.8</f>
        <v>3150</v>
      </c>
      <c r="M854" s="43">
        <v>0</v>
      </c>
      <c r="N854" s="1">
        <f t="shared" si="772"/>
        <v>2.6999999999999984</v>
      </c>
      <c r="O854" s="1">
        <f t="shared" si="776"/>
        <v>4724.9999999999973</v>
      </c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</row>
    <row r="855" spans="1:33" s="32" customFormat="1" ht="15" customHeight="1">
      <c r="A855" s="37">
        <v>43634</v>
      </c>
      <c r="B855" s="20" t="s">
        <v>427</v>
      </c>
      <c r="C855" s="20" t="s">
        <v>47</v>
      </c>
      <c r="D855" s="20">
        <v>1640</v>
      </c>
      <c r="E855" s="38">
        <v>400</v>
      </c>
      <c r="F855" s="20" t="s">
        <v>8</v>
      </c>
      <c r="G855" s="43">
        <v>35</v>
      </c>
      <c r="H855" s="43">
        <v>39</v>
      </c>
      <c r="I855" s="43">
        <v>47</v>
      </c>
      <c r="J855" s="43">
        <v>0</v>
      </c>
      <c r="K855" s="1">
        <f t="shared" si="786"/>
        <v>1600</v>
      </c>
      <c r="L855" s="43">
        <f>E855*8</f>
        <v>3200</v>
      </c>
      <c r="M855" s="43">
        <v>0</v>
      </c>
      <c r="N855" s="1">
        <f t="shared" si="772"/>
        <v>12</v>
      </c>
      <c r="O855" s="1">
        <f t="shared" si="776"/>
        <v>4800</v>
      </c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</row>
    <row r="856" spans="1:33" s="32" customFormat="1" ht="15" customHeight="1">
      <c r="A856" s="37">
        <v>43634</v>
      </c>
      <c r="B856" s="20" t="s">
        <v>424</v>
      </c>
      <c r="C856" s="20" t="s">
        <v>425</v>
      </c>
      <c r="D856" s="20">
        <v>1240</v>
      </c>
      <c r="E856" s="38">
        <v>750</v>
      </c>
      <c r="F856" s="20" t="s">
        <v>8</v>
      </c>
      <c r="G856" s="43">
        <v>17</v>
      </c>
      <c r="H856" s="43">
        <v>11</v>
      </c>
      <c r="I856" s="43">
        <v>0</v>
      </c>
      <c r="J856" s="43">
        <v>0</v>
      </c>
      <c r="K856" s="1">
        <f t="shared" si="786"/>
        <v>-4500</v>
      </c>
      <c r="L856" s="43">
        <v>0</v>
      </c>
      <c r="M856" s="43">
        <v>0</v>
      </c>
      <c r="N856" s="1">
        <f t="shared" si="772"/>
        <v>-6</v>
      </c>
      <c r="O856" s="1">
        <f t="shared" si="776"/>
        <v>-4500</v>
      </c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</row>
    <row r="857" spans="1:33" s="32" customFormat="1" ht="15" customHeight="1">
      <c r="A857" s="37">
        <v>43634</v>
      </c>
      <c r="B857" s="20" t="s">
        <v>21</v>
      </c>
      <c r="C857" s="20" t="s">
        <v>425</v>
      </c>
      <c r="D857" s="20">
        <v>335</v>
      </c>
      <c r="E857" s="38">
        <v>3000</v>
      </c>
      <c r="F857" s="20" t="s">
        <v>8</v>
      </c>
      <c r="G857" s="43">
        <v>5</v>
      </c>
      <c r="H857" s="43">
        <v>3</v>
      </c>
      <c r="I857" s="43">
        <v>0</v>
      </c>
      <c r="J857" s="43">
        <v>0</v>
      </c>
      <c r="K857" s="1">
        <f t="shared" si="786"/>
        <v>-6000</v>
      </c>
      <c r="L857" s="43">
        <v>0</v>
      </c>
      <c r="M857" s="43">
        <v>0</v>
      </c>
      <c r="N857" s="1">
        <f t="shared" si="772"/>
        <v>-2</v>
      </c>
      <c r="O857" s="1">
        <f t="shared" si="776"/>
        <v>-6000</v>
      </c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</row>
    <row r="858" spans="1:33" s="32" customFormat="1" ht="15" customHeight="1">
      <c r="A858" s="37">
        <v>43633</v>
      </c>
      <c r="B858" s="20" t="s">
        <v>26</v>
      </c>
      <c r="C858" s="20" t="s">
        <v>425</v>
      </c>
      <c r="D858" s="20">
        <v>490</v>
      </c>
      <c r="E858" s="38">
        <v>1061</v>
      </c>
      <c r="F858" s="20" t="s">
        <v>8</v>
      </c>
      <c r="G858" s="43">
        <v>11</v>
      </c>
      <c r="H858" s="43">
        <v>13.5</v>
      </c>
      <c r="I858" s="43">
        <v>17</v>
      </c>
      <c r="J858" s="43">
        <v>0</v>
      </c>
      <c r="K858" s="1">
        <f t="shared" ref="K858:K860" si="787">(IF(F858="SELL",G858-H858,IF(F858="BUY",H858-G858)))*E858</f>
        <v>2652.5</v>
      </c>
      <c r="L858" s="43">
        <f>E858*3.5</f>
        <v>3713.5</v>
      </c>
      <c r="M858" s="43">
        <v>0</v>
      </c>
      <c r="N858" s="1">
        <f t="shared" si="772"/>
        <v>6</v>
      </c>
      <c r="O858" s="1">
        <f t="shared" si="776"/>
        <v>6366</v>
      </c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</row>
    <row r="859" spans="1:33" s="32" customFormat="1" ht="15" customHeight="1">
      <c r="A859" s="37">
        <v>43633</v>
      </c>
      <c r="B859" s="20" t="s">
        <v>424</v>
      </c>
      <c r="C859" s="20" t="s">
        <v>425</v>
      </c>
      <c r="D859" s="20">
        <v>1260</v>
      </c>
      <c r="E859" s="38">
        <v>750</v>
      </c>
      <c r="F859" s="20" t="s">
        <v>8</v>
      </c>
      <c r="G859" s="43">
        <v>17.7</v>
      </c>
      <c r="H859" s="43">
        <v>19.7</v>
      </c>
      <c r="I859" s="43">
        <v>0</v>
      </c>
      <c r="J859" s="43">
        <v>0</v>
      </c>
      <c r="K859" s="1">
        <f t="shared" si="787"/>
        <v>1500</v>
      </c>
      <c r="L859" s="43">
        <v>0</v>
      </c>
      <c r="M859" s="43">
        <v>0</v>
      </c>
      <c r="N859" s="1">
        <f t="shared" si="772"/>
        <v>2</v>
      </c>
      <c r="O859" s="1">
        <f t="shared" si="776"/>
        <v>1500</v>
      </c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</row>
    <row r="860" spans="1:33" s="32" customFormat="1" ht="15" customHeight="1">
      <c r="A860" s="37">
        <v>43633</v>
      </c>
      <c r="B860" s="20" t="s">
        <v>107</v>
      </c>
      <c r="C860" s="20" t="s">
        <v>425</v>
      </c>
      <c r="D860" s="20">
        <v>390</v>
      </c>
      <c r="E860" s="38">
        <v>1100</v>
      </c>
      <c r="F860" s="20" t="s">
        <v>8</v>
      </c>
      <c r="G860" s="43">
        <v>9</v>
      </c>
      <c r="H860" s="43">
        <v>11.5</v>
      </c>
      <c r="I860" s="43">
        <v>0</v>
      </c>
      <c r="J860" s="43">
        <v>0</v>
      </c>
      <c r="K860" s="1">
        <f t="shared" si="787"/>
        <v>2750</v>
      </c>
      <c r="L860" s="43">
        <v>0</v>
      </c>
      <c r="M860" s="43">
        <v>0</v>
      </c>
      <c r="N860" s="1">
        <f t="shared" si="772"/>
        <v>2.5</v>
      </c>
      <c r="O860" s="1">
        <f t="shared" si="776"/>
        <v>2750</v>
      </c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</row>
    <row r="861" spans="1:33" s="32" customFormat="1" ht="15" customHeight="1">
      <c r="A861" s="37">
        <v>43630</v>
      </c>
      <c r="B861" s="20" t="s">
        <v>296</v>
      </c>
      <c r="C861" s="20" t="s">
        <v>425</v>
      </c>
      <c r="D861" s="20">
        <v>1440</v>
      </c>
      <c r="E861" s="38">
        <v>300</v>
      </c>
      <c r="F861" s="20" t="s">
        <v>8</v>
      </c>
      <c r="G861" s="43">
        <v>50</v>
      </c>
      <c r="H861" s="43">
        <v>55</v>
      </c>
      <c r="I861" s="43">
        <v>62.75</v>
      </c>
      <c r="J861" s="43">
        <v>0</v>
      </c>
      <c r="K861" s="1">
        <f t="shared" ref="K861" si="788">(IF(F861="SELL",G861-H861,IF(F861="BUY",H861-G861)))*E861</f>
        <v>1500</v>
      </c>
      <c r="L861" s="43">
        <f>E861*7.75</f>
        <v>2325</v>
      </c>
      <c r="M861" s="43">
        <v>0</v>
      </c>
      <c r="N861" s="1">
        <f t="shared" si="772"/>
        <v>12.75</v>
      </c>
      <c r="O861" s="1">
        <f t="shared" si="776"/>
        <v>3825</v>
      </c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</row>
    <row r="862" spans="1:33" s="32" customFormat="1" ht="15" customHeight="1">
      <c r="A862" s="37">
        <v>43630</v>
      </c>
      <c r="B862" s="20" t="s">
        <v>11</v>
      </c>
      <c r="C862" s="20" t="s">
        <v>425</v>
      </c>
      <c r="D862" s="20">
        <v>900</v>
      </c>
      <c r="E862" s="38">
        <v>500</v>
      </c>
      <c r="F862" s="20" t="s">
        <v>8</v>
      </c>
      <c r="G862" s="43">
        <v>29</v>
      </c>
      <c r="H862" s="43">
        <v>32.5</v>
      </c>
      <c r="I862" s="43">
        <v>0</v>
      </c>
      <c r="J862" s="43">
        <v>0</v>
      </c>
      <c r="K862" s="1">
        <f t="shared" ref="K862:K864" si="789">(IF(F862="SELL",G862-H862,IF(F862="BUY",H862-G862)))*E862</f>
        <v>1750</v>
      </c>
      <c r="L862" s="43">
        <v>0</v>
      </c>
      <c r="M862" s="43">
        <v>0</v>
      </c>
      <c r="N862" s="1">
        <f t="shared" si="772"/>
        <v>3.5</v>
      </c>
      <c r="O862" s="1">
        <f t="shared" si="776"/>
        <v>1750</v>
      </c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</row>
    <row r="863" spans="1:33" s="32" customFormat="1" ht="15" customHeight="1">
      <c r="A863" s="37">
        <v>43630</v>
      </c>
      <c r="B863" s="20" t="s">
        <v>426</v>
      </c>
      <c r="C863" s="20" t="s">
        <v>425</v>
      </c>
      <c r="D863" s="20">
        <v>240</v>
      </c>
      <c r="E863" s="38">
        <v>1600</v>
      </c>
      <c r="F863" s="20" t="s">
        <v>8</v>
      </c>
      <c r="G863" s="43">
        <v>3.5</v>
      </c>
      <c r="H863" s="43">
        <v>1.9</v>
      </c>
      <c r="I863" s="43">
        <v>0</v>
      </c>
      <c r="J863" s="43">
        <v>0</v>
      </c>
      <c r="K863" s="1">
        <f t="shared" si="789"/>
        <v>-2560</v>
      </c>
      <c r="L863" s="43">
        <v>0</v>
      </c>
      <c r="M863" s="43">
        <v>0</v>
      </c>
      <c r="N863" s="1">
        <f t="shared" si="772"/>
        <v>-1.6</v>
      </c>
      <c r="O863" s="1">
        <f t="shared" si="776"/>
        <v>-2560</v>
      </c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</row>
    <row r="864" spans="1:33" s="32" customFormat="1" ht="15" customHeight="1">
      <c r="A864" s="37">
        <v>43630</v>
      </c>
      <c r="B864" s="20" t="s">
        <v>71</v>
      </c>
      <c r="C864" s="20" t="s">
        <v>47</v>
      </c>
      <c r="D864" s="20">
        <v>270</v>
      </c>
      <c r="E864" s="38">
        <v>1500</v>
      </c>
      <c r="F864" s="20" t="s">
        <v>8</v>
      </c>
      <c r="G864" s="43">
        <v>10</v>
      </c>
      <c r="H864" s="43">
        <v>8.5</v>
      </c>
      <c r="I864" s="43">
        <v>0</v>
      </c>
      <c r="J864" s="43">
        <v>0</v>
      </c>
      <c r="K864" s="1">
        <f t="shared" si="789"/>
        <v>-2250</v>
      </c>
      <c r="L864" s="43">
        <v>0</v>
      </c>
      <c r="M864" s="43">
        <v>0</v>
      </c>
      <c r="N864" s="1">
        <f t="shared" si="772"/>
        <v>-1.5</v>
      </c>
      <c r="O864" s="1">
        <f t="shared" si="776"/>
        <v>-2250</v>
      </c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</row>
    <row r="865" spans="1:33" s="32" customFormat="1" ht="15" customHeight="1">
      <c r="A865" s="37">
        <v>43629</v>
      </c>
      <c r="B865" s="20" t="s">
        <v>414</v>
      </c>
      <c r="C865" s="20" t="s">
        <v>425</v>
      </c>
      <c r="D865" s="20">
        <v>130</v>
      </c>
      <c r="E865" s="38">
        <v>1750</v>
      </c>
      <c r="F865" s="20" t="s">
        <v>8</v>
      </c>
      <c r="G865" s="43">
        <v>13</v>
      </c>
      <c r="H865" s="43">
        <v>14</v>
      </c>
      <c r="I865" s="43">
        <v>16</v>
      </c>
      <c r="J865" s="43">
        <v>0</v>
      </c>
      <c r="K865" s="1">
        <f t="shared" ref="K865:K866" si="790">(IF(F865="SELL",G865-H865,IF(F865="BUY",H865-G865)))*E865</f>
        <v>1750</v>
      </c>
      <c r="L865" s="43">
        <f>E865*2</f>
        <v>3500</v>
      </c>
      <c r="M865" s="43">
        <v>0</v>
      </c>
      <c r="N865" s="1">
        <f t="shared" si="772"/>
        <v>3</v>
      </c>
      <c r="O865" s="1">
        <f t="shared" si="776"/>
        <v>5250</v>
      </c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</row>
    <row r="866" spans="1:33" s="32" customFormat="1" ht="15" customHeight="1">
      <c r="A866" s="37">
        <v>43629</v>
      </c>
      <c r="B866" s="20" t="s">
        <v>89</v>
      </c>
      <c r="C866" s="20" t="s">
        <v>425</v>
      </c>
      <c r="D866" s="20">
        <v>580</v>
      </c>
      <c r="E866" s="38">
        <v>1100</v>
      </c>
      <c r="F866" s="20" t="s">
        <v>8</v>
      </c>
      <c r="G866" s="43">
        <v>20</v>
      </c>
      <c r="H866" s="43">
        <v>21.5</v>
      </c>
      <c r="I866" s="43">
        <v>0</v>
      </c>
      <c r="J866" s="43">
        <v>0</v>
      </c>
      <c r="K866" s="1">
        <f t="shared" si="790"/>
        <v>1650</v>
      </c>
      <c r="L866" s="43">
        <v>0</v>
      </c>
      <c r="M866" s="43">
        <v>0</v>
      </c>
      <c r="N866" s="1">
        <f t="shared" si="772"/>
        <v>1.5</v>
      </c>
      <c r="O866" s="1">
        <f t="shared" si="776"/>
        <v>1650</v>
      </c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</row>
    <row r="867" spans="1:33" s="32" customFormat="1" ht="15" customHeight="1">
      <c r="A867" s="37">
        <v>43628</v>
      </c>
      <c r="B867" s="20" t="s">
        <v>34</v>
      </c>
      <c r="C867" s="20" t="s">
        <v>47</v>
      </c>
      <c r="D867" s="20">
        <v>200</v>
      </c>
      <c r="E867" s="38">
        <v>3500</v>
      </c>
      <c r="F867" s="20" t="s">
        <v>8</v>
      </c>
      <c r="G867" s="43">
        <v>5.4</v>
      </c>
      <c r="H867" s="43">
        <v>6.2</v>
      </c>
      <c r="I867" s="43">
        <v>0</v>
      </c>
      <c r="J867" s="43">
        <v>0</v>
      </c>
      <c r="K867" s="1">
        <f t="shared" ref="K867:K871" si="791">(IF(F867="SELL",G867-H867,IF(F867="BUY",H867-G867)))*E867</f>
        <v>2799.9999999999995</v>
      </c>
      <c r="L867" s="43">
        <v>0</v>
      </c>
      <c r="M867" s="43">
        <v>0</v>
      </c>
      <c r="N867" s="1">
        <f t="shared" si="772"/>
        <v>0.79999999999999982</v>
      </c>
      <c r="O867" s="1">
        <f t="shared" si="776"/>
        <v>2799.9999999999995</v>
      </c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</row>
    <row r="868" spans="1:33" s="32" customFormat="1" ht="15" customHeight="1">
      <c r="A868" s="37">
        <v>43628</v>
      </c>
      <c r="B868" s="20" t="s">
        <v>98</v>
      </c>
      <c r="C868" s="20" t="s">
        <v>46</v>
      </c>
      <c r="D868" s="20">
        <v>260</v>
      </c>
      <c r="E868" s="38">
        <v>1800</v>
      </c>
      <c r="F868" s="20" t="s">
        <v>8</v>
      </c>
      <c r="G868" s="43">
        <v>5.6</v>
      </c>
      <c r="H868" s="43">
        <v>6.6</v>
      </c>
      <c r="I868" s="43">
        <v>8.1</v>
      </c>
      <c r="J868" s="43">
        <v>0</v>
      </c>
      <c r="K868" s="1">
        <f t="shared" si="791"/>
        <v>1800</v>
      </c>
      <c r="L868" s="43">
        <f>E868*1.5</f>
        <v>2700</v>
      </c>
      <c r="M868" s="43">
        <v>0</v>
      </c>
      <c r="N868" s="1">
        <f t="shared" si="772"/>
        <v>2.5</v>
      </c>
      <c r="O868" s="1">
        <f t="shared" si="776"/>
        <v>4500</v>
      </c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</row>
    <row r="869" spans="1:33" s="32" customFormat="1" ht="15" customHeight="1">
      <c r="A869" s="37">
        <v>43628</v>
      </c>
      <c r="B869" s="20" t="s">
        <v>424</v>
      </c>
      <c r="C869" s="20" t="s">
        <v>47</v>
      </c>
      <c r="D869" s="20">
        <v>1280</v>
      </c>
      <c r="E869" s="38">
        <v>750</v>
      </c>
      <c r="F869" s="20" t="s">
        <v>8</v>
      </c>
      <c r="G869" s="43">
        <v>28.8</v>
      </c>
      <c r="H869" s="43">
        <v>25.8</v>
      </c>
      <c r="I869" s="43">
        <v>0</v>
      </c>
      <c r="J869" s="43">
        <v>0</v>
      </c>
      <c r="K869" s="1">
        <f t="shared" si="791"/>
        <v>-2250</v>
      </c>
      <c r="L869" s="43">
        <v>0</v>
      </c>
      <c r="M869" s="43">
        <v>0</v>
      </c>
      <c r="N869" s="1">
        <f t="shared" si="772"/>
        <v>-3</v>
      </c>
      <c r="O869" s="1">
        <f t="shared" si="776"/>
        <v>-2250</v>
      </c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</row>
    <row r="870" spans="1:33" s="32" customFormat="1" ht="15" customHeight="1">
      <c r="A870" s="37">
        <v>43628</v>
      </c>
      <c r="B870" s="20" t="s">
        <v>10</v>
      </c>
      <c r="C870" s="20" t="s">
        <v>46</v>
      </c>
      <c r="D870" s="20">
        <v>780</v>
      </c>
      <c r="E870" s="38">
        <v>1000</v>
      </c>
      <c r="F870" s="20" t="s">
        <v>8</v>
      </c>
      <c r="G870" s="43">
        <v>19</v>
      </c>
      <c r="H870" s="43">
        <v>15</v>
      </c>
      <c r="I870" s="43">
        <v>0</v>
      </c>
      <c r="J870" s="43">
        <v>0</v>
      </c>
      <c r="K870" s="1">
        <f t="shared" si="791"/>
        <v>-4000</v>
      </c>
      <c r="L870" s="43">
        <v>0</v>
      </c>
      <c r="M870" s="43">
        <v>0</v>
      </c>
      <c r="N870" s="1">
        <f t="shared" ref="N870:N933" si="792">(L870+K870+M870)/E870</f>
        <v>-4</v>
      </c>
      <c r="O870" s="1">
        <f t="shared" si="776"/>
        <v>-4000</v>
      </c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</row>
    <row r="871" spans="1:33" s="32" customFormat="1" ht="15" customHeight="1">
      <c r="A871" s="37">
        <v>43628</v>
      </c>
      <c r="B871" s="20" t="s">
        <v>60</v>
      </c>
      <c r="C871" s="20" t="s">
        <v>47</v>
      </c>
      <c r="D871" s="20">
        <v>170</v>
      </c>
      <c r="E871" s="38">
        <v>2300</v>
      </c>
      <c r="F871" s="20" t="s">
        <v>8</v>
      </c>
      <c r="G871" s="43">
        <v>7</v>
      </c>
      <c r="H871" s="43">
        <v>5</v>
      </c>
      <c r="I871" s="43">
        <v>0</v>
      </c>
      <c r="J871" s="43">
        <v>0</v>
      </c>
      <c r="K871" s="1">
        <f t="shared" si="791"/>
        <v>-4600</v>
      </c>
      <c r="L871" s="43">
        <v>0</v>
      </c>
      <c r="M871" s="43">
        <v>0</v>
      </c>
      <c r="N871" s="1">
        <f t="shared" si="792"/>
        <v>-2</v>
      </c>
      <c r="O871" s="1">
        <f t="shared" si="776"/>
        <v>-4600</v>
      </c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</row>
    <row r="872" spans="1:33" s="32" customFormat="1" ht="15" customHeight="1">
      <c r="A872" s="37">
        <v>43627</v>
      </c>
      <c r="B872" s="20" t="s">
        <v>423</v>
      </c>
      <c r="C872" s="20" t="s">
        <v>47</v>
      </c>
      <c r="D872" s="20">
        <v>640</v>
      </c>
      <c r="E872" s="38">
        <v>1000</v>
      </c>
      <c r="F872" s="20" t="s">
        <v>8</v>
      </c>
      <c r="G872" s="43">
        <v>20.5</v>
      </c>
      <c r="H872" s="43">
        <v>22</v>
      </c>
      <c r="I872" s="43">
        <v>24.6</v>
      </c>
      <c r="J872" s="43">
        <v>0</v>
      </c>
      <c r="K872" s="1">
        <f t="shared" ref="K872:K876" si="793">(IF(F872="SELL",G872-H872,IF(F872="BUY",H872-G872)))*E872</f>
        <v>1500</v>
      </c>
      <c r="L872" s="43">
        <f>E872*2.6</f>
        <v>2600</v>
      </c>
      <c r="M872" s="43">
        <v>0</v>
      </c>
      <c r="N872" s="1">
        <f t="shared" si="792"/>
        <v>4.0999999999999996</v>
      </c>
      <c r="O872" s="1">
        <f t="shared" si="776"/>
        <v>4100</v>
      </c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</row>
    <row r="873" spans="1:33" s="32" customFormat="1" ht="15" customHeight="1">
      <c r="A873" s="37">
        <v>43627</v>
      </c>
      <c r="B873" s="20" t="s">
        <v>54</v>
      </c>
      <c r="C873" s="20" t="s">
        <v>46</v>
      </c>
      <c r="D873" s="20">
        <v>520</v>
      </c>
      <c r="E873" s="38">
        <v>1000</v>
      </c>
      <c r="F873" s="20" t="s">
        <v>8</v>
      </c>
      <c r="G873" s="43">
        <v>17.5</v>
      </c>
      <c r="H873" s="43">
        <v>20</v>
      </c>
      <c r="I873" s="43">
        <v>0</v>
      </c>
      <c r="J873" s="43">
        <v>0</v>
      </c>
      <c r="K873" s="1">
        <f t="shared" si="793"/>
        <v>2500</v>
      </c>
      <c r="L873" s="43">
        <v>0</v>
      </c>
      <c r="M873" s="43">
        <v>0</v>
      </c>
      <c r="N873" s="1">
        <f t="shared" si="792"/>
        <v>2.5</v>
      </c>
      <c r="O873" s="1">
        <f t="shared" si="776"/>
        <v>2500</v>
      </c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</row>
    <row r="874" spans="1:33" s="32" customFormat="1" ht="15" customHeight="1">
      <c r="A874" s="37">
        <v>43627</v>
      </c>
      <c r="B874" s="20" t="s">
        <v>414</v>
      </c>
      <c r="C874" s="20" t="s">
        <v>47</v>
      </c>
      <c r="D874" s="20">
        <v>140</v>
      </c>
      <c r="E874" s="38">
        <v>1750</v>
      </c>
      <c r="F874" s="20" t="s">
        <v>8</v>
      </c>
      <c r="G874" s="43">
        <v>8.1</v>
      </c>
      <c r="H874" s="43">
        <v>9</v>
      </c>
      <c r="I874" s="43">
        <v>0</v>
      </c>
      <c r="J874" s="43">
        <v>0</v>
      </c>
      <c r="K874" s="1">
        <f t="shared" si="793"/>
        <v>1575.0000000000007</v>
      </c>
      <c r="L874" s="43">
        <v>0</v>
      </c>
      <c r="M874" s="43">
        <v>0</v>
      </c>
      <c r="N874" s="1">
        <f t="shared" si="792"/>
        <v>0.90000000000000036</v>
      </c>
      <c r="O874" s="1">
        <f t="shared" si="776"/>
        <v>1575.0000000000007</v>
      </c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</row>
    <row r="875" spans="1:33" s="32" customFormat="1" ht="15" customHeight="1">
      <c r="A875" s="37">
        <v>43627</v>
      </c>
      <c r="B875" s="20" t="s">
        <v>34</v>
      </c>
      <c r="C875" s="20" t="s">
        <v>46</v>
      </c>
      <c r="D875" s="20">
        <v>195</v>
      </c>
      <c r="E875" s="38">
        <v>3500</v>
      </c>
      <c r="F875" s="20" t="s">
        <v>8</v>
      </c>
      <c r="G875" s="43">
        <v>4</v>
      </c>
      <c r="H875" s="43">
        <v>4.6500000000000004</v>
      </c>
      <c r="I875" s="43">
        <v>0</v>
      </c>
      <c r="J875" s="43">
        <v>0</v>
      </c>
      <c r="K875" s="1">
        <f t="shared" si="793"/>
        <v>2275.0000000000014</v>
      </c>
      <c r="L875" s="43">
        <v>0</v>
      </c>
      <c r="M875" s="43">
        <v>0</v>
      </c>
      <c r="N875" s="1">
        <f t="shared" si="792"/>
        <v>0.65000000000000036</v>
      </c>
      <c r="O875" s="1">
        <f t="shared" si="776"/>
        <v>2275.0000000000014</v>
      </c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</row>
    <row r="876" spans="1:33" s="32" customFormat="1" ht="15" customHeight="1">
      <c r="A876" s="37">
        <v>43627</v>
      </c>
      <c r="B876" s="20" t="s">
        <v>16</v>
      </c>
      <c r="C876" s="20" t="s">
        <v>47</v>
      </c>
      <c r="D876" s="20">
        <v>420</v>
      </c>
      <c r="E876" s="38">
        <v>2500</v>
      </c>
      <c r="F876" s="20" t="s">
        <v>8</v>
      </c>
      <c r="G876" s="43">
        <v>10.7</v>
      </c>
      <c r="H876" s="43">
        <v>11.5</v>
      </c>
      <c r="I876" s="43">
        <v>0</v>
      </c>
      <c r="J876" s="43">
        <v>0</v>
      </c>
      <c r="K876" s="1">
        <f t="shared" si="793"/>
        <v>2000.0000000000018</v>
      </c>
      <c r="L876" s="43">
        <v>0</v>
      </c>
      <c r="M876" s="43">
        <v>0</v>
      </c>
      <c r="N876" s="1">
        <f t="shared" si="792"/>
        <v>0.80000000000000071</v>
      </c>
      <c r="O876" s="1">
        <f t="shared" si="776"/>
        <v>2000.0000000000018</v>
      </c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</row>
    <row r="877" spans="1:33" s="32" customFormat="1" ht="15" customHeight="1">
      <c r="A877" s="37">
        <v>43626</v>
      </c>
      <c r="B877" s="20" t="s">
        <v>26</v>
      </c>
      <c r="C877" s="20" t="s">
        <v>47</v>
      </c>
      <c r="D877" s="20">
        <v>490</v>
      </c>
      <c r="E877" s="38">
        <v>1061</v>
      </c>
      <c r="F877" s="20" t="s">
        <v>8</v>
      </c>
      <c r="G877" s="43">
        <v>15</v>
      </c>
      <c r="H877" s="43">
        <v>11.5</v>
      </c>
      <c r="I877" s="43">
        <v>0</v>
      </c>
      <c r="J877" s="43">
        <v>0</v>
      </c>
      <c r="K877" s="1">
        <f t="shared" ref="K877:K878" si="794">(IF(F877="SELL",G877-H877,IF(F877="BUY",H877-G877)))*E877</f>
        <v>-3713.5</v>
      </c>
      <c r="L877" s="43">
        <v>0</v>
      </c>
      <c r="M877" s="43">
        <v>0</v>
      </c>
      <c r="N877" s="1">
        <f t="shared" si="792"/>
        <v>-3.5</v>
      </c>
      <c r="O877" s="1">
        <f t="shared" si="776"/>
        <v>-3713.5</v>
      </c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</row>
    <row r="878" spans="1:33" s="32" customFormat="1" ht="15" customHeight="1">
      <c r="A878" s="37">
        <v>43626</v>
      </c>
      <c r="B878" s="20" t="s">
        <v>422</v>
      </c>
      <c r="C878" s="20" t="s">
        <v>46</v>
      </c>
      <c r="D878" s="20">
        <v>1660</v>
      </c>
      <c r="E878" s="38">
        <v>600</v>
      </c>
      <c r="F878" s="20" t="s">
        <v>8</v>
      </c>
      <c r="G878" s="43">
        <v>46.2</v>
      </c>
      <c r="H878" s="43">
        <v>42</v>
      </c>
      <c r="I878" s="43">
        <v>0</v>
      </c>
      <c r="J878" s="43">
        <v>0</v>
      </c>
      <c r="K878" s="1">
        <f t="shared" si="794"/>
        <v>-2520.0000000000018</v>
      </c>
      <c r="L878" s="43">
        <v>0</v>
      </c>
      <c r="M878" s="43">
        <v>0</v>
      </c>
      <c r="N878" s="1">
        <f t="shared" si="792"/>
        <v>-4.2000000000000028</v>
      </c>
      <c r="O878" s="1">
        <f t="shared" si="776"/>
        <v>-2520.0000000000018</v>
      </c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</row>
    <row r="879" spans="1:33" s="32" customFormat="1" ht="15" customHeight="1">
      <c r="A879" s="37">
        <v>43623</v>
      </c>
      <c r="B879" s="20" t="s">
        <v>414</v>
      </c>
      <c r="C879" s="20" t="s">
        <v>46</v>
      </c>
      <c r="D879" s="20">
        <v>150</v>
      </c>
      <c r="E879" s="38">
        <v>1750</v>
      </c>
      <c r="F879" s="20" t="s">
        <v>8</v>
      </c>
      <c r="G879" s="43">
        <v>13</v>
      </c>
      <c r="H879" s="43">
        <v>14</v>
      </c>
      <c r="I879" s="43">
        <v>16</v>
      </c>
      <c r="J879" s="43">
        <v>0</v>
      </c>
      <c r="K879" s="1">
        <f t="shared" ref="K879:K882" si="795">(IF(F879="SELL",G879-H879,IF(F879="BUY",H879-G879)))*E879</f>
        <v>1750</v>
      </c>
      <c r="L879" s="43">
        <f>E879*2</f>
        <v>3500</v>
      </c>
      <c r="M879" s="43">
        <v>0</v>
      </c>
      <c r="N879" s="1">
        <f t="shared" si="792"/>
        <v>3</v>
      </c>
      <c r="O879" s="1">
        <f t="shared" si="776"/>
        <v>5250</v>
      </c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</row>
    <row r="880" spans="1:33" s="32" customFormat="1" ht="15" customHeight="1">
      <c r="A880" s="37">
        <v>43623</v>
      </c>
      <c r="B880" s="20" t="s">
        <v>421</v>
      </c>
      <c r="C880" s="20" t="s">
        <v>47</v>
      </c>
      <c r="D880" s="20">
        <v>340</v>
      </c>
      <c r="E880" s="38">
        <v>3000</v>
      </c>
      <c r="F880" s="20" t="s">
        <v>8</v>
      </c>
      <c r="G880" s="43">
        <v>10.25</v>
      </c>
      <c r="H880" s="43">
        <v>11.25</v>
      </c>
      <c r="I880" s="43">
        <v>0</v>
      </c>
      <c r="J880" s="43">
        <v>0</v>
      </c>
      <c r="K880" s="1">
        <f t="shared" si="795"/>
        <v>3000</v>
      </c>
      <c r="L880" s="43">
        <v>0</v>
      </c>
      <c r="M880" s="43">
        <v>0</v>
      </c>
      <c r="N880" s="1">
        <f t="shared" si="792"/>
        <v>1</v>
      </c>
      <c r="O880" s="1">
        <f t="shared" si="776"/>
        <v>3000</v>
      </c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</row>
    <row r="881" spans="1:33" s="32" customFormat="1" ht="15" customHeight="1">
      <c r="A881" s="37">
        <v>43623</v>
      </c>
      <c r="B881" s="20" t="s">
        <v>128</v>
      </c>
      <c r="C881" s="20" t="s">
        <v>46</v>
      </c>
      <c r="D881" s="20">
        <v>1500</v>
      </c>
      <c r="E881" s="38">
        <v>400</v>
      </c>
      <c r="F881" s="20" t="s">
        <v>8</v>
      </c>
      <c r="G881" s="43">
        <v>31</v>
      </c>
      <c r="H881" s="43">
        <v>35</v>
      </c>
      <c r="I881" s="43">
        <v>0</v>
      </c>
      <c r="J881" s="43">
        <v>0</v>
      </c>
      <c r="K881" s="1">
        <f t="shared" si="795"/>
        <v>1600</v>
      </c>
      <c r="L881" s="43">
        <v>0</v>
      </c>
      <c r="M881" s="43">
        <v>0</v>
      </c>
      <c r="N881" s="1">
        <f t="shared" si="792"/>
        <v>4</v>
      </c>
      <c r="O881" s="1">
        <f t="shared" ref="O881:O944" si="796">N881*E881</f>
        <v>1600</v>
      </c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</row>
    <row r="882" spans="1:33" s="32" customFormat="1" ht="15" customHeight="1">
      <c r="A882" s="37">
        <v>43623</v>
      </c>
      <c r="B882" s="20" t="s">
        <v>72</v>
      </c>
      <c r="C882" s="20" t="s">
        <v>47</v>
      </c>
      <c r="D882" s="20">
        <v>400</v>
      </c>
      <c r="E882" s="38">
        <v>1800</v>
      </c>
      <c r="F882" s="20" t="s">
        <v>8</v>
      </c>
      <c r="G882" s="43">
        <v>15.5</v>
      </c>
      <c r="H882" s="43">
        <v>16</v>
      </c>
      <c r="I882" s="43">
        <v>0</v>
      </c>
      <c r="J882" s="43">
        <v>0</v>
      </c>
      <c r="K882" s="1">
        <f t="shared" si="795"/>
        <v>900</v>
      </c>
      <c r="L882" s="43">
        <v>0</v>
      </c>
      <c r="M882" s="43">
        <v>0</v>
      </c>
      <c r="N882" s="1">
        <f t="shared" si="792"/>
        <v>0.5</v>
      </c>
      <c r="O882" s="1">
        <f t="shared" si="796"/>
        <v>900</v>
      </c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</row>
    <row r="883" spans="1:33" s="32" customFormat="1" ht="15" customHeight="1">
      <c r="A883" s="37">
        <v>43623</v>
      </c>
      <c r="B883" s="20" t="s">
        <v>60</v>
      </c>
      <c r="C883" s="20" t="s">
        <v>47</v>
      </c>
      <c r="D883" s="20">
        <v>170</v>
      </c>
      <c r="E883" s="38">
        <v>2300</v>
      </c>
      <c r="F883" s="20" t="s">
        <v>8</v>
      </c>
      <c r="G883" s="43">
        <v>5</v>
      </c>
      <c r="H883" s="43">
        <v>4.5999999999999996</v>
      </c>
      <c r="I883" s="43">
        <v>0</v>
      </c>
      <c r="J883" s="43">
        <v>0</v>
      </c>
      <c r="K883" s="1">
        <f t="shared" ref="K883" si="797">(IF(F883="SELL",G883-H883,IF(F883="BUY",H883-G883)))*E883</f>
        <v>-920.0000000000008</v>
      </c>
      <c r="L883" s="43">
        <v>0</v>
      </c>
      <c r="M883" s="43">
        <v>0</v>
      </c>
      <c r="N883" s="1">
        <f t="shared" si="792"/>
        <v>-0.40000000000000036</v>
      </c>
      <c r="O883" s="1">
        <f t="shared" si="796"/>
        <v>-920.0000000000008</v>
      </c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</row>
    <row r="884" spans="1:33" s="32" customFormat="1" ht="15" customHeight="1">
      <c r="A884" s="37">
        <v>43622</v>
      </c>
      <c r="B884" s="20" t="s">
        <v>62</v>
      </c>
      <c r="C884" s="20" t="s">
        <v>47</v>
      </c>
      <c r="D884" s="20">
        <v>130</v>
      </c>
      <c r="E884" s="38">
        <v>6200</v>
      </c>
      <c r="F884" s="20" t="s">
        <v>8</v>
      </c>
      <c r="G884" s="43">
        <v>7.25</v>
      </c>
      <c r="H884" s="43">
        <v>7.7</v>
      </c>
      <c r="I884" s="43">
        <v>8.5</v>
      </c>
      <c r="J884" s="43">
        <v>0</v>
      </c>
      <c r="K884" s="1">
        <f t="shared" ref="K884:K886" si="798">(IF(F884="SELL",G884-H884,IF(F884="BUY",H884-G884)))*E884</f>
        <v>2790.0000000000009</v>
      </c>
      <c r="L884" s="43">
        <f>E884*0.8</f>
        <v>4960</v>
      </c>
      <c r="M884" s="43">
        <v>0</v>
      </c>
      <c r="N884" s="1">
        <f t="shared" si="792"/>
        <v>1.2500000000000002</v>
      </c>
      <c r="O884" s="1">
        <f t="shared" si="796"/>
        <v>7750.0000000000018</v>
      </c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</row>
    <row r="885" spans="1:33" s="32" customFormat="1" ht="15" customHeight="1">
      <c r="A885" s="37">
        <v>43622</v>
      </c>
      <c r="B885" s="20" t="s">
        <v>131</v>
      </c>
      <c r="C885" s="20" t="s">
        <v>46</v>
      </c>
      <c r="D885" s="20">
        <v>230</v>
      </c>
      <c r="E885" s="38">
        <v>2500</v>
      </c>
      <c r="F885" s="20" t="s">
        <v>8</v>
      </c>
      <c r="G885" s="43">
        <v>9</v>
      </c>
      <c r="H885" s="43">
        <v>10.25</v>
      </c>
      <c r="I885" s="43">
        <v>0</v>
      </c>
      <c r="J885" s="43">
        <v>0</v>
      </c>
      <c r="K885" s="1">
        <f t="shared" si="798"/>
        <v>3125</v>
      </c>
      <c r="L885" s="43">
        <v>0</v>
      </c>
      <c r="M885" s="43">
        <v>0</v>
      </c>
      <c r="N885" s="1">
        <f t="shared" si="792"/>
        <v>1.25</v>
      </c>
      <c r="O885" s="1">
        <f t="shared" si="796"/>
        <v>3125</v>
      </c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</row>
    <row r="886" spans="1:33" s="32" customFormat="1" ht="15" customHeight="1">
      <c r="A886" s="37">
        <v>43622</v>
      </c>
      <c r="B886" s="20" t="s">
        <v>32</v>
      </c>
      <c r="C886" s="20" t="s">
        <v>46</v>
      </c>
      <c r="D886" s="20">
        <v>640</v>
      </c>
      <c r="E886" s="38">
        <v>1000</v>
      </c>
      <c r="F886" s="20" t="s">
        <v>8</v>
      </c>
      <c r="G886" s="43">
        <v>25.5</v>
      </c>
      <c r="H886" s="43">
        <v>27.5</v>
      </c>
      <c r="I886" s="43">
        <v>0</v>
      </c>
      <c r="J886" s="43">
        <v>0</v>
      </c>
      <c r="K886" s="1">
        <f t="shared" si="798"/>
        <v>2000</v>
      </c>
      <c r="L886" s="43">
        <v>0</v>
      </c>
      <c r="M886" s="43">
        <v>0</v>
      </c>
      <c r="N886" s="1">
        <f t="shared" si="792"/>
        <v>2</v>
      </c>
      <c r="O886" s="1">
        <f t="shared" si="796"/>
        <v>2000</v>
      </c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</row>
    <row r="887" spans="1:33" s="32" customFormat="1" ht="15" customHeight="1">
      <c r="A887" s="37">
        <v>43620</v>
      </c>
      <c r="B887" s="20" t="s">
        <v>34</v>
      </c>
      <c r="C887" s="20" t="s">
        <v>47</v>
      </c>
      <c r="D887" s="20">
        <v>200</v>
      </c>
      <c r="E887" s="38">
        <v>3500</v>
      </c>
      <c r="F887" s="20" t="s">
        <v>8</v>
      </c>
      <c r="G887" s="43">
        <v>5.5</v>
      </c>
      <c r="H887" s="43">
        <v>6.3</v>
      </c>
      <c r="I887" s="43">
        <v>0</v>
      </c>
      <c r="J887" s="43">
        <v>0</v>
      </c>
      <c r="K887" s="1">
        <f t="shared" ref="K887:K890" si="799">(IF(F887="SELL",G887-H887,IF(F887="BUY",H887-G887)))*E887</f>
        <v>2799.9999999999995</v>
      </c>
      <c r="L887" s="43">
        <v>0</v>
      </c>
      <c r="M887" s="43">
        <v>0</v>
      </c>
      <c r="N887" s="1">
        <f t="shared" si="792"/>
        <v>0.79999999999999982</v>
      </c>
      <c r="O887" s="1">
        <f t="shared" si="796"/>
        <v>2799.9999999999995</v>
      </c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</row>
    <row r="888" spans="1:33" s="32" customFormat="1" ht="15" customHeight="1">
      <c r="A888" s="37">
        <v>43620</v>
      </c>
      <c r="B888" s="20" t="s">
        <v>22</v>
      </c>
      <c r="C888" s="20" t="s">
        <v>47</v>
      </c>
      <c r="D888" s="20">
        <v>200</v>
      </c>
      <c r="E888" s="38">
        <v>2600</v>
      </c>
      <c r="F888" s="20" t="s">
        <v>8</v>
      </c>
      <c r="G888" s="43">
        <v>10</v>
      </c>
      <c r="H888" s="43">
        <v>10.55</v>
      </c>
      <c r="I888" s="43">
        <v>0</v>
      </c>
      <c r="J888" s="43">
        <v>0</v>
      </c>
      <c r="K888" s="1">
        <f t="shared" si="799"/>
        <v>1430.0000000000018</v>
      </c>
      <c r="L888" s="43">
        <v>0</v>
      </c>
      <c r="M888" s="43">
        <v>0</v>
      </c>
      <c r="N888" s="1">
        <f t="shared" si="792"/>
        <v>0.55000000000000071</v>
      </c>
      <c r="O888" s="1">
        <f t="shared" si="796"/>
        <v>1430.0000000000018</v>
      </c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</row>
    <row r="889" spans="1:33" s="32" customFormat="1" ht="15" customHeight="1">
      <c r="A889" s="37">
        <v>43620</v>
      </c>
      <c r="B889" s="20" t="s">
        <v>367</v>
      </c>
      <c r="C889" s="20" t="s">
        <v>47</v>
      </c>
      <c r="D889" s="20">
        <v>200</v>
      </c>
      <c r="E889" s="38">
        <v>3000</v>
      </c>
      <c r="F889" s="20" t="s">
        <v>8</v>
      </c>
      <c r="G889" s="43">
        <v>7.5</v>
      </c>
      <c r="H889" s="43">
        <v>6.2</v>
      </c>
      <c r="I889" s="43">
        <v>0</v>
      </c>
      <c r="J889" s="43">
        <v>0</v>
      </c>
      <c r="K889" s="1">
        <f t="shared" si="799"/>
        <v>-3899.9999999999995</v>
      </c>
      <c r="L889" s="43">
        <v>0</v>
      </c>
      <c r="M889" s="43">
        <v>0</v>
      </c>
      <c r="N889" s="1">
        <f t="shared" si="792"/>
        <v>-1.2999999999999998</v>
      </c>
      <c r="O889" s="1">
        <f t="shared" si="796"/>
        <v>-3899.9999999999995</v>
      </c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</row>
    <row r="890" spans="1:33" s="32" customFormat="1" ht="15" customHeight="1">
      <c r="A890" s="37">
        <v>43620</v>
      </c>
      <c r="B890" s="20" t="s">
        <v>17</v>
      </c>
      <c r="C890" s="20" t="s">
        <v>47</v>
      </c>
      <c r="D890" s="20">
        <v>820</v>
      </c>
      <c r="E890" s="38">
        <v>1200</v>
      </c>
      <c r="F890" s="20" t="s">
        <v>8</v>
      </c>
      <c r="G890" s="43">
        <v>26</v>
      </c>
      <c r="H890" s="43">
        <v>24</v>
      </c>
      <c r="I890" s="43">
        <v>0</v>
      </c>
      <c r="J890" s="43">
        <v>0</v>
      </c>
      <c r="K890" s="1">
        <f t="shared" si="799"/>
        <v>-2400</v>
      </c>
      <c r="L890" s="43">
        <v>0</v>
      </c>
      <c r="M890" s="43">
        <v>0</v>
      </c>
      <c r="N890" s="1">
        <f t="shared" si="792"/>
        <v>-2</v>
      </c>
      <c r="O890" s="1">
        <f t="shared" si="796"/>
        <v>-2400</v>
      </c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</row>
    <row r="891" spans="1:33" s="32" customFormat="1" ht="15" customHeight="1">
      <c r="A891" s="37">
        <v>43620</v>
      </c>
      <c r="B891" s="20" t="s">
        <v>414</v>
      </c>
      <c r="C891" s="20" t="s">
        <v>47</v>
      </c>
      <c r="D891" s="20">
        <v>150</v>
      </c>
      <c r="E891" s="38">
        <v>1750</v>
      </c>
      <c r="F891" s="20" t="s">
        <v>8</v>
      </c>
      <c r="G891" s="43">
        <v>11</v>
      </c>
      <c r="H891" s="43">
        <v>10.8</v>
      </c>
      <c r="I891" s="43">
        <v>0</v>
      </c>
      <c r="J891" s="43">
        <v>0</v>
      </c>
      <c r="K891" s="1">
        <f t="shared" ref="K891:K892" si="800">(IF(F891="SELL",G891-H891,IF(F891="BUY",H891-G891)))*E891</f>
        <v>-349.99999999999875</v>
      </c>
      <c r="L891" s="43">
        <v>0</v>
      </c>
      <c r="M891" s="43">
        <v>0</v>
      </c>
      <c r="N891" s="1">
        <f t="shared" si="792"/>
        <v>-0.19999999999999929</v>
      </c>
      <c r="O891" s="1">
        <f t="shared" si="796"/>
        <v>-349.99999999999875</v>
      </c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</row>
    <row r="892" spans="1:33" s="32" customFormat="1" ht="15" customHeight="1">
      <c r="A892" s="37">
        <v>43620</v>
      </c>
      <c r="B892" s="20" t="s">
        <v>37</v>
      </c>
      <c r="C892" s="20" t="s">
        <v>47</v>
      </c>
      <c r="D892" s="20">
        <v>2220</v>
      </c>
      <c r="E892" s="38">
        <v>250</v>
      </c>
      <c r="F892" s="20" t="s">
        <v>8</v>
      </c>
      <c r="G892" s="43">
        <v>45</v>
      </c>
      <c r="H892" s="43">
        <v>36</v>
      </c>
      <c r="I892" s="43">
        <v>0</v>
      </c>
      <c r="J892" s="43">
        <v>0</v>
      </c>
      <c r="K892" s="1">
        <f t="shared" si="800"/>
        <v>-2250</v>
      </c>
      <c r="L892" s="43">
        <v>0</v>
      </c>
      <c r="M892" s="43">
        <v>0</v>
      </c>
      <c r="N892" s="1">
        <f t="shared" si="792"/>
        <v>-9</v>
      </c>
      <c r="O892" s="1">
        <f t="shared" si="796"/>
        <v>-2250</v>
      </c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</row>
    <row r="893" spans="1:33" s="32" customFormat="1" ht="15" customHeight="1">
      <c r="A893" s="37">
        <v>43619</v>
      </c>
      <c r="B893" s="20" t="s">
        <v>419</v>
      </c>
      <c r="C893" s="20" t="s">
        <v>47</v>
      </c>
      <c r="D893" s="20">
        <v>1300</v>
      </c>
      <c r="E893" s="38">
        <v>500</v>
      </c>
      <c r="F893" s="20" t="s">
        <v>8</v>
      </c>
      <c r="G893" s="43">
        <v>51</v>
      </c>
      <c r="H893" s="43">
        <v>54</v>
      </c>
      <c r="I893" s="43">
        <v>60</v>
      </c>
      <c r="J893" s="43">
        <v>0</v>
      </c>
      <c r="K893" s="1">
        <f t="shared" ref="K893:K896" si="801">(IF(F893="SELL",G893-H893,IF(F893="BUY",H893-G893)))*E893</f>
        <v>1500</v>
      </c>
      <c r="L893" s="43">
        <f>E893*6</f>
        <v>3000</v>
      </c>
      <c r="M893" s="43">
        <v>0</v>
      </c>
      <c r="N893" s="1">
        <f t="shared" si="792"/>
        <v>9</v>
      </c>
      <c r="O893" s="1">
        <f t="shared" si="796"/>
        <v>4500</v>
      </c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</row>
    <row r="894" spans="1:33" s="32" customFormat="1" ht="15" customHeight="1">
      <c r="A894" s="37">
        <v>43619</v>
      </c>
      <c r="B894" s="20" t="s">
        <v>420</v>
      </c>
      <c r="C894" s="20" t="s">
        <v>47</v>
      </c>
      <c r="D894" s="20">
        <v>1440</v>
      </c>
      <c r="E894" s="38">
        <v>600</v>
      </c>
      <c r="F894" s="20" t="s">
        <v>8</v>
      </c>
      <c r="G894" s="43">
        <v>35</v>
      </c>
      <c r="H894" s="43">
        <v>37.5</v>
      </c>
      <c r="I894" s="43">
        <v>42.3</v>
      </c>
      <c r="J894" s="43">
        <v>0</v>
      </c>
      <c r="K894" s="1">
        <f t="shared" si="801"/>
        <v>1500</v>
      </c>
      <c r="L894" s="43">
        <f>E894*4.8</f>
        <v>2880</v>
      </c>
      <c r="M894" s="43">
        <v>0</v>
      </c>
      <c r="N894" s="1">
        <f t="shared" si="792"/>
        <v>7.3</v>
      </c>
      <c r="O894" s="1">
        <f t="shared" si="796"/>
        <v>4380</v>
      </c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</row>
    <row r="895" spans="1:33" s="32" customFormat="1" ht="15" customHeight="1">
      <c r="A895" s="37">
        <v>43619</v>
      </c>
      <c r="B895" s="20" t="s">
        <v>38</v>
      </c>
      <c r="C895" s="20" t="s">
        <v>47</v>
      </c>
      <c r="D895" s="20">
        <v>7000</v>
      </c>
      <c r="E895" s="38">
        <v>75</v>
      </c>
      <c r="F895" s="20" t="s">
        <v>8</v>
      </c>
      <c r="G895" s="43">
        <v>200</v>
      </c>
      <c r="H895" s="43">
        <v>220</v>
      </c>
      <c r="I895" s="43">
        <v>0</v>
      </c>
      <c r="J895" s="43">
        <v>0</v>
      </c>
      <c r="K895" s="1">
        <f t="shared" si="801"/>
        <v>1500</v>
      </c>
      <c r="L895" s="43">
        <v>0</v>
      </c>
      <c r="M895" s="43">
        <v>0</v>
      </c>
      <c r="N895" s="1">
        <f t="shared" si="792"/>
        <v>20</v>
      </c>
      <c r="O895" s="1">
        <f t="shared" si="796"/>
        <v>1500</v>
      </c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</row>
    <row r="896" spans="1:33" s="32" customFormat="1" ht="15" customHeight="1">
      <c r="A896" s="37">
        <v>43619</v>
      </c>
      <c r="B896" s="20" t="s">
        <v>58</v>
      </c>
      <c r="C896" s="20" t="s">
        <v>47</v>
      </c>
      <c r="D896" s="20">
        <v>600</v>
      </c>
      <c r="E896" s="38">
        <v>100</v>
      </c>
      <c r="F896" s="20" t="s">
        <v>8</v>
      </c>
      <c r="G896" s="43">
        <v>16</v>
      </c>
      <c r="H896" s="43">
        <v>15.4</v>
      </c>
      <c r="I896" s="43">
        <v>0</v>
      </c>
      <c r="J896" s="43">
        <v>0</v>
      </c>
      <c r="K896" s="1">
        <f t="shared" si="801"/>
        <v>-59.999999999999964</v>
      </c>
      <c r="L896" s="43">
        <v>0</v>
      </c>
      <c r="M896" s="43">
        <v>0</v>
      </c>
      <c r="N896" s="1">
        <f t="shared" si="792"/>
        <v>-0.59999999999999964</v>
      </c>
      <c r="O896" s="1">
        <f t="shared" si="796"/>
        <v>-59.999999999999964</v>
      </c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</row>
    <row r="897" spans="1:33" s="32" customFormat="1" ht="15" customHeight="1">
      <c r="A897" s="37">
        <v>43616</v>
      </c>
      <c r="B897" s="20" t="s">
        <v>332</v>
      </c>
      <c r="C897" s="20" t="s">
        <v>47</v>
      </c>
      <c r="D897" s="20">
        <v>750</v>
      </c>
      <c r="E897" s="38">
        <v>1200</v>
      </c>
      <c r="F897" s="20" t="s">
        <v>8</v>
      </c>
      <c r="G897" s="43">
        <v>23</v>
      </c>
      <c r="H897" s="43">
        <v>24.3</v>
      </c>
      <c r="I897" s="43">
        <v>27</v>
      </c>
      <c r="J897" s="43">
        <v>0</v>
      </c>
      <c r="K897" s="1">
        <f t="shared" ref="K897:K899" si="802">(IF(F897="SELL",G897-H897,IF(F897="BUY",H897-G897)))*E897</f>
        <v>1560.0000000000009</v>
      </c>
      <c r="L897" s="43">
        <f>E897*2.7</f>
        <v>3240</v>
      </c>
      <c r="M897" s="43">
        <v>0</v>
      </c>
      <c r="N897" s="1">
        <f t="shared" si="792"/>
        <v>4.0000000000000009</v>
      </c>
      <c r="O897" s="1">
        <f t="shared" si="796"/>
        <v>4800.0000000000009</v>
      </c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</row>
    <row r="898" spans="1:33" s="32" customFormat="1" ht="15" customHeight="1">
      <c r="A898" s="37">
        <v>43616</v>
      </c>
      <c r="B898" s="20" t="s">
        <v>63</v>
      </c>
      <c r="C898" s="20" t="s">
        <v>47</v>
      </c>
      <c r="D898" s="20">
        <v>320</v>
      </c>
      <c r="E898" s="38">
        <v>2100</v>
      </c>
      <c r="F898" s="20" t="s">
        <v>8</v>
      </c>
      <c r="G898" s="43">
        <v>13</v>
      </c>
      <c r="H898" s="43">
        <v>13.8</v>
      </c>
      <c r="I898" s="43">
        <v>0</v>
      </c>
      <c r="J898" s="43">
        <v>0</v>
      </c>
      <c r="K898" s="1">
        <f t="shared" si="802"/>
        <v>1680.0000000000016</v>
      </c>
      <c r="L898" s="43">
        <v>0</v>
      </c>
      <c r="M898" s="43">
        <v>0</v>
      </c>
      <c r="N898" s="1">
        <f t="shared" si="792"/>
        <v>0.80000000000000071</v>
      </c>
      <c r="O898" s="1">
        <f t="shared" si="796"/>
        <v>1680.0000000000016</v>
      </c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</row>
    <row r="899" spans="1:33" s="32" customFormat="1" ht="15" customHeight="1">
      <c r="A899" s="37">
        <v>43616</v>
      </c>
      <c r="B899" s="20" t="s">
        <v>24</v>
      </c>
      <c r="C899" s="20" t="s">
        <v>46</v>
      </c>
      <c r="D899" s="20">
        <v>170</v>
      </c>
      <c r="E899" s="38">
        <v>2000</v>
      </c>
      <c r="F899" s="20" t="s">
        <v>8</v>
      </c>
      <c r="G899" s="43">
        <v>7.5</v>
      </c>
      <c r="H899" s="43">
        <v>8.35</v>
      </c>
      <c r="I899" s="43">
        <v>0</v>
      </c>
      <c r="J899" s="43">
        <v>0</v>
      </c>
      <c r="K899" s="1">
        <f t="shared" si="802"/>
        <v>1699.9999999999993</v>
      </c>
      <c r="L899" s="43">
        <v>0</v>
      </c>
      <c r="M899" s="43">
        <v>0</v>
      </c>
      <c r="N899" s="1">
        <f t="shared" si="792"/>
        <v>0.84999999999999964</v>
      </c>
      <c r="O899" s="1">
        <f t="shared" si="796"/>
        <v>1699.9999999999993</v>
      </c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</row>
    <row r="900" spans="1:33" s="32" customFormat="1" ht="15" customHeight="1">
      <c r="A900" s="37">
        <v>43615</v>
      </c>
      <c r="B900" s="20" t="s">
        <v>65</v>
      </c>
      <c r="C900" s="20" t="s">
        <v>47</v>
      </c>
      <c r="D900" s="20">
        <v>720</v>
      </c>
      <c r="E900" s="38">
        <v>1400</v>
      </c>
      <c r="F900" s="20" t="s">
        <v>8</v>
      </c>
      <c r="G900" s="43">
        <v>3.5</v>
      </c>
      <c r="H900" s="43">
        <v>6</v>
      </c>
      <c r="I900" s="43">
        <v>9</v>
      </c>
      <c r="J900" s="43">
        <v>0</v>
      </c>
      <c r="K900" s="1">
        <f>(IF(F900="SELL",G900-H900,IF(F900="BUY",H900-G900)))*E900</f>
        <v>3500</v>
      </c>
      <c r="L900" s="43">
        <f>E900*3</f>
        <v>4200</v>
      </c>
      <c r="M900" s="43">
        <v>0</v>
      </c>
      <c r="N900" s="1">
        <f t="shared" si="792"/>
        <v>5.5</v>
      </c>
      <c r="O900" s="1">
        <f t="shared" si="796"/>
        <v>7700</v>
      </c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</row>
    <row r="901" spans="1:33" s="32" customFormat="1" ht="15" customHeight="1">
      <c r="A901" s="37">
        <v>43615</v>
      </c>
      <c r="B901" s="20" t="s">
        <v>418</v>
      </c>
      <c r="C901" s="20" t="s">
        <v>47</v>
      </c>
      <c r="D901" s="20">
        <v>390</v>
      </c>
      <c r="E901" s="38">
        <v>1500</v>
      </c>
      <c r="F901" s="20" t="s">
        <v>8</v>
      </c>
      <c r="G901" s="43">
        <v>4</v>
      </c>
      <c r="H901" s="43">
        <v>6</v>
      </c>
      <c r="I901" s="43">
        <v>0</v>
      </c>
      <c r="J901" s="43">
        <v>0</v>
      </c>
      <c r="K901" s="1">
        <f t="shared" ref="K901:K902" si="803">(IF(F901="SELL",G901-H901,IF(F901="BUY",H901-G901)))*E901</f>
        <v>3000</v>
      </c>
      <c r="L901" s="43">
        <v>0</v>
      </c>
      <c r="M901" s="43">
        <v>0</v>
      </c>
      <c r="N901" s="1">
        <f t="shared" si="792"/>
        <v>2</v>
      </c>
      <c r="O901" s="1">
        <f t="shared" si="796"/>
        <v>3000</v>
      </c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</row>
    <row r="902" spans="1:33" s="32" customFormat="1" ht="15" customHeight="1">
      <c r="A902" s="37">
        <v>43615</v>
      </c>
      <c r="B902" s="20" t="s">
        <v>414</v>
      </c>
      <c r="C902" s="20" t="s">
        <v>47</v>
      </c>
      <c r="D902" s="20">
        <v>150</v>
      </c>
      <c r="E902" s="38">
        <v>1750</v>
      </c>
      <c r="F902" s="20" t="s">
        <v>8</v>
      </c>
      <c r="G902" s="43">
        <v>4.5</v>
      </c>
      <c r="H902" s="43">
        <v>5.5</v>
      </c>
      <c r="I902" s="43">
        <v>0</v>
      </c>
      <c r="J902" s="43">
        <v>0</v>
      </c>
      <c r="K902" s="1">
        <f t="shared" si="803"/>
        <v>1750</v>
      </c>
      <c r="L902" s="43">
        <v>0</v>
      </c>
      <c r="M902" s="43">
        <v>0</v>
      </c>
      <c r="N902" s="1">
        <f t="shared" si="792"/>
        <v>1</v>
      </c>
      <c r="O902" s="1">
        <f t="shared" si="796"/>
        <v>1750</v>
      </c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</row>
    <row r="903" spans="1:33" s="32" customFormat="1" ht="15" customHeight="1">
      <c r="A903" s="37">
        <v>43614</v>
      </c>
      <c r="B903" s="20" t="s">
        <v>77</v>
      </c>
      <c r="C903" s="20" t="s">
        <v>47</v>
      </c>
      <c r="D903" s="20">
        <v>350</v>
      </c>
      <c r="E903" s="38">
        <v>2667</v>
      </c>
      <c r="F903" s="20" t="s">
        <v>8</v>
      </c>
      <c r="G903" s="43">
        <v>6.5</v>
      </c>
      <c r="H903" s="43">
        <v>7.75</v>
      </c>
      <c r="I903" s="43">
        <v>9</v>
      </c>
      <c r="J903" s="43">
        <v>11</v>
      </c>
      <c r="K903" s="1">
        <f t="shared" ref="K903:K906" si="804">(IF(F903="SELL",G903-H903,IF(F903="BUY",H903-G903)))*E903</f>
        <v>3333.75</v>
      </c>
      <c r="L903" s="43">
        <f>E903*1.25</f>
        <v>3333.75</v>
      </c>
      <c r="M903" s="43">
        <f>E903*2</f>
        <v>5334</v>
      </c>
      <c r="N903" s="1">
        <f t="shared" si="792"/>
        <v>4.5</v>
      </c>
      <c r="O903" s="1">
        <f t="shared" si="796"/>
        <v>12001.5</v>
      </c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</row>
    <row r="904" spans="1:33" s="32" customFormat="1" ht="15" customHeight="1">
      <c r="A904" s="37">
        <v>43614</v>
      </c>
      <c r="B904" s="20" t="s">
        <v>71</v>
      </c>
      <c r="C904" s="20" t="s">
        <v>47</v>
      </c>
      <c r="D904" s="20">
        <v>290</v>
      </c>
      <c r="E904" s="38">
        <v>1500</v>
      </c>
      <c r="F904" s="20" t="s">
        <v>8</v>
      </c>
      <c r="G904" s="43">
        <v>6</v>
      </c>
      <c r="H904" s="43">
        <v>3</v>
      </c>
      <c r="I904" s="43">
        <v>0</v>
      </c>
      <c r="J904" s="43">
        <v>0</v>
      </c>
      <c r="K904" s="1">
        <f t="shared" si="804"/>
        <v>-4500</v>
      </c>
      <c r="L904" s="43">
        <v>0</v>
      </c>
      <c r="M904" s="43">
        <v>0</v>
      </c>
      <c r="N904" s="1">
        <f t="shared" si="792"/>
        <v>-3</v>
      </c>
      <c r="O904" s="1">
        <f t="shared" si="796"/>
        <v>-4500</v>
      </c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</row>
    <row r="905" spans="1:33" s="32" customFormat="1" ht="15" customHeight="1">
      <c r="A905" s="37">
        <v>43614</v>
      </c>
      <c r="B905" s="20" t="s">
        <v>73</v>
      </c>
      <c r="C905" s="20" t="s">
        <v>46</v>
      </c>
      <c r="D905" s="20">
        <v>150</v>
      </c>
      <c r="E905" s="38">
        <v>1560</v>
      </c>
      <c r="F905" s="20" t="s">
        <v>8</v>
      </c>
      <c r="G905" s="43">
        <v>12</v>
      </c>
      <c r="H905" s="43">
        <v>16</v>
      </c>
      <c r="I905" s="43">
        <v>0</v>
      </c>
      <c r="J905" s="43">
        <v>0</v>
      </c>
      <c r="K905" s="1">
        <f t="shared" si="804"/>
        <v>6240</v>
      </c>
      <c r="L905" s="43">
        <v>0</v>
      </c>
      <c r="M905" s="43">
        <v>0</v>
      </c>
      <c r="N905" s="1">
        <f t="shared" si="792"/>
        <v>4</v>
      </c>
      <c r="O905" s="1">
        <f t="shared" si="796"/>
        <v>6240</v>
      </c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</row>
    <row r="906" spans="1:33" s="32" customFormat="1" ht="15" customHeight="1">
      <c r="A906" s="37">
        <v>43614</v>
      </c>
      <c r="B906" s="20" t="s">
        <v>22</v>
      </c>
      <c r="C906" s="20" t="s">
        <v>46</v>
      </c>
      <c r="D906" s="20">
        <v>190</v>
      </c>
      <c r="E906" s="38">
        <v>2600</v>
      </c>
      <c r="F906" s="20" t="s">
        <v>8</v>
      </c>
      <c r="G906" s="43">
        <v>1.9</v>
      </c>
      <c r="H906" s="43">
        <v>0.65</v>
      </c>
      <c r="I906" s="43">
        <v>0</v>
      </c>
      <c r="J906" s="43">
        <v>0</v>
      </c>
      <c r="K906" s="1">
        <f t="shared" si="804"/>
        <v>-3250</v>
      </c>
      <c r="L906" s="43">
        <v>0</v>
      </c>
      <c r="M906" s="43">
        <v>0</v>
      </c>
      <c r="N906" s="1">
        <f t="shared" si="792"/>
        <v>-1.25</v>
      </c>
      <c r="O906" s="1">
        <f t="shared" si="796"/>
        <v>-3250</v>
      </c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</row>
    <row r="907" spans="1:33" s="32" customFormat="1" ht="15" customHeight="1">
      <c r="A907" s="37">
        <v>43613</v>
      </c>
      <c r="B907" s="20" t="s">
        <v>395</v>
      </c>
      <c r="C907" s="20" t="s">
        <v>47</v>
      </c>
      <c r="D907" s="20">
        <v>400</v>
      </c>
      <c r="E907" s="38">
        <v>1800</v>
      </c>
      <c r="F907" s="20" t="s">
        <v>8</v>
      </c>
      <c r="G907" s="43">
        <v>8.1999999999999993</v>
      </c>
      <c r="H907" s="43">
        <v>9.1999999999999993</v>
      </c>
      <c r="I907" s="43">
        <v>11</v>
      </c>
      <c r="J907" s="43">
        <v>0</v>
      </c>
      <c r="K907" s="1">
        <f>(IF(F907="SELL",G907-H907,IF(F907="BUY",H907-G907)))*E907</f>
        <v>1800</v>
      </c>
      <c r="L907" s="43">
        <f>E907*1.8</f>
        <v>3240</v>
      </c>
      <c r="M907" s="43">
        <v>0</v>
      </c>
      <c r="N907" s="1">
        <f t="shared" si="792"/>
        <v>2.8</v>
      </c>
      <c r="O907" s="1">
        <f t="shared" si="796"/>
        <v>5040</v>
      </c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</row>
    <row r="908" spans="1:33" s="32" customFormat="1" ht="15" customHeight="1">
      <c r="A908" s="37">
        <v>43613</v>
      </c>
      <c r="B908" s="20" t="s">
        <v>414</v>
      </c>
      <c r="C908" s="20" t="s">
        <v>47</v>
      </c>
      <c r="D908" s="20">
        <v>150</v>
      </c>
      <c r="E908" s="38">
        <v>1750</v>
      </c>
      <c r="F908" s="20" t="s">
        <v>8</v>
      </c>
      <c r="G908" s="43">
        <v>4</v>
      </c>
      <c r="H908" s="43">
        <v>5.5</v>
      </c>
      <c r="I908" s="43">
        <v>0</v>
      </c>
      <c r="J908" s="43">
        <v>0</v>
      </c>
      <c r="K908" s="1">
        <f t="shared" ref="K908:K910" si="805">(IF(F908="SELL",G908-H908,IF(F908="BUY",H908-G908)))*E908</f>
        <v>2625</v>
      </c>
      <c r="L908" s="43">
        <v>0</v>
      </c>
      <c r="M908" s="43">
        <v>0</v>
      </c>
      <c r="N908" s="1">
        <f t="shared" si="792"/>
        <v>1.5</v>
      </c>
      <c r="O908" s="1">
        <f t="shared" si="796"/>
        <v>2625</v>
      </c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</row>
    <row r="909" spans="1:33" s="32" customFormat="1" ht="15" customHeight="1">
      <c r="A909" s="37">
        <v>43613</v>
      </c>
      <c r="B909" s="20" t="s">
        <v>71</v>
      </c>
      <c r="C909" s="20" t="s">
        <v>47</v>
      </c>
      <c r="D909" s="20">
        <v>290</v>
      </c>
      <c r="E909" s="38">
        <v>1500</v>
      </c>
      <c r="F909" s="20" t="s">
        <v>8</v>
      </c>
      <c r="G909" s="43">
        <v>6.5</v>
      </c>
      <c r="H909" s="43">
        <v>8</v>
      </c>
      <c r="I909" s="43">
        <v>0</v>
      </c>
      <c r="J909" s="43">
        <v>0</v>
      </c>
      <c r="K909" s="1">
        <f t="shared" si="805"/>
        <v>2250</v>
      </c>
      <c r="L909" s="43">
        <v>0</v>
      </c>
      <c r="M909" s="43">
        <v>0</v>
      </c>
      <c r="N909" s="1">
        <f t="shared" si="792"/>
        <v>1.5</v>
      </c>
      <c r="O909" s="1">
        <f t="shared" si="796"/>
        <v>2250</v>
      </c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</row>
    <row r="910" spans="1:33" s="32" customFormat="1" ht="15" customHeight="1">
      <c r="A910" s="37">
        <v>43613</v>
      </c>
      <c r="B910" s="20" t="s">
        <v>37</v>
      </c>
      <c r="C910" s="20" t="s">
        <v>47</v>
      </c>
      <c r="D910" s="20">
        <v>2100</v>
      </c>
      <c r="E910" s="38">
        <v>250</v>
      </c>
      <c r="F910" s="20" t="s">
        <v>8</v>
      </c>
      <c r="G910" s="43">
        <v>20</v>
      </c>
      <c r="H910" s="43">
        <v>14.45</v>
      </c>
      <c r="I910" s="43">
        <v>0</v>
      </c>
      <c r="J910" s="43">
        <v>0</v>
      </c>
      <c r="K910" s="1">
        <f t="shared" si="805"/>
        <v>-1387.5000000000002</v>
      </c>
      <c r="L910" s="43">
        <v>0</v>
      </c>
      <c r="M910" s="43">
        <v>0</v>
      </c>
      <c r="N910" s="1">
        <f t="shared" si="792"/>
        <v>-5.5500000000000007</v>
      </c>
      <c r="O910" s="1">
        <f t="shared" si="796"/>
        <v>-1387.5000000000002</v>
      </c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</row>
    <row r="911" spans="1:33" s="32" customFormat="1" ht="15" customHeight="1">
      <c r="A911" s="37">
        <v>43612</v>
      </c>
      <c r="B911" s="20" t="s">
        <v>73</v>
      </c>
      <c r="C911" s="20" t="s">
        <v>47</v>
      </c>
      <c r="D911" s="20">
        <v>1540</v>
      </c>
      <c r="E911" s="38">
        <v>375</v>
      </c>
      <c r="F911" s="20" t="s">
        <v>8</v>
      </c>
      <c r="G911" s="43">
        <v>28</v>
      </c>
      <c r="H911" s="43">
        <v>33</v>
      </c>
      <c r="I911" s="43">
        <v>43</v>
      </c>
      <c r="J911" s="43">
        <v>0</v>
      </c>
      <c r="K911" s="1">
        <f t="shared" ref="K911:K914" si="806">(IF(F911="SELL",G911-H911,IF(F911="BUY",H911-G911)))*E911</f>
        <v>1875</v>
      </c>
      <c r="L911" s="43">
        <f>E911*10</f>
        <v>3750</v>
      </c>
      <c r="M911" s="43">
        <v>0</v>
      </c>
      <c r="N911" s="1">
        <f t="shared" si="792"/>
        <v>15</v>
      </c>
      <c r="O911" s="1">
        <f t="shared" si="796"/>
        <v>5625</v>
      </c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</row>
    <row r="912" spans="1:33" s="32" customFormat="1" ht="15" customHeight="1">
      <c r="A912" s="37">
        <v>43612</v>
      </c>
      <c r="B912" s="20" t="s">
        <v>72</v>
      </c>
      <c r="C912" s="20" t="s">
        <v>47</v>
      </c>
      <c r="D912" s="20">
        <v>400</v>
      </c>
      <c r="E912" s="38">
        <v>1800</v>
      </c>
      <c r="F912" s="20" t="s">
        <v>8</v>
      </c>
      <c r="G912" s="43">
        <v>6.2</v>
      </c>
      <c r="H912" s="43">
        <v>7.2</v>
      </c>
      <c r="I912" s="43">
        <v>9</v>
      </c>
      <c r="J912" s="43">
        <v>0</v>
      </c>
      <c r="K912" s="1">
        <f t="shared" si="806"/>
        <v>1800</v>
      </c>
      <c r="L912" s="43">
        <f>E912*1.8</f>
        <v>3240</v>
      </c>
      <c r="M912" s="43">
        <v>0</v>
      </c>
      <c r="N912" s="1">
        <f t="shared" si="792"/>
        <v>2.8</v>
      </c>
      <c r="O912" s="1">
        <f t="shared" si="796"/>
        <v>5040</v>
      </c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</row>
    <row r="913" spans="1:33" s="32" customFormat="1" ht="15" customHeight="1">
      <c r="A913" s="37">
        <v>43612</v>
      </c>
      <c r="B913" s="20" t="s">
        <v>71</v>
      </c>
      <c r="C913" s="20" t="s">
        <v>47</v>
      </c>
      <c r="D913" s="20">
        <v>285</v>
      </c>
      <c r="E913" s="38">
        <v>1500</v>
      </c>
      <c r="F913" s="20" t="s">
        <v>8</v>
      </c>
      <c r="G913" s="43">
        <v>6.35</v>
      </c>
      <c r="H913" s="43">
        <v>7.35</v>
      </c>
      <c r="I913" s="43">
        <v>0</v>
      </c>
      <c r="J913" s="43">
        <v>0</v>
      </c>
      <c r="K913" s="1">
        <f t="shared" si="806"/>
        <v>1500</v>
      </c>
      <c r="L913" s="43">
        <v>0</v>
      </c>
      <c r="M913" s="43">
        <v>0</v>
      </c>
      <c r="N913" s="1">
        <f t="shared" si="792"/>
        <v>1</v>
      </c>
      <c r="O913" s="1">
        <f t="shared" si="796"/>
        <v>1500</v>
      </c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</row>
    <row r="914" spans="1:33" s="32" customFormat="1" ht="15" customHeight="1">
      <c r="A914" s="37">
        <v>43612</v>
      </c>
      <c r="B914" s="20" t="s">
        <v>65</v>
      </c>
      <c r="C914" s="20" t="s">
        <v>47</v>
      </c>
      <c r="D914" s="20">
        <v>700</v>
      </c>
      <c r="E914" s="38">
        <v>1400</v>
      </c>
      <c r="F914" s="20" t="s">
        <v>8</v>
      </c>
      <c r="G914" s="43">
        <v>15</v>
      </c>
      <c r="H914" s="43">
        <v>10</v>
      </c>
      <c r="I914" s="43">
        <v>0</v>
      </c>
      <c r="J914" s="43">
        <v>0</v>
      </c>
      <c r="K914" s="1">
        <f t="shared" si="806"/>
        <v>-7000</v>
      </c>
      <c r="L914" s="43">
        <v>0</v>
      </c>
      <c r="M914" s="43">
        <v>0</v>
      </c>
      <c r="N914" s="1">
        <f t="shared" si="792"/>
        <v>-5</v>
      </c>
      <c r="O914" s="1">
        <f t="shared" si="796"/>
        <v>-7000</v>
      </c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</row>
    <row r="915" spans="1:33" s="32" customFormat="1" ht="15" customHeight="1">
      <c r="A915" s="37">
        <v>43609</v>
      </c>
      <c r="B915" s="20" t="s">
        <v>22</v>
      </c>
      <c r="C915" s="20" t="s">
        <v>47</v>
      </c>
      <c r="D915" s="20">
        <v>185</v>
      </c>
      <c r="E915" s="38">
        <v>2600</v>
      </c>
      <c r="F915" s="20" t="s">
        <v>8</v>
      </c>
      <c r="G915" s="43">
        <v>5.25</v>
      </c>
      <c r="H915" s="43">
        <v>6.25</v>
      </c>
      <c r="I915" s="43">
        <v>8</v>
      </c>
      <c r="J915" s="43">
        <v>0</v>
      </c>
      <c r="K915" s="1">
        <f>(IF(F915="SELL",G915-H915,IF(F915="BUY",H915-G915)))*E915</f>
        <v>2600</v>
      </c>
      <c r="L915" s="43">
        <f>E915*1.75</f>
        <v>4550</v>
      </c>
      <c r="M915" s="43">
        <v>0</v>
      </c>
      <c r="N915" s="1">
        <f t="shared" si="792"/>
        <v>2.75</v>
      </c>
      <c r="O915" s="1">
        <f t="shared" si="796"/>
        <v>7150</v>
      </c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</row>
    <row r="916" spans="1:33" s="32" customFormat="1" ht="15" customHeight="1">
      <c r="A916" s="37">
        <v>43609</v>
      </c>
      <c r="B916" s="20" t="s">
        <v>21</v>
      </c>
      <c r="C916" s="20" t="s">
        <v>47</v>
      </c>
      <c r="D916" s="20">
        <v>340</v>
      </c>
      <c r="E916" s="38">
        <v>3000</v>
      </c>
      <c r="F916" s="20" t="s">
        <v>8</v>
      </c>
      <c r="G916" s="43">
        <v>10.3</v>
      </c>
      <c r="H916" s="43">
        <v>10.8</v>
      </c>
      <c r="I916" s="43">
        <v>12</v>
      </c>
      <c r="J916" s="43">
        <v>0</v>
      </c>
      <c r="K916" s="1">
        <f t="shared" ref="K916:K919" si="807">(IF(F916="SELL",G916-H916,IF(F916="BUY",H916-G916)))*E916</f>
        <v>1500</v>
      </c>
      <c r="L916" s="43">
        <f>E916*1.2</f>
        <v>3600</v>
      </c>
      <c r="M916" s="43">
        <v>0</v>
      </c>
      <c r="N916" s="1">
        <f t="shared" si="792"/>
        <v>1.7</v>
      </c>
      <c r="O916" s="1">
        <f t="shared" si="796"/>
        <v>5100</v>
      </c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</row>
    <row r="917" spans="1:33" s="32" customFormat="1" ht="15" customHeight="1">
      <c r="A917" s="37">
        <v>43609</v>
      </c>
      <c r="B917" s="20" t="s">
        <v>73</v>
      </c>
      <c r="C917" s="20" t="s">
        <v>47</v>
      </c>
      <c r="D917" s="20">
        <v>1520</v>
      </c>
      <c r="E917" s="38">
        <v>375</v>
      </c>
      <c r="F917" s="20" t="s">
        <v>8</v>
      </c>
      <c r="G917" s="43">
        <v>24</v>
      </c>
      <c r="H917" s="43">
        <v>29</v>
      </c>
      <c r="I917" s="43">
        <v>36.950000000000003</v>
      </c>
      <c r="J917" s="43">
        <v>0</v>
      </c>
      <c r="K917" s="1">
        <f t="shared" si="807"/>
        <v>1875</v>
      </c>
      <c r="L917" s="43">
        <f>E917*7.95</f>
        <v>2981.25</v>
      </c>
      <c r="M917" s="43">
        <v>0</v>
      </c>
      <c r="N917" s="1">
        <f t="shared" si="792"/>
        <v>12.95</v>
      </c>
      <c r="O917" s="1">
        <f t="shared" si="796"/>
        <v>4856.25</v>
      </c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</row>
    <row r="918" spans="1:33" s="32" customFormat="1" ht="15" customHeight="1">
      <c r="A918" s="37">
        <v>43609</v>
      </c>
      <c r="B918" s="20" t="s">
        <v>98</v>
      </c>
      <c r="C918" s="20" t="s">
        <v>47</v>
      </c>
      <c r="D918" s="20">
        <v>520</v>
      </c>
      <c r="E918" s="38">
        <v>900</v>
      </c>
      <c r="F918" s="20" t="s">
        <v>8</v>
      </c>
      <c r="G918" s="43">
        <v>12</v>
      </c>
      <c r="H918" s="43">
        <v>15</v>
      </c>
      <c r="I918" s="43">
        <v>18</v>
      </c>
      <c r="J918" s="43">
        <v>0</v>
      </c>
      <c r="K918" s="1">
        <f t="shared" si="807"/>
        <v>2700</v>
      </c>
      <c r="L918" s="43">
        <f>E918*3</f>
        <v>2700</v>
      </c>
      <c r="M918" s="43">
        <v>0</v>
      </c>
      <c r="N918" s="1">
        <f t="shared" si="792"/>
        <v>6</v>
      </c>
      <c r="O918" s="1">
        <f t="shared" si="796"/>
        <v>5400</v>
      </c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</row>
    <row r="919" spans="1:33" s="32" customFormat="1" ht="15" customHeight="1">
      <c r="A919" s="37">
        <v>43609</v>
      </c>
      <c r="B919" s="20" t="s">
        <v>72</v>
      </c>
      <c r="C919" s="20" t="s">
        <v>47</v>
      </c>
      <c r="D919" s="20">
        <v>390</v>
      </c>
      <c r="E919" s="38">
        <v>1800</v>
      </c>
      <c r="F919" s="20" t="s">
        <v>8</v>
      </c>
      <c r="G919" s="43">
        <v>13.5</v>
      </c>
      <c r="H919" s="43">
        <v>9.6</v>
      </c>
      <c r="I919" s="43">
        <v>0</v>
      </c>
      <c r="J919" s="43">
        <v>0</v>
      </c>
      <c r="K919" s="1">
        <f t="shared" si="807"/>
        <v>-7020.0000000000009</v>
      </c>
      <c r="L919" s="43">
        <v>0</v>
      </c>
      <c r="M919" s="43">
        <v>0</v>
      </c>
      <c r="N919" s="1">
        <f t="shared" si="792"/>
        <v>-3.9000000000000004</v>
      </c>
      <c r="O919" s="1">
        <f t="shared" si="796"/>
        <v>-7020.0000000000009</v>
      </c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</row>
    <row r="920" spans="1:33" s="32" customFormat="1" ht="15" customHeight="1">
      <c r="A920" s="37">
        <v>43608</v>
      </c>
      <c r="B920" s="20" t="s">
        <v>73</v>
      </c>
      <c r="C920" s="20" t="s">
        <v>47</v>
      </c>
      <c r="D920" s="20">
        <v>1520</v>
      </c>
      <c r="E920" s="38">
        <v>375</v>
      </c>
      <c r="F920" s="20" t="s">
        <v>8</v>
      </c>
      <c r="G920" s="43">
        <v>28</v>
      </c>
      <c r="H920" s="43">
        <v>33</v>
      </c>
      <c r="I920" s="43">
        <v>43</v>
      </c>
      <c r="J920" s="43">
        <v>0</v>
      </c>
      <c r="K920" s="1">
        <f t="shared" ref="K920:K923" si="808">(IF(F920="SELL",G920-H920,IF(F920="BUY",H920-G920)))*E920</f>
        <v>1875</v>
      </c>
      <c r="L920" s="43">
        <f>E920*10</f>
        <v>3750</v>
      </c>
      <c r="M920" s="43">
        <v>0</v>
      </c>
      <c r="N920" s="1">
        <f t="shared" si="792"/>
        <v>15</v>
      </c>
      <c r="O920" s="1">
        <f t="shared" si="796"/>
        <v>5625</v>
      </c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</row>
    <row r="921" spans="1:33" s="32" customFormat="1" ht="15" customHeight="1">
      <c r="A921" s="37">
        <v>43608</v>
      </c>
      <c r="B921" s="20" t="s">
        <v>17</v>
      </c>
      <c r="C921" s="20" t="s">
        <v>47</v>
      </c>
      <c r="D921" s="20">
        <v>780</v>
      </c>
      <c r="E921" s="38">
        <v>1200</v>
      </c>
      <c r="F921" s="20" t="s">
        <v>8</v>
      </c>
      <c r="G921" s="43">
        <v>25.5</v>
      </c>
      <c r="H921" s="43">
        <v>27</v>
      </c>
      <c r="I921" s="43">
        <v>0</v>
      </c>
      <c r="J921" s="43">
        <v>0</v>
      </c>
      <c r="K921" s="1">
        <f t="shared" si="808"/>
        <v>1800</v>
      </c>
      <c r="L921" s="43">
        <v>0</v>
      </c>
      <c r="M921" s="43">
        <v>0</v>
      </c>
      <c r="N921" s="1">
        <f t="shared" si="792"/>
        <v>1.5</v>
      </c>
      <c r="O921" s="1">
        <f t="shared" si="796"/>
        <v>1800</v>
      </c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</row>
    <row r="922" spans="1:33" s="32" customFormat="1" ht="15" customHeight="1">
      <c r="A922" s="37">
        <v>43608</v>
      </c>
      <c r="B922" s="20" t="s">
        <v>21</v>
      </c>
      <c r="C922" s="20" t="s">
        <v>47</v>
      </c>
      <c r="D922" s="20">
        <v>360</v>
      </c>
      <c r="E922" s="38">
        <v>3000</v>
      </c>
      <c r="F922" s="20" t="s">
        <v>8</v>
      </c>
      <c r="G922" s="43">
        <v>9.3000000000000007</v>
      </c>
      <c r="H922" s="43">
        <v>10</v>
      </c>
      <c r="I922" s="43">
        <v>0</v>
      </c>
      <c r="J922" s="43">
        <v>0</v>
      </c>
      <c r="K922" s="1">
        <f t="shared" si="808"/>
        <v>2099.9999999999977</v>
      </c>
      <c r="L922" s="43">
        <v>0</v>
      </c>
      <c r="M922" s="43">
        <v>0</v>
      </c>
      <c r="N922" s="1">
        <f t="shared" si="792"/>
        <v>0.69999999999999929</v>
      </c>
      <c r="O922" s="1">
        <f t="shared" si="796"/>
        <v>2099.9999999999977</v>
      </c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</row>
    <row r="923" spans="1:33" s="32" customFormat="1" ht="15" customHeight="1">
      <c r="A923" s="37">
        <v>43608</v>
      </c>
      <c r="B923" s="20" t="s">
        <v>21</v>
      </c>
      <c r="C923" s="20" t="s">
        <v>47</v>
      </c>
      <c r="D923" s="20">
        <v>355</v>
      </c>
      <c r="E923" s="38">
        <v>3000</v>
      </c>
      <c r="F923" s="20" t="s">
        <v>8</v>
      </c>
      <c r="G923" s="43">
        <v>12</v>
      </c>
      <c r="H923" s="43">
        <v>9</v>
      </c>
      <c r="I923" s="43">
        <v>0</v>
      </c>
      <c r="J923" s="43">
        <v>0</v>
      </c>
      <c r="K923" s="1">
        <f t="shared" si="808"/>
        <v>-9000</v>
      </c>
      <c r="L923" s="43">
        <v>0</v>
      </c>
      <c r="M923" s="43">
        <v>0</v>
      </c>
      <c r="N923" s="1">
        <f t="shared" si="792"/>
        <v>-3</v>
      </c>
      <c r="O923" s="1">
        <f t="shared" si="796"/>
        <v>-9000</v>
      </c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</row>
    <row r="924" spans="1:33" s="32" customFormat="1" ht="15" customHeight="1">
      <c r="A924" s="37">
        <v>43607</v>
      </c>
      <c r="B924" s="20" t="s">
        <v>73</v>
      </c>
      <c r="C924" s="20" t="s">
        <v>47</v>
      </c>
      <c r="D924" s="20">
        <v>1460</v>
      </c>
      <c r="E924" s="38">
        <v>375</v>
      </c>
      <c r="F924" s="20" t="s">
        <v>8</v>
      </c>
      <c r="G924" s="43">
        <v>35</v>
      </c>
      <c r="H924" s="43">
        <v>40</v>
      </c>
      <c r="I924" s="43">
        <v>50</v>
      </c>
      <c r="J924" s="43">
        <v>0</v>
      </c>
      <c r="K924" s="1">
        <f t="shared" ref="K924:K926" si="809">(IF(F924="SELL",G924-H924,IF(F924="BUY",H924-G924)))*E924</f>
        <v>1875</v>
      </c>
      <c r="L924" s="43">
        <f>E924*10</f>
        <v>3750</v>
      </c>
      <c r="M924" s="43">
        <v>0</v>
      </c>
      <c r="N924" s="1">
        <f t="shared" si="792"/>
        <v>15</v>
      </c>
      <c r="O924" s="1">
        <f t="shared" si="796"/>
        <v>5625</v>
      </c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</row>
    <row r="925" spans="1:33" s="32" customFormat="1" ht="15" customHeight="1">
      <c r="A925" s="37">
        <v>43607</v>
      </c>
      <c r="B925" s="20" t="s">
        <v>80</v>
      </c>
      <c r="C925" s="20" t="s">
        <v>47</v>
      </c>
      <c r="D925" s="20">
        <v>360</v>
      </c>
      <c r="E925" s="38">
        <v>1500</v>
      </c>
      <c r="F925" s="20" t="s">
        <v>8</v>
      </c>
      <c r="G925" s="43">
        <v>9.5</v>
      </c>
      <c r="H925" s="43">
        <v>10.8</v>
      </c>
      <c r="I925" s="43">
        <v>0</v>
      </c>
      <c r="J925" s="43">
        <v>0</v>
      </c>
      <c r="K925" s="1">
        <f t="shared" si="809"/>
        <v>1950.0000000000011</v>
      </c>
      <c r="L925" s="43">
        <v>0</v>
      </c>
      <c r="M925" s="43">
        <v>0</v>
      </c>
      <c r="N925" s="1">
        <f t="shared" si="792"/>
        <v>1.3000000000000007</v>
      </c>
      <c r="O925" s="1">
        <f t="shared" si="796"/>
        <v>1950.0000000000011</v>
      </c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</row>
    <row r="926" spans="1:33" s="32" customFormat="1" ht="15" customHeight="1">
      <c r="A926" s="37">
        <v>43607</v>
      </c>
      <c r="B926" s="20" t="s">
        <v>174</v>
      </c>
      <c r="C926" s="20" t="s">
        <v>47</v>
      </c>
      <c r="D926" s="20">
        <v>260</v>
      </c>
      <c r="E926" s="38">
        <v>2000</v>
      </c>
      <c r="F926" s="20" t="s">
        <v>8</v>
      </c>
      <c r="G926" s="43">
        <v>14.5</v>
      </c>
      <c r="H926" s="43">
        <v>15.3</v>
      </c>
      <c r="I926" s="43">
        <v>17</v>
      </c>
      <c r="J926" s="43">
        <v>0</v>
      </c>
      <c r="K926" s="1">
        <f t="shared" si="809"/>
        <v>1600.0000000000014</v>
      </c>
      <c r="L926" s="43">
        <f>E926*1.7</f>
        <v>3400</v>
      </c>
      <c r="M926" s="43">
        <v>0</v>
      </c>
      <c r="N926" s="1">
        <f t="shared" si="792"/>
        <v>2.5000000000000009</v>
      </c>
      <c r="O926" s="1">
        <f t="shared" si="796"/>
        <v>5000.0000000000018</v>
      </c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</row>
    <row r="927" spans="1:33" s="32" customFormat="1" ht="15" customHeight="1">
      <c r="A927" s="37">
        <v>43606</v>
      </c>
      <c r="B927" s="20" t="s">
        <v>65</v>
      </c>
      <c r="C927" s="20" t="s">
        <v>47</v>
      </c>
      <c r="D927" s="20">
        <v>680</v>
      </c>
      <c r="E927" s="38">
        <v>1400</v>
      </c>
      <c r="F927" s="20" t="s">
        <v>8</v>
      </c>
      <c r="G927" s="43">
        <v>33</v>
      </c>
      <c r="H927" s="43">
        <v>35</v>
      </c>
      <c r="I927" s="43">
        <v>38</v>
      </c>
      <c r="J927" s="43">
        <v>0</v>
      </c>
      <c r="K927" s="1">
        <f t="shared" ref="K927:K931" si="810">(IF(F927="SELL",G927-H927,IF(F927="BUY",H927-G927)))*E927</f>
        <v>2800</v>
      </c>
      <c r="L927" s="43">
        <f>E927*3</f>
        <v>4200</v>
      </c>
      <c r="M927" s="43">
        <v>0</v>
      </c>
      <c r="N927" s="1">
        <f t="shared" si="792"/>
        <v>5</v>
      </c>
      <c r="O927" s="1">
        <f t="shared" si="796"/>
        <v>7000</v>
      </c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</row>
    <row r="928" spans="1:33" s="32" customFormat="1" ht="15" customHeight="1">
      <c r="A928" s="37">
        <v>43606</v>
      </c>
      <c r="B928" s="20" t="s">
        <v>399</v>
      </c>
      <c r="C928" s="20" t="s">
        <v>47</v>
      </c>
      <c r="D928" s="20">
        <v>235</v>
      </c>
      <c r="E928" s="38">
        <v>2250</v>
      </c>
      <c r="F928" s="20" t="s">
        <v>8</v>
      </c>
      <c r="G928" s="43">
        <v>8</v>
      </c>
      <c r="H928" s="43">
        <v>9.1</v>
      </c>
      <c r="I928" s="43">
        <v>0</v>
      </c>
      <c r="J928" s="43">
        <v>0</v>
      </c>
      <c r="K928" s="1">
        <f t="shared" si="810"/>
        <v>2474.9999999999991</v>
      </c>
      <c r="L928" s="43">
        <v>0</v>
      </c>
      <c r="M928" s="43">
        <v>0</v>
      </c>
      <c r="N928" s="1">
        <f t="shared" si="792"/>
        <v>1.0999999999999996</v>
      </c>
      <c r="O928" s="1">
        <f t="shared" si="796"/>
        <v>2474.9999999999991</v>
      </c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</row>
    <row r="929" spans="1:33" s="32" customFormat="1" ht="15" customHeight="1">
      <c r="A929" s="37">
        <v>43606</v>
      </c>
      <c r="B929" s="20" t="s">
        <v>413</v>
      </c>
      <c r="C929" s="20" t="s">
        <v>47</v>
      </c>
      <c r="D929" s="20">
        <v>840</v>
      </c>
      <c r="E929" s="38">
        <v>500</v>
      </c>
      <c r="F929" s="20" t="s">
        <v>8</v>
      </c>
      <c r="G929" s="43">
        <v>44</v>
      </c>
      <c r="H929" s="43">
        <v>36</v>
      </c>
      <c r="I929" s="43">
        <v>0</v>
      </c>
      <c r="J929" s="43">
        <v>0</v>
      </c>
      <c r="K929" s="1">
        <f t="shared" si="810"/>
        <v>-4000</v>
      </c>
      <c r="L929" s="43">
        <v>0</v>
      </c>
      <c r="M929" s="43">
        <v>0</v>
      </c>
      <c r="N929" s="1">
        <f t="shared" si="792"/>
        <v>-8</v>
      </c>
      <c r="O929" s="1">
        <f t="shared" si="796"/>
        <v>-4000</v>
      </c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</row>
    <row r="930" spans="1:33" s="32" customFormat="1" ht="15" customHeight="1">
      <c r="A930" s="37">
        <v>43606</v>
      </c>
      <c r="B930" s="20" t="s">
        <v>63</v>
      </c>
      <c r="C930" s="20" t="s">
        <v>47</v>
      </c>
      <c r="D930" s="20">
        <v>290</v>
      </c>
      <c r="E930" s="38">
        <v>2100</v>
      </c>
      <c r="F930" s="20" t="s">
        <v>8</v>
      </c>
      <c r="G930" s="43">
        <v>10</v>
      </c>
      <c r="H930" s="43">
        <v>9.1</v>
      </c>
      <c r="I930" s="43">
        <v>0</v>
      </c>
      <c r="J930" s="43">
        <v>0</v>
      </c>
      <c r="K930" s="1">
        <f t="shared" si="810"/>
        <v>-1890.0000000000007</v>
      </c>
      <c r="L930" s="43">
        <v>0</v>
      </c>
      <c r="M930" s="43">
        <v>0</v>
      </c>
      <c r="N930" s="1">
        <f t="shared" si="792"/>
        <v>-0.90000000000000036</v>
      </c>
      <c r="O930" s="1">
        <f t="shared" si="796"/>
        <v>-1890.0000000000007</v>
      </c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</row>
    <row r="931" spans="1:33" s="32" customFormat="1" ht="15" customHeight="1">
      <c r="A931" s="37">
        <v>43606</v>
      </c>
      <c r="B931" s="20" t="s">
        <v>406</v>
      </c>
      <c r="C931" s="20" t="s">
        <v>47</v>
      </c>
      <c r="D931" s="20">
        <v>380</v>
      </c>
      <c r="E931" s="38">
        <v>1280</v>
      </c>
      <c r="F931" s="20" t="s">
        <v>8</v>
      </c>
      <c r="G931" s="43">
        <v>13.1</v>
      </c>
      <c r="H931" s="43">
        <v>11.7</v>
      </c>
      <c r="I931" s="43">
        <v>0</v>
      </c>
      <c r="J931" s="43">
        <v>0</v>
      </c>
      <c r="K931" s="1">
        <f t="shared" si="810"/>
        <v>-1792.0000000000005</v>
      </c>
      <c r="L931" s="43">
        <v>0</v>
      </c>
      <c r="M931" s="43">
        <v>0</v>
      </c>
      <c r="N931" s="1">
        <f t="shared" si="792"/>
        <v>-1.4000000000000004</v>
      </c>
      <c r="O931" s="1">
        <f t="shared" si="796"/>
        <v>-1792.0000000000005</v>
      </c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</row>
    <row r="932" spans="1:33" s="32" customFormat="1" ht="15" customHeight="1">
      <c r="A932" s="37">
        <v>43605</v>
      </c>
      <c r="B932" s="20" t="s">
        <v>21</v>
      </c>
      <c r="C932" s="20" t="s">
        <v>47</v>
      </c>
      <c r="D932" s="20">
        <v>330</v>
      </c>
      <c r="E932" s="38">
        <v>3000</v>
      </c>
      <c r="F932" s="20" t="s">
        <v>8</v>
      </c>
      <c r="G932" s="43">
        <v>15</v>
      </c>
      <c r="H932" s="43">
        <v>16</v>
      </c>
      <c r="I932" s="43">
        <v>17</v>
      </c>
      <c r="J932" s="43">
        <v>19</v>
      </c>
      <c r="K932" s="1">
        <f t="shared" ref="K932:K934" si="811">(IF(F932="SELL",G932-H932,IF(F932="BUY",H932-G932)))*E932</f>
        <v>3000</v>
      </c>
      <c r="L932" s="43">
        <f>E932*1</f>
        <v>3000</v>
      </c>
      <c r="M932" s="43">
        <f>E932*2</f>
        <v>6000</v>
      </c>
      <c r="N932" s="1">
        <f t="shared" si="792"/>
        <v>4</v>
      </c>
      <c r="O932" s="1">
        <f t="shared" si="796"/>
        <v>12000</v>
      </c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</row>
    <row r="933" spans="1:33" s="32" customFormat="1" ht="15" customHeight="1">
      <c r="A933" s="37">
        <v>43605</v>
      </c>
      <c r="B933" s="20" t="s">
        <v>35</v>
      </c>
      <c r="C933" s="20" t="s">
        <v>47</v>
      </c>
      <c r="D933" s="20">
        <v>520</v>
      </c>
      <c r="E933" s="38">
        <v>1100</v>
      </c>
      <c r="F933" s="20" t="s">
        <v>8</v>
      </c>
      <c r="G933" s="43">
        <v>16</v>
      </c>
      <c r="H933" s="43">
        <v>18.5</v>
      </c>
      <c r="I933" s="43">
        <v>20</v>
      </c>
      <c r="J933" s="43">
        <v>24</v>
      </c>
      <c r="K933" s="1">
        <f t="shared" si="811"/>
        <v>2750</v>
      </c>
      <c r="L933" s="43">
        <f>E933*1.5</f>
        <v>1650</v>
      </c>
      <c r="M933" s="43">
        <f>E933*4</f>
        <v>4400</v>
      </c>
      <c r="N933" s="1">
        <f t="shared" si="792"/>
        <v>8</v>
      </c>
      <c r="O933" s="1">
        <f t="shared" si="796"/>
        <v>8800</v>
      </c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</row>
    <row r="934" spans="1:33" s="32" customFormat="1" ht="15" customHeight="1">
      <c r="A934" s="37">
        <v>43605</v>
      </c>
      <c r="B934" s="20" t="s">
        <v>410</v>
      </c>
      <c r="C934" s="20" t="s">
        <v>46</v>
      </c>
      <c r="D934" s="20">
        <v>1460</v>
      </c>
      <c r="E934" s="38">
        <v>600</v>
      </c>
      <c r="F934" s="20" t="s">
        <v>8</v>
      </c>
      <c r="G934" s="43">
        <v>72</v>
      </c>
      <c r="H934" s="43">
        <v>65</v>
      </c>
      <c r="I934" s="43">
        <v>0</v>
      </c>
      <c r="J934" s="43">
        <v>0</v>
      </c>
      <c r="K934" s="1">
        <f t="shared" si="811"/>
        <v>-4200</v>
      </c>
      <c r="L934" s="43">
        <v>0</v>
      </c>
      <c r="M934" s="43">
        <v>0</v>
      </c>
      <c r="N934" s="1">
        <f t="shared" ref="N934:N997" si="812">(L934+K934+M934)/E934</f>
        <v>-7</v>
      </c>
      <c r="O934" s="1">
        <f t="shared" si="796"/>
        <v>-4200</v>
      </c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</row>
    <row r="935" spans="1:33" s="32" customFormat="1" ht="15" customHeight="1">
      <c r="A935" s="37">
        <v>43602</v>
      </c>
      <c r="B935" s="20" t="s">
        <v>65</v>
      </c>
      <c r="C935" s="20" t="s">
        <v>47</v>
      </c>
      <c r="D935" s="20">
        <v>600</v>
      </c>
      <c r="E935" s="38">
        <v>1400</v>
      </c>
      <c r="F935" s="20" t="s">
        <v>8</v>
      </c>
      <c r="G935" s="43">
        <v>30</v>
      </c>
      <c r="H935" s="43">
        <v>31.1</v>
      </c>
      <c r="I935" s="43">
        <v>33.5</v>
      </c>
      <c r="J935" s="43">
        <v>0</v>
      </c>
      <c r="K935" s="1">
        <f t="shared" ref="K935:K938" si="813">(IF(F935="SELL",G935-H935,IF(F935="BUY",H935-G935)))*E935</f>
        <v>1540.000000000002</v>
      </c>
      <c r="L935" s="43">
        <f>E935*2.4</f>
        <v>3360</v>
      </c>
      <c r="M935" s="43">
        <v>0</v>
      </c>
      <c r="N935" s="1">
        <f t="shared" si="812"/>
        <v>3.5000000000000013</v>
      </c>
      <c r="O935" s="1">
        <f t="shared" si="796"/>
        <v>4900.0000000000018</v>
      </c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</row>
    <row r="936" spans="1:33" s="32" customFormat="1" ht="15" customHeight="1">
      <c r="A936" s="37">
        <v>43602</v>
      </c>
      <c r="B936" s="20" t="s">
        <v>98</v>
      </c>
      <c r="C936" s="20" t="s">
        <v>46</v>
      </c>
      <c r="D936" s="20">
        <v>520</v>
      </c>
      <c r="E936" s="38">
        <v>900</v>
      </c>
      <c r="F936" s="20" t="s">
        <v>8</v>
      </c>
      <c r="G936" s="43">
        <v>18.5</v>
      </c>
      <c r="H936" s="43">
        <v>21.5</v>
      </c>
      <c r="I936" s="43">
        <v>0</v>
      </c>
      <c r="J936" s="43">
        <v>0</v>
      </c>
      <c r="K936" s="1">
        <f t="shared" si="813"/>
        <v>2700</v>
      </c>
      <c r="L936" s="43">
        <v>0</v>
      </c>
      <c r="M936" s="43">
        <v>0</v>
      </c>
      <c r="N936" s="1">
        <f t="shared" si="812"/>
        <v>3</v>
      </c>
      <c r="O936" s="1">
        <f t="shared" si="796"/>
        <v>2700</v>
      </c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</row>
    <row r="937" spans="1:33" s="32" customFormat="1" ht="15" customHeight="1">
      <c r="A937" s="37">
        <v>43602</v>
      </c>
      <c r="B937" s="20" t="s">
        <v>413</v>
      </c>
      <c r="C937" s="20" t="s">
        <v>47</v>
      </c>
      <c r="D937" s="20">
        <v>720</v>
      </c>
      <c r="E937" s="38">
        <v>500</v>
      </c>
      <c r="F937" s="20" t="s">
        <v>8</v>
      </c>
      <c r="G937" s="43">
        <v>48</v>
      </c>
      <c r="H937" s="43">
        <v>42</v>
      </c>
      <c r="I937" s="43">
        <v>0</v>
      </c>
      <c r="J937" s="43">
        <v>0</v>
      </c>
      <c r="K937" s="1">
        <f t="shared" si="813"/>
        <v>-3000</v>
      </c>
      <c r="L937" s="43">
        <v>0</v>
      </c>
      <c r="M937" s="43">
        <v>0</v>
      </c>
      <c r="N937" s="1">
        <f t="shared" si="812"/>
        <v>-6</v>
      </c>
      <c r="O937" s="1">
        <f t="shared" si="796"/>
        <v>-3000</v>
      </c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</row>
    <row r="938" spans="1:33" s="32" customFormat="1" ht="15" customHeight="1">
      <c r="A938" s="37">
        <v>43602</v>
      </c>
      <c r="B938" s="20" t="s">
        <v>100</v>
      </c>
      <c r="C938" s="20" t="s">
        <v>46</v>
      </c>
      <c r="D938" s="20">
        <v>2800</v>
      </c>
      <c r="E938" s="38">
        <v>250</v>
      </c>
      <c r="F938" s="20" t="s">
        <v>8</v>
      </c>
      <c r="G938" s="43">
        <v>105</v>
      </c>
      <c r="H938" s="43">
        <v>105</v>
      </c>
      <c r="I938" s="43">
        <v>0</v>
      </c>
      <c r="J938" s="43">
        <v>0</v>
      </c>
      <c r="K938" s="1">
        <f t="shared" si="813"/>
        <v>0</v>
      </c>
      <c r="L938" s="43">
        <v>0</v>
      </c>
      <c r="M938" s="43">
        <v>0</v>
      </c>
      <c r="N938" s="1">
        <f t="shared" si="812"/>
        <v>0</v>
      </c>
      <c r="O938" s="1">
        <f t="shared" si="796"/>
        <v>0</v>
      </c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</row>
    <row r="939" spans="1:33" s="32" customFormat="1" ht="15" customHeight="1">
      <c r="A939" s="37">
        <v>43601</v>
      </c>
      <c r="B939" s="20" t="s">
        <v>414</v>
      </c>
      <c r="C939" s="20" t="s">
        <v>46</v>
      </c>
      <c r="D939" s="20">
        <v>150</v>
      </c>
      <c r="E939" s="38">
        <v>1750</v>
      </c>
      <c r="F939" s="20" t="s">
        <v>8</v>
      </c>
      <c r="G939" s="43">
        <v>16.5</v>
      </c>
      <c r="H939" s="43">
        <v>17.8</v>
      </c>
      <c r="I939" s="43">
        <v>19.8</v>
      </c>
      <c r="J939" s="43">
        <v>0</v>
      </c>
      <c r="K939" s="1">
        <f>(IF(F939="SELL",G939-H939,IF(F939="BUY",H939-G939)))*E939</f>
        <v>2275.0000000000014</v>
      </c>
      <c r="L939" s="43">
        <f>E939*2</f>
        <v>3500</v>
      </c>
      <c r="M939" s="43">
        <v>0</v>
      </c>
      <c r="N939" s="1">
        <f t="shared" si="812"/>
        <v>3.3000000000000012</v>
      </c>
      <c r="O939" s="1">
        <f t="shared" si="796"/>
        <v>5775.0000000000018</v>
      </c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</row>
    <row r="940" spans="1:33" s="32" customFormat="1" ht="15" customHeight="1">
      <c r="A940" s="37">
        <v>43601</v>
      </c>
      <c r="B940" s="20" t="s">
        <v>107</v>
      </c>
      <c r="C940" s="20" t="s">
        <v>46</v>
      </c>
      <c r="D940" s="20">
        <v>400</v>
      </c>
      <c r="E940" s="38">
        <v>1100</v>
      </c>
      <c r="F940" s="20" t="s">
        <v>8</v>
      </c>
      <c r="G940" s="43">
        <v>17</v>
      </c>
      <c r="H940" s="43">
        <v>18.5</v>
      </c>
      <c r="I940" s="43">
        <v>22</v>
      </c>
      <c r="J940" s="43">
        <v>0</v>
      </c>
      <c r="K940" s="1">
        <f t="shared" ref="K940:K941" si="814">(IF(F940="SELL",G940-H940,IF(F940="BUY",H940-G940)))*E940</f>
        <v>1650</v>
      </c>
      <c r="L940" s="43">
        <f>E940*3.5</f>
        <v>3850</v>
      </c>
      <c r="M940" s="43">
        <v>0</v>
      </c>
      <c r="N940" s="1">
        <f t="shared" si="812"/>
        <v>5</v>
      </c>
      <c r="O940" s="1">
        <f t="shared" si="796"/>
        <v>5500</v>
      </c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</row>
    <row r="941" spans="1:33" s="32" customFormat="1" ht="15" customHeight="1">
      <c r="A941" s="37">
        <v>43601</v>
      </c>
      <c r="B941" s="20" t="s">
        <v>26</v>
      </c>
      <c r="C941" s="20" t="s">
        <v>46</v>
      </c>
      <c r="D941" s="20">
        <v>450</v>
      </c>
      <c r="E941" s="38">
        <v>1061</v>
      </c>
      <c r="F941" s="20" t="s">
        <v>8</v>
      </c>
      <c r="G941" s="43">
        <v>16.5</v>
      </c>
      <c r="H941" s="43">
        <v>18</v>
      </c>
      <c r="I941" s="43">
        <v>0</v>
      </c>
      <c r="J941" s="43">
        <v>0</v>
      </c>
      <c r="K941" s="1">
        <f t="shared" si="814"/>
        <v>1591.5</v>
      </c>
      <c r="L941" s="43">
        <v>0</v>
      </c>
      <c r="M941" s="43">
        <v>0</v>
      </c>
      <c r="N941" s="1">
        <f t="shared" si="812"/>
        <v>1.5</v>
      </c>
      <c r="O941" s="1">
        <f t="shared" si="796"/>
        <v>1591.5</v>
      </c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</row>
    <row r="942" spans="1:33" s="32" customFormat="1" ht="15" customHeight="1">
      <c r="A942" s="37">
        <v>43600</v>
      </c>
      <c r="B942" s="20" t="s">
        <v>376</v>
      </c>
      <c r="C942" s="20" t="s">
        <v>47</v>
      </c>
      <c r="D942" s="20">
        <v>225</v>
      </c>
      <c r="E942" s="38">
        <v>4500</v>
      </c>
      <c r="F942" s="20" t="s">
        <v>8</v>
      </c>
      <c r="G942" s="43">
        <v>7</v>
      </c>
      <c r="H942" s="43">
        <v>7.4</v>
      </c>
      <c r="I942" s="43">
        <v>0</v>
      </c>
      <c r="J942" s="43">
        <v>0</v>
      </c>
      <c r="K942" s="1">
        <f t="shared" ref="K942:K945" si="815">(IF(F942="SELL",G942-H942,IF(F942="BUY",H942-G942)))*E942</f>
        <v>1800.0000000000016</v>
      </c>
      <c r="L942" s="43">
        <v>0</v>
      </c>
      <c r="M942" s="43">
        <v>0</v>
      </c>
      <c r="N942" s="1">
        <f t="shared" si="812"/>
        <v>0.40000000000000036</v>
      </c>
      <c r="O942" s="1">
        <f t="shared" si="796"/>
        <v>1800.0000000000016</v>
      </c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</row>
    <row r="943" spans="1:33" s="32" customFormat="1" ht="15" customHeight="1">
      <c r="A943" s="37">
        <v>43600</v>
      </c>
      <c r="B943" s="20" t="s">
        <v>368</v>
      </c>
      <c r="C943" s="20" t="s">
        <v>46</v>
      </c>
      <c r="D943" s="20">
        <v>340</v>
      </c>
      <c r="E943" s="38">
        <v>1300</v>
      </c>
      <c r="F943" s="20" t="s">
        <v>8</v>
      </c>
      <c r="G943" s="43">
        <v>28</v>
      </c>
      <c r="H943" s="43">
        <v>29.3</v>
      </c>
      <c r="I943" s="43">
        <v>32</v>
      </c>
      <c r="J943" s="43">
        <v>0</v>
      </c>
      <c r="K943" s="1">
        <f t="shared" si="815"/>
        <v>1690.0000000000009</v>
      </c>
      <c r="L943" s="43">
        <f>E943*2.7</f>
        <v>3510.0000000000005</v>
      </c>
      <c r="M943" s="43">
        <v>0</v>
      </c>
      <c r="N943" s="1">
        <f t="shared" si="812"/>
        <v>4.0000000000000018</v>
      </c>
      <c r="O943" s="1">
        <f t="shared" si="796"/>
        <v>5200.0000000000027</v>
      </c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</row>
    <row r="944" spans="1:33" s="32" customFormat="1" ht="15" customHeight="1">
      <c r="A944" s="37">
        <v>43600</v>
      </c>
      <c r="B944" s="20" t="s">
        <v>100</v>
      </c>
      <c r="C944" s="20" t="s">
        <v>47</v>
      </c>
      <c r="D944" s="20">
        <v>2700</v>
      </c>
      <c r="E944" s="38">
        <v>250</v>
      </c>
      <c r="F944" s="20" t="s">
        <v>8</v>
      </c>
      <c r="G944" s="43">
        <v>117</v>
      </c>
      <c r="H944" s="43">
        <v>125</v>
      </c>
      <c r="I944" s="43">
        <v>140</v>
      </c>
      <c r="J944" s="43">
        <v>0</v>
      </c>
      <c r="K944" s="1">
        <f t="shared" si="815"/>
        <v>2000</v>
      </c>
      <c r="L944" s="43">
        <f>E944*15</f>
        <v>3750</v>
      </c>
      <c r="M944" s="43">
        <v>0</v>
      </c>
      <c r="N944" s="1">
        <f t="shared" si="812"/>
        <v>23</v>
      </c>
      <c r="O944" s="1">
        <f t="shared" si="796"/>
        <v>5750</v>
      </c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</row>
    <row r="945" spans="1:33" s="32" customFormat="1" ht="15" customHeight="1">
      <c r="A945" s="37">
        <v>43600</v>
      </c>
      <c r="B945" s="20" t="s">
        <v>77</v>
      </c>
      <c r="C945" s="20" t="s">
        <v>47</v>
      </c>
      <c r="D945" s="20">
        <v>350</v>
      </c>
      <c r="E945" s="38">
        <v>2667</v>
      </c>
      <c r="F945" s="20" t="s">
        <v>8</v>
      </c>
      <c r="G945" s="43">
        <v>10.5</v>
      </c>
      <c r="H945" s="43">
        <v>8</v>
      </c>
      <c r="I945" s="43">
        <v>0</v>
      </c>
      <c r="J945" s="43">
        <v>0</v>
      </c>
      <c r="K945" s="1">
        <f t="shared" si="815"/>
        <v>-6667.5</v>
      </c>
      <c r="L945" s="43">
        <v>0</v>
      </c>
      <c r="M945" s="43">
        <v>0</v>
      </c>
      <c r="N945" s="1">
        <f t="shared" si="812"/>
        <v>-2.5</v>
      </c>
      <c r="O945" s="1">
        <f t="shared" ref="O945:O1008" si="816">N945*E945</f>
        <v>-6667.5</v>
      </c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</row>
    <row r="946" spans="1:33" s="32" customFormat="1" ht="15" customHeight="1">
      <c r="A946" s="37">
        <v>43599</v>
      </c>
      <c r="B946" s="20" t="s">
        <v>21</v>
      </c>
      <c r="C946" s="20" t="s">
        <v>46</v>
      </c>
      <c r="D946" s="20">
        <v>310</v>
      </c>
      <c r="E946" s="38">
        <v>3000</v>
      </c>
      <c r="F946" s="20" t="s">
        <v>8</v>
      </c>
      <c r="G946" s="43">
        <v>13.8</v>
      </c>
      <c r="H946" s="43">
        <v>14.3</v>
      </c>
      <c r="I946" s="43">
        <v>0</v>
      </c>
      <c r="J946" s="43">
        <v>0</v>
      </c>
      <c r="K946" s="1">
        <f t="shared" ref="K946:K949" si="817">(IF(F946="SELL",G946-H946,IF(F946="BUY",H946-G946)))*E946</f>
        <v>1500</v>
      </c>
      <c r="L946" s="43">
        <v>0</v>
      </c>
      <c r="M946" s="43">
        <v>0</v>
      </c>
      <c r="N946" s="1">
        <f t="shared" si="812"/>
        <v>0.5</v>
      </c>
      <c r="O946" s="1">
        <f t="shared" si="816"/>
        <v>1500</v>
      </c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</row>
    <row r="947" spans="1:33" s="32" customFormat="1" ht="15" customHeight="1">
      <c r="A947" s="37">
        <v>43599</v>
      </c>
      <c r="B947" s="20" t="s">
        <v>367</v>
      </c>
      <c r="C947" s="20" t="s">
        <v>46</v>
      </c>
      <c r="D947" s="20">
        <v>180</v>
      </c>
      <c r="E947" s="38">
        <v>3000</v>
      </c>
      <c r="F947" s="20" t="s">
        <v>8</v>
      </c>
      <c r="G947" s="43">
        <v>7.5</v>
      </c>
      <c r="H947" s="43">
        <v>7.6</v>
      </c>
      <c r="I947" s="43">
        <v>0</v>
      </c>
      <c r="J947" s="43">
        <v>0</v>
      </c>
      <c r="K947" s="1">
        <f t="shared" si="817"/>
        <v>299.99999999999892</v>
      </c>
      <c r="L947" s="43">
        <v>0</v>
      </c>
      <c r="M947" s="43">
        <v>0</v>
      </c>
      <c r="N947" s="1">
        <f t="shared" si="812"/>
        <v>9.9999999999999645E-2</v>
      </c>
      <c r="O947" s="1">
        <f t="shared" si="816"/>
        <v>299.99999999999892</v>
      </c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</row>
    <row r="948" spans="1:33" s="32" customFormat="1" ht="15" customHeight="1">
      <c r="A948" s="37">
        <v>43599</v>
      </c>
      <c r="B948" s="20" t="s">
        <v>26</v>
      </c>
      <c r="C948" s="20" t="s">
        <v>46</v>
      </c>
      <c r="D948" s="20">
        <v>460</v>
      </c>
      <c r="E948" s="38">
        <v>1061</v>
      </c>
      <c r="F948" s="20" t="s">
        <v>8</v>
      </c>
      <c r="G948" s="43">
        <v>19.5</v>
      </c>
      <c r="H948" s="43">
        <v>16</v>
      </c>
      <c r="I948" s="43">
        <v>0</v>
      </c>
      <c r="J948" s="43">
        <v>0</v>
      </c>
      <c r="K948" s="1">
        <f t="shared" si="817"/>
        <v>-3713.5</v>
      </c>
      <c r="L948" s="43">
        <v>0</v>
      </c>
      <c r="M948" s="43">
        <v>0</v>
      </c>
      <c r="N948" s="1">
        <f t="shared" si="812"/>
        <v>-3.5</v>
      </c>
      <c r="O948" s="1">
        <f t="shared" si="816"/>
        <v>-3713.5</v>
      </c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</row>
    <row r="949" spans="1:33" s="32" customFormat="1" ht="15" customHeight="1">
      <c r="A949" s="37">
        <v>43599</v>
      </c>
      <c r="B949" s="20" t="s">
        <v>399</v>
      </c>
      <c r="C949" s="20" t="s">
        <v>47</v>
      </c>
      <c r="D949" s="20">
        <v>210</v>
      </c>
      <c r="E949" s="38">
        <v>2250</v>
      </c>
      <c r="F949" s="20" t="s">
        <v>8</v>
      </c>
      <c r="G949" s="43">
        <v>7</v>
      </c>
      <c r="H949" s="43">
        <v>5</v>
      </c>
      <c r="I949" s="43">
        <v>0</v>
      </c>
      <c r="J949" s="43">
        <v>0</v>
      </c>
      <c r="K949" s="1">
        <f t="shared" si="817"/>
        <v>-4500</v>
      </c>
      <c r="L949" s="43">
        <v>0</v>
      </c>
      <c r="M949" s="43">
        <v>0</v>
      </c>
      <c r="N949" s="1">
        <f t="shared" si="812"/>
        <v>-2</v>
      </c>
      <c r="O949" s="1">
        <f t="shared" si="816"/>
        <v>-4500</v>
      </c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</row>
    <row r="950" spans="1:33" s="32" customFormat="1" ht="15" customHeight="1">
      <c r="A950" s="37">
        <v>43598</v>
      </c>
      <c r="B950" s="20" t="s">
        <v>416</v>
      </c>
      <c r="C950" s="20" t="s">
        <v>46</v>
      </c>
      <c r="D950" s="20">
        <v>110</v>
      </c>
      <c r="E950" s="38">
        <v>1500</v>
      </c>
      <c r="F950" s="20" t="s">
        <v>8</v>
      </c>
      <c r="G950" s="43">
        <v>11.5</v>
      </c>
      <c r="H950" s="43">
        <v>13</v>
      </c>
      <c r="I950" s="43">
        <v>15</v>
      </c>
      <c r="J950" s="43">
        <v>16.75</v>
      </c>
      <c r="K950" s="1">
        <f t="shared" ref="K950:K952" si="818">(IF(F950="SELL",G950-H950,IF(F950="BUY",H950-G950)))*E950</f>
        <v>2250</v>
      </c>
      <c r="L950" s="43">
        <f>E950*2</f>
        <v>3000</v>
      </c>
      <c r="M950" s="43">
        <f>E950*1.75</f>
        <v>2625</v>
      </c>
      <c r="N950" s="1">
        <f t="shared" si="812"/>
        <v>5.25</v>
      </c>
      <c r="O950" s="1">
        <f t="shared" si="816"/>
        <v>7875</v>
      </c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</row>
    <row r="951" spans="1:33" s="32" customFormat="1" ht="15" customHeight="1">
      <c r="A951" s="37">
        <v>43598</v>
      </c>
      <c r="B951" s="20" t="s">
        <v>332</v>
      </c>
      <c r="C951" s="20" t="s">
        <v>47</v>
      </c>
      <c r="D951" s="20">
        <v>820</v>
      </c>
      <c r="E951" s="38">
        <v>1200</v>
      </c>
      <c r="F951" s="20" t="s">
        <v>8</v>
      </c>
      <c r="G951" s="43">
        <v>29</v>
      </c>
      <c r="H951" s="43">
        <v>30.3</v>
      </c>
      <c r="I951" s="43">
        <v>0</v>
      </c>
      <c r="J951" s="43">
        <v>0</v>
      </c>
      <c r="K951" s="1">
        <f t="shared" si="818"/>
        <v>1560.0000000000009</v>
      </c>
      <c r="L951" s="43">
        <v>0</v>
      </c>
      <c r="M951" s="43">
        <v>0</v>
      </c>
      <c r="N951" s="1">
        <f t="shared" si="812"/>
        <v>1.3000000000000007</v>
      </c>
      <c r="O951" s="1">
        <f t="shared" si="816"/>
        <v>1560.0000000000009</v>
      </c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</row>
    <row r="952" spans="1:33" s="32" customFormat="1" ht="15" customHeight="1">
      <c r="A952" s="37">
        <v>43598</v>
      </c>
      <c r="B952" s="20" t="s">
        <v>417</v>
      </c>
      <c r="C952" s="20" t="s">
        <v>46</v>
      </c>
      <c r="D952" s="20">
        <v>600</v>
      </c>
      <c r="E952" s="38">
        <v>1000</v>
      </c>
      <c r="F952" s="20" t="s">
        <v>8</v>
      </c>
      <c r="G952" s="43">
        <v>24</v>
      </c>
      <c r="H952" s="43">
        <v>25.5</v>
      </c>
      <c r="I952" s="43">
        <v>28.5</v>
      </c>
      <c r="J952" s="43">
        <v>0</v>
      </c>
      <c r="K952" s="1">
        <f t="shared" si="818"/>
        <v>1500</v>
      </c>
      <c r="L952" s="43">
        <f>E952*3</f>
        <v>3000</v>
      </c>
      <c r="M952" s="43">
        <v>0</v>
      </c>
      <c r="N952" s="1">
        <f t="shared" si="812"/>
        <v>4.5</v>
      </c>
      <c r="O952" s="1">
        <f t="shared" si="816"/>
        <v>4500</v>
      </c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</row>
    <row r="953" spans="1:33" s="32" customFormat="1" ht="15" customHeight="1">
      <c r="A953" s="37">
        <v>43595</v>
      </c>
      <c r="B953" s="20" t="s">
        <v>150</v>
      </c>
      <c r="C953" s="20" t="s">
        <v>47</v>
      </c>
      <c r="D953" s="20">
        <v>270</v>
      </c>
      <c r="E953" s="38">
        <v>2000</v>
      </c>
      <c r="F953" s="20" t="s">
        <v>8</v>
      </c>
      <c r="G953" s="43">
        <v>16.5</v>
      </c>
      <c r="H953" s="43">
        <v>18</v>
      </c>
      <c r="I953" s="43">
        <v>0</v>
      </c>
      <c r="J953" s="43">
        <v>0</v>
      </c>
      <c r="K953" s="1">
        <f t="shared" ref="K953:K956" si="819">(IF(F953="SELL",G953-H953,IF(F953="BUY",H953-G953)))*E953</f>
        <v>3000</v>
      </c>
      <c r="L953" s="43">
        <v>0</v>
      </c>
      <c r="M953" s="43">
        <v>0</v>
      </c>
      <c r="N953" s="1">
        <f t="shared" si="812"/>
        <v>1.5</v>
      </c>
      <c r="O953" s="1">
        <f t="shared" si="816"/>
        <v>3000</v>
      </c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</row>
    <row r="954" spans="1:33" s="32" customFormat="1" ht="15" customHeight="1">
      <c r="A954" s="37">
        <v>43595</v>
      </c>
      <c r="B954" s="20" t="s">
        <v>414</v>
      </c>
      <c r="C954" s="20" t="s">
        <v>47</v>
      </c>
      <c r="D954" s="20">
        <v>170</v>
      </c>
      <c r="E954" s="38">
        <v>1750</v>
      </c>
      <c r="F954" s="20" t="s">
        <v>8</v>
      </c>
      <c r="G954" s="43">
        <v>14.5</v>
      </c>
      <c r="H954" s="43">
        <v>12.75</v>
      </c>
      <c r="I954" s="43">
        <v>0</v>
      </c>
      <c r="J954" s="43">
        <v>0</v>
      </c>
      <c r="K954" s="1">
        <f t="shared" si="819"/>
        <v>-3062.5</v>
      </c>
      <c r="L954" s="43">
        <v>0</v>
      </c>
      <c r="M954" s="43">
        <v>0</v>
      </c>
      <c r="N954" s="1">
        <f t="shared" si="812"/>
        <v>-1.75</v>
      </c>
      <c r="O954" s="1">
        <f t="shared" si="816"/>
        <v>-3062.5</v>
      </c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</row>
    <row r="955" spans="1:33" s="32" customFormat="1" ht="15" customHeight="1">
      <c r="A955" s="37">
        <v>43595</v>
      </c>
      <c r="B955" s="20" t="s">
        <v>367</v>
      </c>
      <c r="C955" s="20" t="s">
        <v>47</v>
      </c>
      <c r="D955" s="20">
        <v>190</v>
      </c>
      <c r="E955" s="38">
        <v>3000</v>
      </c>
      <c r="F955" s="20" t="s">
        <v>8</v>
      </c>
      <c r="G955" s="43">
        <v>7.8</v>
      </c>
      <c r="H955" s="43">
        <v>8.3000000000000007</v>
      </c>
      <c r="I955" s="43">
        <v>9.25</v>
      </c>
      <c r="J955" s="43">
        <v>0</v>
      </c>
      <c r="K955" s="1">
        <f t="shared" si="819"/>
        <v>1500.0000000000027</v>
      </c>
      <c r="L955" s="43">
        <f>E955*0.95</f>
        <v>2850</v>
      </c>
      <c r="M955" s="43">
        <v>0</v>
      </c>
      <c r="N955" s="1">
        <f t="shared" si="812"/>
        <v>1.4500000000000008</v>
      </c>
      <c r="O955" s="1">
        <f t="shared" si="816"/>
        <v>4350.0000000000027</v>
      </c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</row>
    <row r="956" spans="1:33" s="32" customFormat="1" ht="15" customHeight="1">
      <c r="A956" s="37">
        <v>43595</v>
      </c>
      <c r="B956" s="20" t="s">
        <v>406</v>
      </c>
      <c r="C956" s="20" t="s">
        <v>47</v>
      </c>
      <c r="D956" s="20">
        <v>270</v>
      </c>
      <c r="E956" s="38">
        <v>1250</v>
      </c>
      <c r="F956" s="20" t="s">
        <v>8</v>
      </c>
      <c r="G956" s="43">
        <v>13.75</v>
      </c>
      <c r="H956" s="43">
        <v>12.75</v>
      </c>
      <c r="I956" s="43">
        <v>0</v>
      </c>
      <c r="J956" s="43">
        <v>0</v>
      </c>
      <c r="K956" s="1">
        <f t="shared" si="819"/>
        <v>-1250</v>
      </c>
      <c r="L956" s="43">
        <v>0</v>
      </c>
      <c r="M956" s="43">
        <v>0</v>
      </c>
      <c r="N956" s="1">
        <f t="shared" si="812"/>
        <v>-1</v>
      </c>
      <c r="O956" s="1">
        <f t="shared" si="816"/>
        <v>-1250</v>
      </c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</row>
    <row r="957" spans="1:33" s="32" customFormat="1" ht="15" customHeight="1">
      <c r="A957" s="37">
        <v>43594</v>
      </c>
      <c r="B957" s="20" t="s">
        <v>368</v>
      </c>
      <c r="C957" s="20" t="s">
        <v>47</v>
      </c>
      <c r="D957" s="20">
        <v>350</v>
      </c>
      <c r="E957" s="38">
        <v>1300</v>
      </c>
      <c r="F957" s="20" t="s">
        <v>8</v>
      </c>
      <c r="G957" s="43">
        <v>31</v>
      </c>
      <c r="H957" s="43">
        <v>32.200000000000003</v>
      </c>
      <c r="I957" s="43">
        <v>35</v>
      </c>
      <c r="J957" s="43">
        <v>0</v>
      </c>
      <c r="K957" s="1">
        <f t="shared" ref="K957" si="820">(IF(F957="SELL",G957-H957,IF(F957="BUY",H957-G957)))*E957</f>
        <v>1560.0000000000036</v>
      </c>
      <c r="L957" s="43">
        <f>E957*2.8</f>
        <v>3639.9999999999995</v>
      </c>
      <c r="M957" s="43">
        <v>0</v>
      </c>
      <c r="N957" s="1">
        <f t="shared" si="812"/>
        <v>4.0000000000000027</v>
      </c>
      <c r="O957" s="1">
        <f t="shared" si="816"/>
        <v>5200.0000000000036</v>
      </c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</row>
    <row r="958" spans="1:33" s="32" customFormat="1" ht="15" customHeight="1">
      <c r="A958" s="37">
        <v>43594</v>
      </c>
      <c r="B958" s="20" t="s">
        <v>34</v>
      </c>
      <c r="C958" s="20" t="s">
        <v>46</v>
      </c>
      <c r="D958" s="20">
        <v>200</v>
      </c>
      <c r="E958" s="38">
        <v>3500</v>
      </c>
      <c r="F958" s="20" t="s">
        <v>8</v>
      </c>
      <c r="G958" s="43">
        <v>9</v>
      </c>
      <c r="H958" s="43">
        <v>10</v>
      </c>
      <c r="I958" s="43">
        <v>0</v>
      </c>
      <c r="J958" s="43">
        <v>0</v>
      </c>
      <c r="K958" s="1">
        <f>(IF(F958="SELL",G958-H958,IF(F958="BUY",H958-G958)))*E958</f>
        <v>3500</v>
      </c>
      <c r="L958" s="43">
        <v>0</v>
      </c>
      <c r="M958" s="43">
        <v>0</v>
      </c>
      <c r="N958" s="1">
        <f t="shared" si="812"/>
        <v>1</v>
      </c>
      <c r="O958" s="1">
        <f t="shared" si="816"/>
        <v>3500</v>
      </c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</row>
    <row r="959" spans="1:33" s="32" customFormat="1" ht="15" customHeight="1">
      <c r="A959" s="37">
        <v>43594</v>
      </c>
      <c r="B959" s="20" t="s">
        <v>414</v>
      </c>
      <c r="C959" s="20" t="s">
        <v>47</v>
      </c>
      <c r="D959" s="20">
        <v>160</v>
      </c>
      <c r="E959" s="38">
        <v>1750</v>
      </c>
      <c r="F959" s="20" t="s">
        <v>8</v>
      </c>
      <c r="G959" s="43">
        <v>17.5</v>
      </c>
      <c r="H959" s="43">
        <v>18.5</v>
      </c>
      <c r="I959" s="43">
        <v>0</v>
      </c>
      <c r="J959" s="43">
        <v>0</v>
      </c>
      <c r="K959" s="1">
        <f t="shared" ref="K959:K960" si="821">(IF(F959="SELL",G959-H959,IF(F959="BUY",H959-G959)))*E959</f>
        <v>1750</v>
      </c>
      <c r="L959" s="43">
        <v>0</v>
      </c>
      <c r="M959" s="43">
        <v>0</v>
      </c>
      <c r="N959" s="1">
        <f t="shared" si="812"/>
        <v>1</v>
      </c>
      <c r="O959" s="1">
        <f t="shared" si="816"/>
        <v>1750</v>
      </c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</row>
    <row r="960" spans="1:33" s="32" customFormat="1" ht="15" customHeight="1">
      <c r="A960" s="37">
        <v>43594</v>
      </c>
      <c r="B960" s="20" t="s">
        <v>413</v>
      </c>
      <c r="C960" s="20" t="s">
        <v>47</v>
      </c>
      <c r="D960" s="20">
        <v>680</v>
      </c>
      <c r="E960" s="38">
        <v>500</v>
      </c>
      <c r="F960" s="20" t="s">
        <v>8</v>
      </c>
      <c r="G960" s="43">
        <v>52</v>
      </c>
      <c r="H960" s="43">
        <v>49</v>
      </c>
      <c r="I960" s="43">
        <v>0</v>
      </c>
      <c r="J960" s="43">
        <v>0</v>
      </c>
      <c r="K960" s="1">
        <f t="shared" si="821"/>
        <v>-1500</v>
      </c>
      <c r="L960" s="43">
        <v>0</v>
      </c>
      <c r="M960" s="43">
        <v>0</v>
      </c>
      <c r="N960" s="1">
        <f t="shared" si="812"/>
        <v>-3</v>
      </c>
      <c r="O960" s="1">
        <f t="shared" si="816"/>
        <v>-1500</v>
      </c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</row>
    <row r="961" spans="1:33" s="32" customFormat="1" ht="15" customHeight="1">
      <c r="A961" s="37">
        <v>43593</v>
      </c>
      <c r="B961" s="20" t="s">
        <v>405</v>
      </c>
      <c r="C961" s="20" t="s">
        <v>46</v>
      </c>
      <c r="D961" s="20">
        <v>360</v>
      </c>
      <c r="E961" s="38">
        <v>1300</v>
      </c>
      <c r="F961" s="20" t="s">
        <v>8</v>
      </c>
      <c r="G961" s="43">
        <v>27.8</v>
      </c>
      <c r="H961" s="43">
        <v>29</v>
      </c>
      <c r="I961" s="43">
        <v>31.5</v>
      </c>
      <c r="J961" s="43">
        <v>0</v>
      </c>
      <c r="K961" s="1">
        <f t="shared" ref="K961:K964" si="822">(IF(F961="SELL",G961-H961,IF(F961="BUY",H961-G961)))*E961</f>
        <v>1559.9999999999991</v>
      </c>
      <c r="L961" s="43">
        <f>E961*2.5</f>
        <v>3250</v>
      </c>
      <c r="M961" s="43">
        <v>0</v>
      </c>
      <c r="N961" s="1">
        <f t="shared" si="812"/>
        <v>3.6999999999999993</v>
      </c>
      <c r="O961" s="1">
        <f t="shared" si="816"/>
        <v>4809.9999999999991</v>
      </c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</row>
    <row r="962" spans="1:33" s="32" customFormat="1" ht="15" customHeight="1">
      <c r="A962" s="37">
        <v>43593</v>
      </c>
      <c r="B962" s="20" t="s">
        <v>405</v>
      </c>
      <c r="C962" s="20" t="s">
        <v>46</v>
      </c>
      <c r="D962" s="20">
        <v>330</v>
      </c>
      <c r="E962" s="38">
        <v>1300</v>
      </c>
      <c r="F962" s="20" t="s">
        <v>8</v>
      </c>
      <c r="G962" s="43">
        <v>32</v>
      </c>
      <c r="H962" s="43">
        <v>34</v>
      </c>
      <c r="I962" s="43">
        <v>37</v>
      </c>
      <c r="J962" s="43">
        <v>0</v>
      </c>
      <c r="K962" s="1">
        <f t="shared" si="822"/>
        <v>2600</v>
      </c>
      <c r="L962" s="43">
        <f>E962*3</f>
        <v>3900</v>
      </c>
      <c r="M962" s="43">
        <v>0</v>
      </c>
      <c r="N962" s="1">
        <f t="shared" si="812"/>
        <v>5</v>
      </c>
      <c r="O962" s="1">
        <f t="shared" si="816"/>
        <v>6500</v>
      </c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</row>
    <row r="963" spans="1:33" s="32" customFormat="1" ht="15" customHeight="1">
      <c r="A963" s="37">
        <v>43593</v>
      </c>
      <c r="B963" s="20" t="s">
        <v>89</v>
      </c>
      <c r="C963" s="20" t="s">
        <v>46</v>
      </c>
      <c r="D963" s="20">
        <v>640</v>
      </c>
      <c r="E963" s="38">
        <v>1100</v>
      </c>
      <c r="F963" s="20" t="s">
        <v>8</v>
      </c>
      <c r="G963" s="43">
        <v>35</v>
      </c>
      <c r="H963" s="43">
        <v>36.5</v>
      </c>
      <c r="I963" s="43">
        <v>0</v>
      </c>
      <c r="J963" s="43">
        <v>0</v>
      </c>
      <c r="K963" s="1">
        <f t="shared" si="822"/>
        <v>1650</v>
      </c>
      <c r="L963" s="43">
        <v>0</v>
      </c>
      <c r="M963" s="43">
        <v>0</v>
      </c>
      <c r="N963" s="1">
        <f t="shared" si="812"/>
        <v>1.5</v>
      </c>
      <c r="O963" s="1">
        <f t="shared" si="816"/>
        <v>1650</v>
      </c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</row>
    <row r="964" spans="1:33" s="32" customFormat="1" ht="15" customHeight="1">
      <c r="A964" s="37">
        <v>43593</v>
      </c>
      <c r="B964" s="20" t="s">
        <v>71</v>
      </c>
      <c r="C964" s="20" t="s">
        <v>47</v>
      </c>
      <c r="D964" s="20">
        <v>290</v>
      </c>
      <c r="E964" s="38">
        <v>1500</v>
      </c>
      <c r="F964" s="20" t="s">
        <v>8</v>
      </c>
      <c r="G964" s="43">
        <v>16</v>
      </c>
      <c r="H964" s="43">
        <v>16.25</v>
      </c>
      <c r="I964" s="43">
        <v>0</v>
      </c>
      <c r="J964" s="43">
        <v>0</v>
      </c>
      <c r="K964" s="1">
        <f t="shared" si="822"/>
        <v>375</v>
      </c>
      <c r="L964" s="43">
        <v>0</v>
      </c>
      <c r="M964" s="43">
        <v>0</v>
      </c>
      <c r="N964" s="1">
        <f t="shared" si="812"/>
        <v>0.25</v>
      </c>
      <c r="O964" s="1">
        <f t="shared" si="816"/>
        <v>375</v>
      </c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</row>
    <row r="965" spans="1:33" s="32" customFormat="1" ht="15" customHeight="1">
      <c r="A965" s="37">
        <v>43592</v>
      </c>
      <c r="B965" s="20" t="s">
        <v>405</v>
      </c>
      <c r="C965" s="20" t="s">
        <v>46</v>
      </c>
      <c r="D965" s="20">
        <v>390</v>
      </c>
      <c r="E965" s="38">
        <v>1300</v>
      </c>
      <c r="F965" s="20" t="s">
        <v>8</v>
      </c>
      <c r="G965" s="43">
        <v>27.8</v>
      </c>
      <c r="H965" s="43">
        <v>29</v>
      </c>
      <c r="I965" s="43">
        <v>32</v>
      </c>
      <c r="J965" s="43">
        <v>0</v>
      </c>
      <c r="K965" s="1">
        <f t="shared" ref="K965:K971" si="823">(IF(F965="SELL",G965-H965,IF(F965="BUY",H965-G965)))*E965</f>
        <v>1559.9999999999991</v>
      </c>
      <c r="L965" s="43">
        <f>E965*3</f>
        <v>3900</v>
      </c>
      <c r="M965" s="43">
        <v>0</v>
      </c>
      <c r="N965" s="1">
        <f t="shared" si="812"/>
        <v>4.1999999999999993</v>
      </c>
      <c r="O965" s="1">
        <f t="shared" si="816"/>
        <v>5459.9999999999991</v>
      </c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</row>
    <row r="966" spans="1:33" s="32" customFormat="1" ht="15" customHeight="1">
      <c r="A966" s="37">
        <v>43592</v>
      </c>
      <c r="B966" s="20" t="s">
        <v>72</v>
      </c>
      <c r="C966" s="20" t="s">
        <v>46</v>
      </c>
      <c r="D966" s="20">
        <v>380</v>
      </c>
      <c r="E966" s="38">
        <v>1800</v>
      </c>
      <c r="F966" s="20" t="s">
        <v>8</v>
      </c>
      <c r="G966" s="43">
        <v>18</v>
      </c>
      <c r="H966" s="43">
        <v>20</v>
      </c>
      <c r="I966" s="43">
        <v>0</v>
      </c>
      <c r="J966" s="43">
        <v>0</v>
      </c>
      <c r="K966" s="1">
        <f t="shared" ref="K966:K967" si="824">(IF(F966="SELL",G966-H966,IF(F966="BUY",H966-G966)))*E966</f>
        <v>3600</v>
      </c>
      <c r="L966" s="43">
        <v>0</v>
      </c>
      <c r="M966" s="43">
        <v>0</v>
      </c>
      <c r="N966" s="1">
        <f t="shared" si="812"/>
        <v>2</v>
      </c>
      <c r="O966" s="1">
        <f t="shared" si="816"/>
        <v>3600</v>
      </c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</row>
    <row r="967" spans="1:33" s="32" customFormat="1" ht="15" customHeight="1">
      <c r="A967" s="37">
        <v>43592</v>
      </c>
      <c r="B967" s="20" t="s">
        <v>343</v>
      </c>
      <c r="C967" s="20" t="s">
        <v>47</v>
      </c>
      <c r="D967" s="20">
        <v>480</v>
      </c>
      <c r="E967" s="38">
        <v>1100</v>
      </c>
      <c r="F967" s="20" t="s">
        <v>8</v>
      </c>
      <c r="G967" s="43">
        <v>30</v>
      </c>
      <c r="H967" s="43">
        <v>32</v>
      </c>
      <c r="I967" s="43">
        <v>0</v>
      </c>
      <c r="J967" s="43">
        <v>0</v>
      </c>
      <c r="K967" s="1">
        <f t="shared" si="824"/>
        <v>2200</v>
      </c>
      <c r="L967" s="43">
        <v>0</v>
      </c>
      <c r="M967" s="43">
        <v>0</v>
      </c>
      <c r="N967" s="1">
        <f t="shared" si="812"/>
        <v>2</v>
      </c>
      <c r="O967" s="1">
        <f t="shared" si="816"/>
        <v>2200</v>
      </c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</row>
    <row r="968" spans="1:33" s="32" customFormat="1" ht="15" customHeight="1">
      <c r="A968" s="37">
        <v>43591</v>
      </c>
      <c r="B968" s="20" t="s">
        <v>368</v>
      </c>
      <c r="C968" s="20" t="s">
        <v>46</v>
      </c>
      <c r="D968" s="20">
        <v>400</v>
      </c>
      <c r="E968" s="38">
        <v>1300</v>
      </c>
      <c r="F968" s="20" t="s">
        <v>8</v>
      </c>
      <c r="G968" s="43">
        <v>26</v>
      </c>
      <c r="H968" s="43">
        <v>28</v>
      </c>
      <c r="I968" s="43">
        <v>30</v>
      </c>
      <c r="J968" s="43">
        <v>0</v>
      </c>
      <c r="K968" s="1">
        <f>(IF(F968="SELL",G968-H968,IF(F968="BUY",H968-G968)))*E968</f>
        <v>2600</v>
      </c>
      <c r="L968" s="43">
        <f>E968*2</f>
        <v>2600</v>
      </c>
      <c r="M968" s="43">
        <v>0</v>
      </c>
      <c r="N968" s="1">
        <f t="shared" si="812"/>
        <v>4</v>
      </c>
      <c r="O968" s="1">
        <f t="shared" si="816"/>
        <v>5200</v>
      </c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</row>
    <row r="969" spans="1:33" s="32" customFormat="1" ht="15" customHeight="1">
      <c r="A969" s="37">
        <v>43591</v>
      </c>
      <c r="B969" s="20" t="s">
        <v>395</v>
      </c>
      <c r="C969" s="20" t="s">
        <v>47</v>
      </c>
      <c r="D969" s="20">
        <v>390</v>
      </c>
      <c r="E969" s="38">
        <v>1800</v>
      </c>
      <c r="F969" s="20" t="s">
        <v>8</v>
      </c>
      <c r="G969" s="43">
        <v>18</v>
      </c>
      <c r="H969" s="43">
        <v>20</v>
      </c>
      <c r="I969" s="43">
        <v>0</v>
      </c>
      <c r="J969" s="43">
        <v>0</v>
      </c>
      <c r="K969" s="1">
        <f t="shared" si="823"/>
        <v>3600</v>
      </c>
      <c r="L969" s="43">
        <v>0</v>
      </c>
      <c r="M969" s="43">
        <v>0</v>
      </c>
      <c r="N969" s="1">
        <f t="shared" si="812"/>
        <v>2</v>
      </c>
      <c r="O969" s="1">
        <f t="shared" si="816"/>
        <v>3600</v>
      </c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</row>
    <row r="970" spans="1:33" s="32" customFormat="1" ht="15" customHeight="1">
      <c r="A970" s="37">
        <v>43591</v>
      </c>
      <c r="B970" s="20" t="s">
        <v>413</v>
      </c>
      <c r="C970" s="20" t="s">
        <v>46</v>
      </c>
      <c r="D970" s="20">
        <v>680</v>
      </c>
      <c r="E970" s="38">
        <v>500</v>
      </c>
      <c r="F970" s="20" t="s">
        <v>8</v>
      </c>
      <c r="G970" s="43">
        <v>52</v>
      </c>
      <c r="H970" s="43">
        <v>49.7</v>
      </c>
      <c r="I970" s="43">
        <v>0</v>
      </c>
      <c r="J970" s="43">
        <v>0</v>
      </c>
      <c r="K970" s="1">
        <f t="shared" si="823"/>
        <v>-1149.9999999999986</v>
      </c>
      <c r="L970" s="43">
        <v>0</v>
      </c>
      <c r="M970" s="43">
        <v>0</v>
      </c>
      <c r="N970" s="1">
        <f t="shared" si="812"/>
        <v>-2.2999999999999972</v>
      </c>
      <c r="O970" s="1">
        <f t="shared" si="816"/>
        <v>-1149.9999999999986</v>
      </c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</row>
    <row r="971" spans="1:33" s="32" customFormat="1" ht="15" customHeight="1">
      <c r="A971" s="37">
        <v>43591</v>
      </c>
      <c r="B971" s="20" t="s">
        <v>30</v>
      </c>
      <c r="C971" s="20" t="s">
        <v>47</v>
      </c>
      <c r="D971" s="20">
        <v>400</v>
      </c>
      <c r="E971" s="38">
        <v>1375</v>
      </c>
      <c r="F971" s="20" t="s">
        <v>8</v>
      </c>
      <c r="G971" s="43">
        <v>17</v>
      </c>
      <c r="H971" s="43">
        <v>18.2</v>
      </c>
      <c r="I971" s="43">
        <v>21</v>
      </c>
      <c r="J971" s="43">
        <v>0</v>
      </c>
      <c r="K971" s="1">
        <f t="shared" si="823"/>
        <v>1649.9999999999991</v>
      </c>
      <c r="L971" s="43">
        <f>E971*2.8</f>
        <v>3849.9999999999995</v>
      </c>
      <c r="M971" s="43">
        <v>0</v>
      </c>
      <c r="N971" s="1">
        <f t="shared" si="812"/>
        <v>3.9999999999999987</v>
      </c>
      <c r="O971" s="1">
        <f t="shared" si="816"/>
        <v>5499.9999999999982</v>
      </c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</row>
    <row r="972" spans="1:33" s="32" customFormat="1" ht="15" customHeight="1">
      <c r="A972" s="37">
        <v>43588</v>
      </c>
      <c r="B972" s="20" t="s">
        <v>98</v>
      </c>
      <c r="C972" s="20" t="s">
        <v>46</v>
      </c>
      <c r="D972" s="20">
        <v>550</v>
      </c>
      <c r="E972" s="38">
        <v>900</v>
      </c>
      <c r="F972" s="20" t="s">
        <v>8</v>
      </c>
      <c r="G972" s="43">
        <v>18.5</v>
      </c>
      <c r="H972" s="43">
        <v>20.100000000000001</v>
      </c>
      <c r="I972" s="43">
        <v>0</v>
      </c>
      <c r="J972" s="43">
        <v>0</v>
      </c>
      <c r="K972" s="1">
        <f t="shared" ref="K972:K975" si="825">(IF(F972="SELL",G972-H972,IF(F972="BUY",H972-G972)))*E972</f>
        <v>1440.0000000000014</v>
      </c>
      <c r="L972" s="43">
        <v>0</v>
      </c>
      <c r="M972" s="43">
        <v>0</v>
      </c>
      <c r="N972" s="1">
        <f t="shared" si="812"/>
        <v>1.6000000000000014</v>
      </c>
      <c r="O972" s="1">
        <f t="shared" si="816"/>
        <v>1440.0000000000014</v>
      </c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</row>
    <row r="973" spans="1:33" s="32" customFormat="1" ht="15" customHeight="1">
      <c r="A973" s="37">
        <v>43588</v>
      </c>
      <c r="B973" s="20" t="s">
        <v>38</v>
      </c>
      <c r="C973" s="20" t="s">
        <v>47</v>
      </c>
      <c r="D973" s="20">
        <v>6800</v>
      </c>
      <c r="E973" s="38">
        <v>75</v>
      </c>
      <c r="F973" s="20" t="s">
        <v>8</v>
      </c>
      <c r="G973" s="43">
        <v>230</v>
      </c>
      <c r="H973" s="20">
        <v>224</v>
      </c>
      <c r="I973" s="43">
        <v>0</v>
      </c>
      <c r="J973" s="43">
        <v>0</v>
      </c>
      <c r="K973" s="1">
        <f t="shared" si="825"/>
        <v>-450</v>
      </c>
      <c r="L973" s="43">
        <v>0</v>
      </c>
      <c r="M973" s="43">
        <v>0</v>
      </c>
      <c r="N973" s="1">
        <f t="shared" si="812"/>
        <v>-6</v>
      </c>
      <c r="O973" s="1">
        <f t="shared" si="816"/>
        <v>-450</v>
      </c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</row>
    <row r="974" spans="1:33" s="32" customFormat="1" ht="15" customHeight="1">
      <c r="A974" s="37">
        <v>43588</v>
      </c>
      <c r="B974" s="20" t="s">
        <v>24</v>
      </c>
      <c r="C974" s="20" t="s">
        <v>47</v>
      </c>
      <c r="D974" s="20">
        <v>215</v>
      </c>
      <c r="E974" s="38">
        <v>2000</v>
      </c>
      <c r="F974" s="20" t="s">
        <v>8</v>
      </c>
      <c r="G974" s="43">
        <v>12</v>
      </c>
      <c r="H974" s="20">
        <v>10.9</v>
      </c>
      <c r="I974" s="43">
        <v>0</v>
      </c>
      <c r="J974" s="43">
        <v>0</v>
      </c>
      <c r="K974" s="1">
        <f t="shared" si="825"/>
        <v>-2199.9999999999991</v>
      </c>
      <c r="L974" s="43">
        <v>0</v>
      </c>
      <c r="M974" s="43">
        <v>0</v>
      </c>
      <c r="N974" s="1">
        <f t="shared" si="812"/>
        <v>-1.0999999999999996</v>
      </c>
      <c r="O974" s="1">
        <f t="shared" si="816"/>
        <v>-2199.9999999999991</v>
      </c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</row>
    <row r="975" spans="1:33" s="32" customFormat="1" ht="15" customHeight="1">
      <c r="A975" s="37">
        <v>43588</v>
      </c>
      <c r="B975" s="20" t="s">
        <v>415</v>
      </c>
      <c r="C975" s="20" t="s">
        <v>47</v>
      </c>
      <c r="D975" s="20">
        <v>2600</v>
      </c>
      <c r="E975" s="38">
        <v>200</v>
      </c>
      <c r="F975" s="20" t="s">
        <v>8</v>
      </c>
      <c r="G975" s="43">
        <v>95</v>
      </c>
      <c r="H975" s="20">
        <v>81</v>
      </c>
      <c r="I975" s="43">
        <v>0</v>
      </c>
      <c r="J975" s="43">
        <v>0</v>
      </c>
      <c r="K975" s="1">
        <f t="shared" si="825"/>
        <v>-2800</v>
      </c>
      <c r="L975" s="43">
        <v>0</v>
      </c>
      <c r="M975" s="43">
        <v>0</v>
      </c>
      <c r="N975" s="1">
        <f t="shared" si="812"/>
        <v>-14</v>
      </c>
      <c r="O975" s="1">
        <f t="shared" si="816"/>
        <v>-2800</v>
      </c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</row>
    <row r="976" spans="1:33" s="32" customFormat="1" ht="15" customHeight="1">
      <c r="A976" s="37">
        <v>43587</v>
      </c>
      <c r="B976" s="20" t="s">
        <v>414</v>
      </c>
      <c r="C976" s="20" t="s">
        <v>47</v>
      </c>
      <c r="D976" s="20">
        <v>170</v>
      </c>
      <c r="E976" s="38">
        <v>1750</v>
      </c>
      <c r="F976" s="20" t="s">
        <v>8</v>
      </c>
      <c r="G976" s="43">
        <v>18.3</v>
      </c>
      <c r="H976" s="20">
        <v>20</v>
      </c>
      <c r="I976" s="43">
        <v>0</v>
      </c>
      <c r="J976" s="43">
        <v>0</v>
      </c>
      <c r="K976" s="1">
        <f t="shared" ref="K976:K977" si="826">(IF(F976="SELL",G976-H976,IF(F976="BUY",H976-G976)))*E976</f>
        <v>2974.9999999999986</v>
      </c>
      <c r="L976" s="43">
        <v>0</v>
      </c>
      <c r="M976" s="43">
        <v>0</v>
      </c>
      <c r="N976" s="1">
        <f t="shared" si="812"/>
        <v>1.6999999999999993</v>
      </c>
      <c r="O976" s="1">
        <f t="shared" si="816"/>
        <v>2974.9999999999986</v>
      </c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</row>
    <row r="977" spans="1:33" s="32" customFormat="1" ht="15" customHeight="1">
      <c r="A977" s="37">
        <v>43587</v>
      </c>
      <c r="B977" s="20" t="s">
        <v>69</v>
      </c>
      <c r="C977" s="20" t="s">
        <v>46</v>
      </c>
      <c r="D977" s="20">
        <v>140</v>
      </c>
      <c r="E977" s="38">
        <v>2850</v>
      </c>
      <c r="F977" s="20" t="s">
        <v>8</v>
      </c>
      <c r="G977" s="43">
        <v>8.25</v>
      </c>
      <c r="H977" s="20">
        <v>7.1</v>
      </c>
      <c r="I977" s="43">
        <v>0</v>
      </c>
      <c r="J977" s="43">
        <v>0</v>
      </c>
      <c r="K977" s="1">
        <f t="shared" si="826"/>
        <v>-3277.5000000000009</v>
      </c>
      <c r="L977" s="43">
        <v>0</v>
      </c>
      <c r="M977" s="43">
        <v>0</v>
      </c>
      <c r="N977" s="1">
        <f t="shared" si="812"/>
        <v>-1.1500000000000004</v>
      </c>
      <c r="O977" s="1">
        <f t="shared" si="816"/>
        <v>-3277.5000000000009</v>
      </c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</row>
    <row r="978" spans="1:33" s="32" customFormat="1" ht="15" customHeight="1">
      <c r="A978" s="37">
        <v>43585</v>
      </c>
      <c r="B978" s="20" t="s">
        <v>413</v>
      </c>
      <c r="C978" s="20" t="s">
        <v>46</v>
      </c>
      <c r="D978" s="20">
        <v>700</v>
      </c>
      <c r="E978" s="38">
        <v>500</v>
      </c>
      <c r="F978" s="20" t="s">
        <v>8</v>
      </c>
      <c r="G978" s="43">
        <v>52</v>
      </c>
      <c r="H978" s="20">
        <v>55</v>
      </c>
      <c r="I978" s="43">
        <v>61</v>
      </c>
      <c r="J978" s="43">
        <v>0</v>
      </c>
      <c r="K978" s="1">
        <f t="shared" ref="K978:K981" si="827">(IF(F978="SELL",G978-H978,IF(F978="BUY",H978-G978)))*E978</f>
        <v>1500</v>
      </c>
      <c r="L978" s="43">
        <f>E978*6</f>
        <v>3000</v>
      </c>
      <c r="M978" s="43">
        <v>0</v>
      </c>
      <c r="N978" s="1">
        <f t="shared" si="812"/>
        <v>9</v>
      </c>
      <c r="O978" s="1">
        <f t="shared" si="816"/>
        <v>4500</v>
      </c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</row>
    <row r="979" spans="1:33" s="32" customFormat="1" ht="15" customHeight="1">
      <c r="A979" s="37">
        <v>43585</v>
      </c>
      <c r="B979" s="20" t="s">
        <v>72</v>
      </c>
      <c r="C979" s="20" t="s">
        <v>46</v>
      </c>
      <c r="D979" s="20">
        <v>370</v>
      </c>
      <c r="E979" s="38">
        <v>1800</v>
      </c>
      <c r="F979" s="20" t="s">
        <v>8</v>
      </c>
      <c r="G979" s="43">
        <v>13</v>
      </c>
      <c r="H979" s="20">
        <v>14.5</v>
      </c>
      <c r="I979" s="43">
        <v>0</v>
      </c>
      <c r="J979" s="43">
        <v>0</v>
      </c>
      <c r="K979" s="1">
        <f t="shared" si="827"/>
        <v>2700</v>
      </c>
      <c r="L979" s="43">
        <v>0</v>
      </c>
      <c r="M979" s="43">
        <v>0</v>
      </c>
      <c r="N979" s="1">
        <f t="shared" si="812"/>
        <v>1.5</v>
      </c>
      <c r="O979" s="1">
        <f t="shared" si="816"/>
        <v>2700</v>
      </c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</row>
    <row r="980" spans="1:33" s="32" customFormat="1" ht="15" customHeight="1">
      <c r="A980" s="37">
        <v>43585</v>
      </c>
      <c r="B980" s="20" t="s">
        <v>21</v>
      </c>
      <c r="C980" s="20" t="s">
        <v>46</v>
      </c>
      <c r="D980" s="20">
        <v>305</v>
      </c>
      <c r="E980" s="38">
        <v>3000</v>
      </c>
      <c r="F980" s="20" t="s">
        <v>8</v>
      </c>
      <c r="G980" s="43">
        <v>11.5</v>
      </c>
      <c r="H980" s="20">
        <v>10.6</v>
      </c>
      <c r="I980" s="43">
        <v>0</v>
      </c>
      <c r="J980" s="43">
        <v>0</v>
      </c>
      <c r="K980" s="1">
        <f t="shared" si="827"/>
        <v>-2700.0000000000009</v>
      </c>
      <c r="L980" s="43">
        <v>0</v>
      </c>
      <c r="M980" s="43">
        <v>0</v>
      </c>
      <c r="N980" s="1">
        <f t="shared" si="812"/>
        <v>-0.90000000000000036</v>
      </c>
      <c r="O980" s="1">
        <f t="shared" si="816"/>
        <v>-2700.0000000000009</v>
      </c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</row>
    <row r="981" spans="1:33" s="32" customFormat="1" ht="15" customHeight="1">
      <c r="A981" s="37">
        <v>43585</v>
      </c>
      <c r="B981" s="20" t="s">
        <v>26</v>
      </c>
      <c r="C981" s="20" t="s">
        <v>47</v>
      </c>
      <c r="D981" s="20">
        <v>550</v>
      </c>
      <c r="E981" s="38">
        <v>1061</v>
      </c>
      <c r="F981" s="20" t="s">
        <v>8</v>
      </c>
      <c r="G981" s="43">
        <v>22.5</v>
      </c>
      <c r="H981" s="20">
        <v>25</v>
      </c>
      <c r="I981" s="43">
        <v>0</v>
      </c>
      <c r="J981" s="43">
        <v>0</v>
      </c>
      <c r="K981" s="1">
        <f t="shared" si="827"/>
        <v>2652.5</v>
      </c>
      <c r="L981" s="43">
        <v>0</v>
      </c>
      <c r="M981" s="43">
        <v>0</v>
      </c>
      <c r="N981" s="1">
        <f t="shared" si="812"/>
        <v>2.5</v>
      </c>
      <c r="O981" s="1">
        <f t="shared" si="816"/>
        <v>2652.5</v>
      </c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</row>
    <row r="982" spans="1:33" s="32" customFormat="1" ht="15" customHeight="1">
      <c r="A982" s="37">
        <v>43581</v>
      </c>
      <c r="B982" s="20" t="s">
        <v>30</v>
      </c>
      <c r="C982" s="20" t="s">
        <v>46</v>
      </c>
      <c r="D982" s="20">
        <v>400</v>
      </c>
      <c r="E982" s="38">
        <v>2750</v>
      </c>
      <c r="F982" s="20" t="s">
        <v>8</v>
      </c>
      <c r="G982" s="43">
        <v>16.5</v>
      </c>
      <c r="H982" s="20">
        <v>17.5</v>
      </c>
      <c r="I982" s="43">
        <v>0</v>
      </c>
      <c r="J982" s="43">
        <v>0</v>
      </c>
      <c r="K982" s="1">
        <f t="shared" ref="K982:K983" si="828">(IF(F982="SELL",G982-H982,IF(F982="BUY",H982-G982)))*E982</f>
        <v>2750</v>
      </c>
      <c r="L982" s="43">
        <v>0</v>
      </c>
      <c r="M982" s="43">
        <v>0</v>
      </c>
      <c r="N982" s="1">
        <f t="shared" si="812"/>
        <v>1</v>
      </c>
      <c r="O982" s="1">
        <f t="shared" si="816"/>
        <v>2750</v>
      </c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</row>
    <row r="983" spans="1:33" s="32" customFormat="1" ht="15" customHeight="1">
      <c r="A983" s="37">
        <v>43581</v>
      </c>
      <c r="B983" s="20" t="s">
        <v>20</v>
      </c>
      <c r="C983" s="20" t="s">
        <v>47</v>
      </c>
      <c r="D983" s="20">
        <v>740</v>
      </c>
      <c r="E983" s="38">
        <v>1200</v>
      </c>
      <c r="F983" s="20" t="s">
        <v>8</v>
      </c>
      <c r="G983" s="43">
        <v>20</v>
      </c>
      <c r="H983" s="20">
        <v>21.2</v>
      </c>
      <c r="I983" s="43">
        <v>0</v>
      </c>
      <c r="J983" s="43">
        <v>0</v>
      </c>
      <c r="K983" s="1">
        <f t="shared" si="828"/>
        <v>1439.9999999999991</v>
      </c>
      <c r="L983" s="43">
        <v>0</v>
      </c>
      <c r="M983" s="43">
        <v>0</v>
      </c>
      <c r="N983" s="1">
        <f t="shared" si="812"/>
        <v>1.1999999999999993</v>
      </c>
      <c r="O983" s="1">
        <f t="shared" si="816"/>
        <v>1439.9999999999991</v>
      </c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</row>
    <row r="984" spans="1:33" s="32" customFormat="1" ht="15" customHeight="1">
      <c r="A984" s="37">
        <v>43580</v>
      </c>
      <c r="B984" s="20" t="s">
        <v>412</v>
      </c>
      <c r="C984" s="20" t="s">
        <v>47</v>
      </c>
      <c r="D984" s="20">
        <v>4500</v>
      </c>
      <c r="E984" s="38">
        <v>200</v>
      </c>
      <c r="F984" s="20" t="s">
        <v>8</v>
      </c>
      <c r="G984" s="43">
        <v>60</v>
      </c>
      <c r="H984" s="20">
        <v>68</v>
      </c>
      <c r="I984" s="43">
        <v>85</v>
      </c>
      <c r="J984" s="43">
        <v>0</v>
      </c>
      <c r="K984" s="1">
        <f t="shared" ref="K984:K985" si="829">(IF(F984="SELL",G984-H984,IF(F984="BUY",H984-G984)))*E984</f>
        <v>1600</v>
      </c>
      <c r="L984" s="43">
        <f>E984*17</f>
        <v>3400</v>
      </c>
      <c r="M984" s="43">
        <v>0</v>
      </c>
      <c r="N984" s="1">
        <f t="shared" si="812"/>
        <v>25</v>
      </c>
      <c r="O984" s="1">
        <f t="shared" si="816"/>
        <v>5000</v>
      </c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</row>
    <row r="985" spans="1:33" s="32" customFormat="1" ht="15" customHeight="1">
      <c r="A985" s="37">
        <v>43580</v>
      </c>
      <c r="B985" s="20" t="s">
        <v>411</v>
      </c>
      <c r="C985" s="20" t="s">
        <v>47</v>
      </c>
      <c r="D985" s="20">
        <v>250</v>
      </c>
      <c r="E985" s="38">
        <v>1750</v>
      </c>
      <c r="F985" s="20" t="s">
        <v>8</v>
      </c>
      <c r="G985" s="43">
        <v>1.75</v>
      </c>
      <c r="H985" s="20">
        <v>0.5</v>
      </c>
      <c r="I985" s="43">
        <v>0</v>
      </c>
      <c r="J985" s="43">
        <v>0</v>
      </c>
      <c r="K985" s="1">
        <f t="shared" si="829"/>
        <v>-2187.5</v>
      </c>
      <c r="L985" s="43">
        <v>0</v>
      </c>
      <c r="M985" s="43">
        <v>0</v>
      </c>
      <c r="N985" s="1">
        <f t="shared" si="812"/>
        <v>-1.25</v>
      </c>
      <c r="O985" s="1">
        <f t="shared" si="816"/>
        <v>-2187.5</v>
      </c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</row>
    <row r="986" spans="1:33" s="32" customFormat="1" ht="15" customHeight="1">
      <c r="A986" s="37">
        <v>43579</v>
      </c>
      <c r="B986" s="20" t="s">
        <v>395</v>
      </c>
      <c r="C986" s="20" t="s">
        <v>47</v>
      </c>
      <c r="D986" s="20">
        <v>340</v>
      </c>
      <c r="E986" s="38">
        <v>1800</v>
      </c>
      <c r="F986" s="20" t="s">
        <v>8</v>
      </c>
      <c r="G986" s="43">
        <v>7.5</v>
      </c>
      <c r="H986" s="20">
        <v>8.5</v>
      </c>
      <c r="I986" s="43">
        <v>10.199999999999999</v>
      </c>
      <c r="J986" s="43">
        <v>0</v>
      </c>
      <c r="K986" s="1">
        <f t="shared" ref="K986:K988" si="830">(IF(F986="SELL",G986-H986,IF(F986="BUY",H986-G986)))*E986</f>
        <v>1800</v>
      </c>
      <c r="L986" s="43">
        <f>E986*1.7</f>
        <v>3060</v>
      </c>
      <c r="M986" s="43">
        <v>0</v>
      </c>
      <c r="N986" s="1">
        <f t="shared" si="812"/>
        <v>2.7</v>
      </c>
      <c r="O986" s="1">
        <f t="shared" si="816"/>
        <v>4860</v>
      </c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</row>
    <row r="987" spans="1:33" s="32" customFormat="1" ht="15" customHeight="1">
      <c r="A987" s="37">
        <v>43579</v>
      </c>
      <c r="B987" s="20" t="s">
        <v>131</v>
      </c>
      <c r="C987" s="20" t="s">
        <v>46</v>
      </c>
      <c r="D987" s="20">
        <v>220</v>
      </c>
      <c r="E987" s="38">
        <v>2500</v>
      </c>
      <c r="F987" s="20" t="s">
        <v>8</v>
      </c>
      <c r="G987" s="43">
        <v>2.2000000000000002</v>
      </c>
      <c r="H987" s="20">
        <v>3.5</v>
      </c>
      <c r="I987" s="43">
        <v>0</v>
      </c>
      <c r="J987" s="43">
        <v>0</v>
      </c>
      <c r="K987" s="1">
        <f t="shared" si="830"/>
        <v>3249.9999999999995</v>
      </c>
      <c r="L987" s="43">
        <v>0</v>
      </c>
      <c r="M987" s="43">
        <v>0</v>
      </c>
      <c r="N987" s="1">
        <f t="shared" si="812"/>
        <v>1.2999999999999998</v>
      </c>
      <c r="O987" s="1">
        <f t="shared" si="816"/>
        <v>3249.9999999999995</v>
      </c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</row>
    <row r="988" spans="1:33" s="32" customFormat="1" ht="15" customHeight="1">
      <c r="A988" s="37">
        <v>43579</v>
      </c>
      <c r="B988" s="20" t="s">
        <v>24</v>
      </c>
      <c r="C988" s="20" t="s">
        <v>46</v>
      </c>
      <c r="D988" s="20">
        <v>220</v>
      </c>
      <c r="E988" s="38">
        <v>2000</v>
      </c>
      <c r="F988" s="20" t="s">
        <v>8</v>
      </c>
      <c r="G988" s="43">
        <v>4</v>
      </c>
      <c r="H988" s="20">
        <v>2.8</v>
      </c>
      <c r="I988" s="43">
        <v>0</v>
      </c>
      <c r="J988" s="43">
        <v>0</v>
      </c>
      <c r="K988" s="1">
        <f t="shared" si="830"/>
        <v>-2400.0000000000005</v>
      </c>
      <c r="L988" s="43">
        <v>0</v>
      </c>
      <c r="M988" s="43">
        <v>0</v>
      </c>
      <c r="N988" s="1">
        <f t="shared" si="812"/>
        <v>-1.2000000000000002</v>
      </c>
      <c r="O988" s="1">
        <f t="shared" si="816"/>
        <v>-2400.0000000000005</v>
      </c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</row>
    <row r="989" spans="1:33" s="32" customFormat="1" ht="15" customHeight="1">
      <c r="A989" s="37">
        <v>43579</v>
      </c>
      <c r="B989" s="20" t="s">
        <v>410</v>
      </c>
      <c r="C989" s="20" t="s">
        <v>46</v>
      </c>
      <c r="D989" s="20">
        <v>1460</v>
      </c>
      <c r="E989" s="38">
        <v>600</v>
      </c>
      <c r="F989" s="20" t="s">
        <v>8</v>
      </c>
      <c r="G989" s="43">
        <v>21</v>
      </c>
      <c r="H989" s="20">
        <v>23.5</v>
      </c>
      <c r="I989" s="43">
        <v>0</v>
      </c>
      <c r="J989" s="43">
        <v>0</v>
      </c>
      <c r="K989" s="1">
        <f t="shared" ref="K989" si="831">(IF(F989="SELL",G989-H989,IF(F989="BUY",H989-G989)))*E989</f>
        <v>1500</v>
      </c>
      <c r="L989" s="43">
        <v>0</v>
      </c>
      <c r="M989" s="43">
        <v>0</v>
      </c>
      <c r="N989" s="1">
        <f t="shared" si="812"/>
        <v>2.5</v>
      </c>
      <c r="O989" s="1">
        <f t="shared" si="816"/>
        <v>1500</v>
      </c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</row>
    <row r="990" spans="1:33" s="32" customFormat="1" ht="15" customHeight="1">
      <c r="A990" s="37">
        <v>43578</v>
      </c>
      <c r="B990" s="20" t="s">
        <v>77</v>
      </c>
      <c r="C990" s="20" t="s">
        <v>46</v>
      </c>
      <c r="D990" s="20">
        <v>335</v>
      </c>
      <c r="E990" s="38">
        <v>2667</v>
      </c>
      <c r="F990" s="20" t="s">
        <v>8</v>
      </c>
      <c r="G990" s="43">
        <v>5</v>
      </c>
      <c r="H990" s="20">
        <v>2</v>
      </c>
      <c r="I990" s="43">
        <v>0</v>
      </c>
      <c r="J990" s="43">
        <v>0</v>
      </c>
      <c r="K990" s="1">
        <f t="shared" ref="K990" si="832">(IF(F990="SELL",G990-H990,IF(F990="BUY",H990-G990)))*E990</f>
        <v>-8001</v>
      </c>
      <c r="L990" s="43">
        <v>0</v>
      </c>
      <c r="M990" s="43">
        <v>0</v>
      </c>
      <c r="N990" s="1">
        <f t="shared" si="812"/>
        <v>-3</v>
      </c>
      <c r="O990" s="1">
        <f t="shared" si="816"/>
        <v>-8001</v>
      </c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</row>
    <row r="991" spans="1:33" s="32" customFormat="1" ht="15" customHeight="1">
      <c r="A991" s="37">
        <v>43577</v>
      </c>
      <c r="B991" s="20" t="s">
        <v>63</v>
      </c>
      <c r="C991" s="20" t="s">
        <v>46</v>
      </c>
      <c r="D991" s="20">
        <v>250</v>
      </c>
      <c r="E991" s="38">
        <v>2100</v>
      </c>
      <c r="F991" s="20" t="s">
        <v>8</v>
      </c>
      <c r="G991" s="43">
        <v>4.5</v>
      </c>
      <c r="H991" s="20">
        <v>6</v>
      </c>
      <c r="I991" s="43">
        <v>0</v>
      </c>
      <c r="J991" s="43">
        <v>0</v>
      </c>
      <c r="K991" s="1">
        <f t="shared" ref="K991:K992" si="833">(IF(F991="SELL",G991-H991,IF(F991="BUY",H991-G991)))*E991</f>
        <v>3150</v>
      </c>
      <c r="L991" s="43">
        <v>0</v>
      </c>
      <c r="M991" s="43">
        <v>0</v>
      </c>
      <c r="N991" s="1">
        <f t="shared" si="812"/>
        <v>1.5</v>
      </c>
      <c r="O991" s="1">
        <f t="shared" si="816"/>
        <v>3150</v>
      </c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</row>
    <row r="992" spans="1:33" s="32" customFormat="1" ht="15" customHeight="1">
      <c r="A992" s="37">
        <v>43577</v>
      </c>
      <c r="B992" s="20" t="s">
        <v>408</v>
      </c>
      <c r="C992" s="20" t="s">
        <v>46</v>
      </c>
      <c r="D992" s="20">
        <v>270</v>
      </c>
      <c r="E992" s="38">
        <v>2000</v>
      </c>
      <c r="F992" s="20" t="s">
        <v>8</v>
      </c>
      <c r="G992" s="43">
        <v>2.9</v>
      </c>
      <c r="H992" s="20">
        <v>2.6</v>
      </c>
      <c r="I992" s="43">
        <v>0</v>
      </c>
      <c r="J992" s="43">
        <v>0</v>
      </c>
      <c r="K992" s="1">
        <f t="shared" si="833"/>
        <v>-599.99999999999966</v>
      </c>
      <c r="L992" s="43">
        <v>0</v>
      </c>
      <c r="M992" s="43">
        <v>0</v>
      </c>
      <c r="N992" s="1">
        <f t="shared" si="812"/>
        <v>-0.29999999999999982</v>
      </c>
      <c r="O992" s="1">
        <f t="shared" si="816"/>
        <v>-599.99999999999966</v>
      </c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</row>
    <row r="993" spans="1:33" s="32" customFormat="1" ht="15" customHeight="1">
      <c r="A993" s="37">
        <v>43573</v>
      </c>
      <c r="B993" s="20" t="s">
        <v>21</v>
      </c>
      <c r="C993" s="20" t="s">
        <v>46</v>
      </c>
      <c r="D993" s="20">
        <v>310</v>
      </c>
      <c r="E993" s="38">
        <v>3000</v>
      </c>
      <c r="F993" s="20" t="s">
        <v>8</v>
      </c>
      <c r="G993" s="43">
        <v>4</v>
      </c>
      <c r="H993" s="20">
        <v>5</v>
      </c>
      <c r="I993" s="43">
        <v>0</v>
      </c>
      <c r="J993" s="43">
        <v>0</v>
      </c>
      <c r="K993" s="1">
        <f t="shared" ref="K993:K994" si="834">(IF(F993="SELL",G993-H993,IF(F993="BUY",H993-G993)))*E993</f>
        <v>3000</v>
      </c>
      <c r="L993" s="43">
        <v>0</v>
      </c>
      <c r="M993" s="43">
        <v>0</v>
      </c>
      <c r="N993" s="1">
        <f t="shared" si="812"/>
        <v>1</v>
      </c>
      <c r="O993" s="1">
        <f t="shared" si="816"/>
        <v>3000</v>
      </c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</row>
    <row r="994" spans="1:33" s="32" customFormat="1" ht="15" customHeight="1">
      <c r="A994" s="37">
        <v>43573</v>
      </c>
      <c r="B994" s="20" t="s">
        <v>410</v>
      </c>
      <c r="C994" s="20" t="s">
        <v>47</v>
      </c>
      <c r="D994" s="20">
        <v>1640</v>
      </c>
      <c r="E994" s="38">
        <v>600</v>
      </c>
      <c r="F994" s="20" t="s">
        <v>8</v>
      </c>
      <c r="G994" s="43">
        <v>39</v>
      </c>
      <c r="H994" s="20">
        <v>29</v>
      </c>
      <c r="I994" s="43">
        <v>0</v>
      </c>
      <c r="J994" s="43">
        <v>0</v>
      </c>
      <c r="K994" s="1">
        <f t="shared" si="834"/>
        <v>-6000</v>
      </c>
      <c r="L994" s="43">
        <v>0</v>
      </c>
      <c r="M994" s="43">
        <v>0</v>
      </c>
      <c r="N994" s="1">
        <f t="shared" si="812"/>
        <v>-10</v>
      </c>
      <c r="O994" s="1">
        <f t="shared" si="816"/>
        <v>-6000</v>
      </c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</row>
    <row r="995" spans="1:33" s="32" customFormat="1" ht="15" customHeight="1">
      <c r="A995" s="37">
        <v>43571</v>
      </c>
      <c r="B995" s="20" t="s">
        <v>30</v>
      </c>
      <c r="C995" s="20" t="s">
        <v>47</v>
      </c>
      <c r="D995" s="20">
        <v>400</v>
      </c>
      <c r="E995" s="38">
        <v>2750</v>
      </c>
      <c r="F995" s="20" t="s">
        <v>8</v>
      </c>
      <c r="G995" s="43">
        <v>8.5</v>
      </c>
      <c r="H995" s="20">
        <v>9.5</v>
      </c>
      <c r="I995" s="43">
        <v>11</v>
      </c>
      <c r="J995" s="43">
        <v>0</v>
      </c>
      <c r="K995" s="1">
        <f t="shared" ref="K995:K996" si="835">(IF(F995="SELL",G995-H995,IF(F995="BUY",H995-G995)))*E995</f>
        <v>2750</v>
      </c>
      <c r="L995" s="43">
        <f>E995*1.5</f>
        <v>4125</v>
      </c>
      <c r="M995" s="43">
        <v>0</v>
      </c>
      <c r="N995" s="1">
        <f t="shared" si="812"/>
        <v>2.5</v>
      </c>
      <c r="O995" s="1">
        <f t="shared" si="816"/>
        <v>6875</v>
      </c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</row>
    <row r="996" spans="1:33" s="32" customFormat="1" ht="15" customHeight="1">
      <c r="A996" s="37">
        <v>43571</v>
      </c>
      <c r="B996" s="20" t="s">
        <v>63</v>
      </c>
      <c r="C996" s="20" t="s">
        <v>47</v>
      </c>
      <c r="D996" s="20">
        <v>260</v>
      </c>
      <c r="E996" s="38">
        <v>2100</v>
      </c>
      <c r="F996" s="20" t="s">
        <v>8</v>
      </c>
      <c r="G996" s="43">
        <v>7.5</v>
      </c>
      <c r="H996" s="20">
        <v>9</v>
      </c>
      <c r="I996" s="43">
        <v>0</v>
      </c>
      <c r="J996" s="43">
        <v>0</v>
      </c>
      <c r="K996" s="1">
        <f t="shared" si="835"/>
        <v>3150</v>
      </c>
      <c r="L996" s="43">
        <v>0</v>
      </c>
      <c r="M996" s="43">
        <v>0</v>
      </c>
      <c r="N996" s="1">
        <f t="shared" si="812"/>
        <v>1.5</v>
      </c>
      <c r="O996" s="1">
        <f t="shared" si="816"/>
        <v>3150</v>
      </c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</row>
    <row r="997" spans="1:33" s="32" customFormat="1" ht="15" customHeight="1">
      <c r="A997" s="37">
        <v>43570</v>
      </c>
      <c r="B997" s="20" t="s">
        <v>28</v>
      </c>
      <c r="C997" s="20" t="s">
        <v>46</v>
      </c>
      <c r="D997" s="20">
        <v>340</v>
      </c>
      <c r="E997" s="38">
        <v>1700</v>
      </c>
      <c r="F997" s="20" t="s">
        <v>8</v>
      </c>
      <c r="G997" s="43">
        <v>10.5</v>
      </c>
      <c r="H997" s="20">
        <v>12</v>
      </c>
      <c r="I997" s="43">
        <v>0</v>
      </c>
      <c r="J997" s="43">
        <v>0</v>
      </c>
      <c r="K997" s="1">
        <f t="shared" ref="K997" si="836">(IF(F997="SELL",G997-H997,IF(F997="BUY",H997-G997)))*E997</f>
        <v>2550</v>
      </c>
      <c r="L997" s="43">
        <v>0</v>
      </c>
      <c r="M997" s="43">
        <v>0</v>
      </c>
      <c r="N997" s="1">
        <f t="shared" si="812"/>
        <v>1.5</v>
      </c>
      <c r="O997" s="1">
        <f t="shared" si="816"/>
        <v>2550</v>
      </c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</row>
    <row r="998" spans="1:33" s="32" customFormat="1" ht="15" customHeight="1">
      <c r="A998" s="37">
        <v>43567</v>
      </c>
      <c r="B998" s="20" t="s">
        <v>72</v>
      </c>
      <c r="C998" s="20" t="s">
        <v>47</v>
      </c>
      <c r="D998" s="20">
        <v>370</v>
      </c>
      <c r="E998" s="38">
        <v>1800</v>
      </c>
      <c r="F998" s="20" t="s">
        <v>8</v>
      </c>
      <c r="G998" s="43">
        <v>9</v>
      </c>
      <c r="H998" s="20">
        <v>0</v>
      </c>
      <c r="I998" s="43">
        <v>0</v>
      </c>
      <c r="J998" s="43">
        <v>0</v>
      </c>
      <c r="K998" s="1">
        <v>0</v>
      </c>
      <c r="L998" s="43">
        <v>0</v>
      </c>
      <c r="M998" s="43">
        <v>0</v>
      </c>
      <c r="N998" s="1">
        <f t="shared" ref="N998:N1061" si="837">(L998+K998+M998)/E998</f>
        <v>0</v>
      </c>
      <c r="O998" s="1">
        <f t="shared" si="816"/>
        <v>0</v>
      </c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</row>
    <row r="999" spans="1:33" s="32" customFormat="1" ht="15" customHeight="1">
      <c r="A999" s="37">
        <v>43566</v>
      </c>
      <c r="B999" s="20" t="s">
        <v>28</v>
      </c>
      <c r="C999" s="20" t="s">
        <v>47</v>
      </c>
      <c r="D999" s="20">
        <v>350</v>
      </c>
      <c r="E999" s="38">
        <v>1700</v>
      </c>
      <c r="F999" s="20" t="s">
        <v>8</v>
      </c>
      <c r="G999" s="43">
        <v>8</v>
      </c>
      <c r="H999" s="20">
        <v>10</v>
      </c>
      <c r="I999" s="43">
        <v>0</v>
      </c>
      <c r="J999" s="43">
        <v>0</v>
      </c>
      <c r="K999" s="1">
        <f t="shared" ref="K999" si="838">(IF(F999="SELL",G999-H999,IF(F999="BUY",H999-G999)))*E999</f>
        <v>3400</v>
      </c>
      <c r="L999" s="43">
        <v>0</v>
      </c>
      <c r="M999" s="43">
        <v>0</v>
      </c>
      <c r="N999" s="1">
        <f t="shared" si="837"/>
        <v>2</v>
      </c>
      <c r="O999" s="1">
        <f t="shared" si="816"/>
        <v>3400</v>
      </c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</row>
    <row r="1000" spans="1:33" s="32" customFormat="1" ht="15" customHeight="1">
      <c r="A1000" s="37">
        <v>43566</v>
      </c>
      <c r="B1000" s="20" t="s">
        <v>107</v>
      </c>
      <c r="C1000" s="20" t="s">
        <v>47</v>
      </c>
      <c r="D1000" s="20">
        <v>470</v>
      </c>
      <c r="E1000" s="38">
        <v>1100</v>
      </c>
      <c r="F1000" s="20" t="s">
        <v>8</v>
      </c>
      <c r="G1000" s="43">
        <v>11.5</v>
      </c>
      <c r="H1000" s="20">
        <v>0</v>
      </c>
      <c r="I1000" s="43">
        <v>0</v>
      </c>
      <c r="J1000" s="43">
        <v>0</v>
      </c>
      <c r="K1000" s="1">
        <v>0</v>
      </c>
      <c r="L1000" s="43">
        <v>0</v>
      </c>
      <c r="M1000" s="43">
        <v>0</v>
      </c>
      <c r="N1000" s="1">
        <f t="shared" si="837"/>
        <v>0</v>
      </c>
      <c r="O1000" s="1">
        <f t="shared" si="816"/>
        <v>0</v>
      </c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</row>
    <row r="1001" spans="1:33" s="32" customFormat="1" ht="15" customHeight="1">
      <c r="A1001" s="37">
        <v>43565</v>
      </c>
      <c r="B1001" s="20" t="s">
        <v>21</v>
      </c>
      <c r="C1001" s="20" t="s">
        <v>47</v>
      </c>
      <c r="D1001" s="20">
        <v>320</v>
      </c>
      <c r="E1001" s="38">
        <v>3000</v>
      </c>
      <c r="F1001" s="20" t="s">
        <v>8</v>
      </c>
      <c r="G1001" s="43">
        <v>7</v>
      </c>
      <c r="H1001" s="20">
        <v>5</v>
      </c>
      <c r="I1001" s="43">
        <v>0</v>
      </c>
      <c r="J1001" s="43">
        <v>0</v>
      </c>
      <c r="K1001" s="1">
        <f t="shared" ref="K1001" si="839">(IF(F1001="SELL",G1001-H1001,IF(F1001="BUY",H1001-G1001)))*E1001</f>
        <v>-6000</v>
      </c>
      <c r="L1001" s="43">
        <v>0</v>
      </c>
      <c r="M1001" s="43">
        <v>0</v>
      </c>
      <c r="N1001" s="1">
        <f t="shared" si="837"/>
        <v>-2</v>
      </c>
      <c r="O1001" s="1">
        <f t="shared" si="816"/>
        <v>-6000</v>
      </c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</row>
    <row r="1002" spans="1:33" s="32" customFormat="1" ht="15" customHeight="1">
      <c r="A1002" s="37">
        <v>43564</v>
      </c>
      <c r="B1002" s="20" t="s">
        <v>408</v>
      </c>
      <c r="C1002" s="20" t="s">
        <v>47</v>
      </c>
      <c r="D1002" s="20">
        <v>280</v>
      </c>
      <c r="E1002" s="38">
        <v>2000</v>
      </c>
      <c r="F1002" s="20" t="s">
        <v>8</v>
      </c>
      <c r="G1002" s="43">
        <v>9.3000000000000007</v>
      </c>
      <c r="H1002" s="20">
        <v>10.5</v>
      </c>
      <c r="I1002" s="43">
        <v>13</v>
      </c>
      <c r="J1002" s="43">
        <v>15</v>
      </c>
      <c r="K1002" s="1">
        <f t="shared" ref="K1002" si="840">(IF(F1002="SELL",G1002-H1002,IF(F1002="BUY",H1002-G1002)))*E1002</f>
        <v>2399.9999999999986</v>
      </c>
      <c r="L1002" s="43">
        <f>E1002*2.5</f>
        <v>5000</v>
      </c>
      <c r="M1002" s="43">
        <f>E1002*2</f>
        <v>4000</v>
      </c>
      <c r="N1002" s="1">
        <f t="shared" si="837"/>
        <v>5.6999999999999993</v>
      </c>
      <c r="O1002" s="1">
        <f t="shared" si="816"/>
        <v>11399.999999999998</v>
      </c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</row>
    <row r="1003" spans="1:33" s="32" customFormat="1" ht="15" customHeight="1">
      <c r="A1003" s="37">
        <v>43563</v>
      </c>
      <c r="B1003" s="20" t="s">
        <v>107</v>
      </c>
      <c r="C1003" s="20" t="s">
        <v>46</v>
      </c>
      <c r="D1003" s="20">
        <v>460</v>
      </c>
      <c r="E1003" s="38">
        <v>1100</v>
      </c>
      <c r="F1003" s="20" t="s">
        <v>8</v>
      </c>
      <c r="G1003" s="43">
        <v>9.5</v>
      </c>
      <c r="H1003" s="20">
        <v>0</v>
      </c>
      <c r="I1003" s="43">
        <v>0</v>
      </c>
      <c r="J1003" s="43">
        <v>0</v>
      </c>
      <c r="K1003" s="1">
        <v>0</v>
      </c>
      <c r="L1003" s="43">
        <v>0</v>
      </c>
      <c r="M1003" s="43">
        <v>0</v>
      </c>
      <c r="N1003" s="1">
        <f t="shared" si="837"/>
        <v>0</v>
      </c>
      <c r="O1003" s="1">
        <f t="shared" si="816"/>
        <v>0</v>
      </c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</row>
    <row r="1004" spans="1:33" s="32" customFormat="1" ht="15" customHeight="1">
      <c r="A1004" s="37">
        <v>43560</v>
      </c>
      <c r="B1004" s="20" t="s">
        <v>69</v>
      </c>
      <c r="C1004" s="20" t="s">
        <v>47</v>
      </c>
      <c r="D1004" s="20">
        <v>155</v>
      </c>
      <c r="E1004" s="38">
        <v>2850</v>
      </c>
      <c r="F1004" s="20" t="s">
        <v>8</v>
      </c>
      <c r="G1004" s="43">
        <v>6.3</v>
      </c>
      <c r="H1004" s="20">
        <v>0</v>
      </c>
      <c r="I1004" s="43">
        <v>0</v>
      </c>
      <c r="J1004" s="43">
        <v>0</v>
      </c>
      <c r="K1004" s="1">
        <v>0</v>
      </c>
      <c r="L1004" s="43">
        <v>0</v>
      </c>
      <c r="M1004" s="43">
        <v>0</v>
      </c>
      <c r="N1004" s="1">
        <f t="shared" si="837"/>
        <v>0</v>
      </c>
      <c r="O1004" s="1">
        <f t="shared" si="816"/>
        <v>0</v>
      </c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</row>
    <row r="1005" spans="1:33" s="32" customFormat="1" ht="15" customHeight="1">
      <c r="A1005" s="37">
        <v>43559</v>
      </c>
      <c r="B1005" s="20" t="s">
        <v>34</v>
      </c>
      <c r="C1005" s="20" t="s">
        <v>46</v>
      </c>
      <c r="D1005" s="20">
        <v>210</v>
      </c>
      <c r="E1005" s="38">
        <v>3500</v>
      </c>
      <c r="F1005" s="20" t="s">
        <v>8</v>
      </c>
      <c r="G1005" s="43">
        <v>5.5</v>
      </c>
      <c r="H1005" s="20">
        <v>6.05</v>
      </c>
      <c r="I1005" s="43">
        <v>0</v>
      </c>
      <c r="J1005" s="43">
        <v>0</v>
      </c>
      <c r="K1005" s="1">
        <f t="shared" ref="K1005:K1006" si="841">(IF(F1005="SELL",G1005-H1005,IF(F1005="BUY",H1005-G1005)))*E1005</f>
        <v>1924.9999999999993</v>
      </c>
      <c r="L1005" s="43">
        <v>0</v>
      </c>
      <c r="M1005" s="43">
        <v>0</v>
      </c>
      <c r="N1005" s="1">
        <f t="shared" si="837"/>
        <v>0.54999999999999982</v>
      </c>
      <c r="O1005" s="1">
        <f t="shared" si="816"/>
        <v>1924.9999999999993</v>
      </c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</row>
    <row r="1006" spans="1:33" s="32" customFormat="1" ht="15" customHeight="1">
      <c r="A1006" s="37">
        <v>43559</v>
      </c>
      <c r="B1006" s="20" t="s">
        <v>20</v>
      </c>
      <c r="C1006" s="20" t="s">
        <v>46</v>
      </c>
      <c r="D1006" s="20">
        <v>740</v>
      </c>
      <c r="E1006" s="38">
        <v>1200</v>
      </c>
      <c r="F1006" s="20" t="s">
        <v>8</v>
      </c>
      <c r="G1006" s="43">
        <v>18</v>
      </c>
      <c r="H1006" s="20">
        <v>16.850000000000001</v>
      </c>
      <c r="I1006" s="43">
        <v>0</v>
      </c>
      <c r="J1006" s="43">
        <v>0</v>
      </c>
      <c r="K1006" s="1">
        <f t="shared" si="841"/>
        <v>-1379.9999999999982</v>
      </c>
      <c r="L1006" s="43">
        <v>0</v>
      </c>
      <c r="M1006" s="43">
        <v>0</v>
      </c>
      <c r="N1006" s="1">
        <f t="shared" si="837"/>
        <v>-1.1499999999999986</v>
      </c>
      <c r="O1006" s="1">
        <f t="shared" si="816"/>
        <v>-1379.9999999999982</v>
      </c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</row>
    <row r="1007" spans="1:33" s="32" customFormat="1" ht="15" customHeight="1">
      <c r="A1007" s="37">
        <v>43558</v>
      </c>
      <c r="B1007" s="20" t="s">
        <v>355</v>
      </c>
      <c r="C1007" s="20" t="s">
        <v>47</v>
      </c>
      <c r="D1007" s="20">
        <v>260</v>
      </c>
      <c r="E1007" s="38">
        <v>1800</v>
      </c>
      <c r="F1007" s="20" t="s">
        <v>8</v>
      </c>
      <c r="G1007" s="43">
        <v>15.5</v>
      </c>
      <c r="H1007" s="20">
        <v>17.5</v>
      </c>
      <c r="I1007" s="43">
        <v>0</v>
      </c>
      <c r="J1007" s="43">
        <v>0</v>
      </c>
      <c r="K1007" s="1">
        <f t="shared" ref="K1007" si="842">(IF(F1007="SELL",G1007-H1007,IF(F1007="BUY",H1007-G1007)))*E1007</f>
        <v>3600</v>
      </c>
      <c r="L1007" s="43">
        <v>0</v>
      </c>
      <c r="M1007" s="43">
        <v>0</v>
      </c>
      <c r="N1007" s="1">
        <f t="shared" si="837"/>
        <v>2</v>
      </c>
      <c r="O1007" s="1">
        <f t="shared" si="816"/>
        <v>3600</v>
      </c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</row>
    <row r="1008" spans="1:33" s="32" customFormat="1" ht="15" customHeight="1">
      <c r="A1008" s="37">
        <v>43558</v>
      </c>
      <c r="B1008" s="20" t="s">
        <v>63</v>
      </c>
      <c r="C1008" s="20" t="s">
        <v>46</v>
      </c>
      <c r="D1008" s="20">
        <v>260</v>
      </c>
      <c r="E1008" s="38">
        <v>2100</v>
      </c>
      <c r="F1008" s="20" t="s">
        <v>8</v>
      </c>
      <c r="G1008" s="43">
        <v>7</v>
      </c>
      <c r="H1008" s="20">
        <v>8.25</v>
      </c>
      <c r="I1008" s="43">
        <v>0</v>
      </c>
      <c r="J1008" s="43">
        <v>0</v>
      </c>
      <c r="K1008" s="1">
        <f>(IF(F1008="SELL",G1008-H1008,IF(F1008="BUY",H1008-G1008)))*E1008</f>
        <v>2625</v>
      </c>
      <c r="L1008" s="43">
        <v>0</v>
      </c>
      <c r="M1008" s="43">
        <v>0</v>
      </c>
      <c r="N1008" s="1">
        <f t="shared" si="837"/>
        <v>1.25</v>
      </c>
      <c r="O1008" s="1">
        <f t="shared" si="816"/>
        <v>2625</v>
      </c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</row>
    <row r="1009" spans="1:33" s="32" customFormat="1" ht="15" customHeight="1">
      <c r="A1009" s="37">
        <v>43557</v>
      </c>
      <c r="B1009" s="20" t="s">
        <v>80</v>
      </c>
      <c r="C1009" s="20" t="s">
        <v>47</v>
      </c>
      <c r="D1009" s="20">
        <v>370</v>
      </c>
      <c r="E1009" s="38">
        <v>1500</v>
      </c>
      <c r="F1009" s="20" t="s">
        <v>8</v>
      </c>
      <c r="G1009" s="43">
        <v>15.5</v>
      </c>
      <c r="H1009" s="20">
        <v>17</v>
      </c>
      <c r="I1009" s="43">
        <v>19</v>
      </c>
      <c r="J1009" s="43">
        <v>0</v>
      </c>
      <c r="K1009" s="1">
        <f t="shared" ref="K1009:K1010" si="843">(IF(F1009="SELL",G1009-H1009,IF(F1009="BUY",H1009-G1009)))*E1009</f>
        <v>2250</v>
      </c>
      <c r="L1009" s="43">
        <f>E1009*2</f>
        <v>3000</v>
      </c>
      <c r="M1009" s="43">
        <v>0</v>
      </c>
      <c r="N1009" s="1">
        <f t="shared" si="837"/>
        <v>3.5</v>
      </c>
      <c r="O1009" s="1">
        <f t="shared" ref="O1009:O1072" si="844">N1009*E1009</f>
        <v>5250</v>
      </c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</row>
    <row r="1010" spans="1:33" s="32" customFormat="1" ht="15" customHeight="1">
      <c r="A1010" s="37">
        <v>43557</v>
      </c>
      <c r="B1010" s="20" t="s">
        <v>21</v>
      </c>
      <c r="C1010" s="20" t="s">
        <v>47</v>
      </c>
      <c r="D1010" s="20">
        <v>330</v>
      </c>
      <c r="E1010" s="38">
        <v>3000</v>
      </c>
      <c r="F1010" s="20" t="s">
        <v>8</v>
      </c>
      <c r="G1010" s="43">
        <v>10.5</v>
      </c>
      <c r="H1010" s="20">
        <v>9.0500000000000007</v>
      </c>
      <c r="I1010" s="43">
        <v>0</v>
      </c>
      <c r="J1010" s="43">
        <v>0</v>
      </c>
      <c r="K1010" s="1">
        <f t="shared" si="843"/>
        <v>-4349.9999999999982</v>
      </c>
      <c r="L1010" s="43">
        <v>0</v>
      </c>
      <c r="M1010" s="43">
        <v>0</v>
      </c>
      <c r="N1010" s="1">
        <f t="shared" si="837"/>
        <v>-1.4499999999999993</v>
      </c>
      <c r="O1010" s="1">
        <f t="shared" si="844"/>
        <v>-4349.9999999999982</v>
      </c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</row>
    <row r="1011" spans="1:33" s="32" customFormat="1" ht="15" customHeight="1">
      <c r="A1011" s="37">
        <v>43556</v>
      </c>
      <c r="B1011" s="20" t="s">
        <v>34</v>
      </c>
      <c r="C1011" s="20" t="s">
        <v>47</v>
      </c>
      <c r="D1011" s="20">
        <v>210</v>
      </c>
      <c r="E1011" s="38">
        <v>3500</v>
      </c>
      <c r="F1011" s="20" t="s">
        <v>8</v>
      </c>
      <c r="G1011" s="43">
        <v>9</v>
      </c>
      <c r="H1011" s="20">
        <v>10</v>
      </c>
      <c r="I1011" s="43">
        <v>11</v>
      </c>
      <c r="J1011" s="43">
        <v>13</v>
      </c>
      <c r="K1011" s="1">
        <f>(IF(F1011="SELL",G1011-H1011,IF(F1011="BUY",H1011-G1011)))*E1011</f>
        <v>3500</v>
      </c>
      <c r="L1011" s="43">
        <f>E1011*1</f>
        <v>3500</v>
      </c>
      <c r="M1011" s="43">
        <f>E1011*2</f>
        <v>7000</v>
      </c>
      <c r="N1011" s="1">
        <f t="shared" si="837"/>
        <v>4</v>
      </c>
      <c r="O1011" s="1">
        <f t="shared" si="844"/>
        <v>14000</v>
      </c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</row>
    <row r="1012" spans="1:33" s="32" customFormat="1" ht="15" customHeight="1">
      <c r="A1012" s="37">
        <v>43553</v>
      </c>
      <c r="B1012" s="20" t="s">
        <v>368</v>
      </c>
      <c r="C1012" s="20" t="s">
        <v>46</v>
      </c>
      <c r="D1012" s="20">
        <v>440</v>
      </c>
      <c r="E1012" s="38">
        <v>1300</v>
      </c>
      <c r="F1012" s="20" t="s">
        <v>8</v>
      </c>
      <c r="G1012" s="43">
        <v>25</v>
      </c>
      <c r="H1012" s="20">
        <v>0</v>
      </c>
      <c r="I1012" s="43">
        <v>0</v>
      </c>
      <c r="J1012" s="43">
        <v>0</v>
      </c>
      <c r="K1012" s="1">
        <v>0</v>
      </c>
      <c r="L1012" s="43">
        <v>0</v>
      </c>
      <c r="M1012" s="43">
        <v>0</v>
      </c>
      <c r="N1012" s="1">
        <f t="shared" si="837"/>
        <v>0</v>
      </c>
      <c r="O1012" s="1">
        <f t="shared" si="844"/>
        <v>0</v>
      </c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</row>
    <row r="1013" spans="1:33" s="32" customFormat="1" ht="15" customHeight="1">
      <c r="A1013" s="37">
        <v>43553</v>
      </c>
      <c r="B1013" s="20" t="s">
        <v>409</v>
      </c>
      <c r="C1013" s="20" t="s">
        <v>46</v>
      </c>
      <c r="D1013" s="20">
        <v>150</v>
      </c>
      <c r="E1013" s="38">
        <v>4500</v>
      </c>
      <c r="F1013" s="20" t="s">
        <v>8</v>
      </c>
      <c r="G1013" s="43">
        <v>6.5</v>
      </c>
      <c r="H1013" s="20">
        <v>0</v>
      </c>
      <c r="I1013" s="43">
        <v>0</v>
      </c>
      <c r="J1013" s="43">
        <v>0</v>
      </c>
      <c r="K1013" s="1">
        <v>0</v>
      </c>
      <c r="L1013" s="43">
        <v>0</v>
      </c>
      <c r="M1013" s="43">
        <v>0</v>
      </c>
      <c r="N1013" s="1">
        <f t="shared" si="837"/>
        <v>0</v>
      </c>
      <c r="O1013" s="1">
        <f t="shared" si="844"/>
        <v>0</v>
      </c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</row>
    <row r="1014" spans="1:33" s="32" customFormat="1" ht="15" customHeight="1">
      <c r="A1014" s="37">
        <v>43552</v>
      </c>
      <c r="B1014" s="20" t="s">
        <v>408</v>
      </c>
      <c r="C1014" s="20" t="s">
        <v>47</v>
      </c>
      <c r="D1014" s="20">
        <v>290</v>
      </c>
      <c r="E1014" s="38">
        <v>2000</v>
      </c>
      <c r="F1014" s="20" t="s">
        <v>8</v>
      </c>
      <c r="G1014" s="43">
        <v>1.4</v>
      </c>
      <c r="H1014" s="20">
        <v>3</v>
      </c>
      <c r="I1014" s="43">
        <v>5</v>
      </c>
      <c r="J1014" s="43">
        <v>7</v>
      </c>
      <c r="K1014" s="1">
        <f>(IF(F1014="SELL",G1014-H1014,IF(F1014="BUY",H1014-G1014)))*E1014</f>
        <v>3200</v>
      </c>
      <c r="L1014" s="43">
        <f>E1014*2</f>
        <v>4000</v>
      </c>
      <c r="M1014" s="43">
        <f>E1014*2</f>
        <v>4000</v>
      </c>
      <c r="N1014" s="1">
        <f t="shared" si="837"/>
        <v>5.6</v>
      </c>
      <c r="O1014" s="1">
        <f t="shared" si="844"/>
        <v>11200</v>
      </c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</row>
    <row r="1015" spans="1:33" s="32" customFormat="1" ht="15" customHeight="1">
      <c r="A1015" s="37">
        <v>43552</v>
      </c>
      <c r="B1015" s="20" t="s">
        <v>34</v>
      </c>
      <c r="C1015" s="20" t="s">
        <v>46</v>
      </c>
      <c r="D1015" s="20">
        <v>205</v>
      </c>
      <c r="E1015" s="38">
        <v>3500</v>
      </c>
      <c r="F1015" s="20" t="s">
        <v>8</v>
      </c>
      <c r="G1015" s="43">
        <v>1.4</v>
      </c>
      <c r="H1015" s="20">
        <v>2.4</v>
      </c>
      <c r="I1015" s="43">
        <v>0</v>
      </c>
      <c r="J1015" s="43">
        <v>0</v>
      </c>
      <c r="K1015" s="1">
        <f t="shared" ref="K1015" si="845">(IF(F1015="SELL",G1015-H1015,IF(F1015="BUY",H1015-G1015)))*E1015</f>
        <v>3500</v>
      </c>
      <c r="L1015" s="43">
        <v>0</v>
      </c>
      <c r="M1015" s="43">
        <v>0</v>
      </c>
      <c r="N1015" s="1">
        <f t="shared" si="837"/>
        <v>1</v>
      </c>
      <c r="O1015" s="1">
        <f t="shared" si="844"/>
        <v>3500</v>
      </c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</row>
    <row r="1016" spans="1:33" s="32" customFormat="1" ht="15" customHeight="1">
      <c r="A1016" s="37">
        <v>43550</v>
      </c>
      <c r="B1016" s="20" t="s">
        <v>22</v>
      </c>
      <c r="C1016" s="20" t="s">
        <v>47</v>
      </c>
      <c r="D1016" s="20">
        <v>200</v>
      </c>
      <c r="E1016" s="38">
        <v>2600</v>
      </c>
      <c r="F1016" s="20" t="s">
        <v>8</v>
      </c>
      <c r="G1016" s="43">
        <v>3.5</v>
      </c>
      <c r="H1016" s="20">
        <v>4.5</v>
      </c>
      <c r="I1016" s="43">
        <v>6</v>
      </c>
      <c r="J1016" s="43">
        <v>0</v>
      </c>
      <c r="K1016" s="1">
        <f t="shared" ref="K1016:K1017" si="846">(IF(F1016="SELL",G1016-H1016,IF(F1016="BUY",H1016-G1016)))*E1016</f>
        <v>2600</v>
      </c>
      <c r="L1016" s="43">
        <f>E1016*1.5</f>
        <v>3900</v>
      </c>
      <c r="M1016" s="43">
        <v>0</v>
      </c>
      <c r="N1016" s="1">
        <f t="shared" si="837"/>
        <v>2.5</v>
      </c>
      <c r="O1016" s="1">
        <f t="shared" si="844"/>
        <v>6500</v>
      </c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</row>
    <row r="1017" spans="1:33" s="32" customFormat="1" ht="15" customHeight="1">
      <c r="A1017" s="37">
        <v>43550</v>
      </c>
      <c r="B1017" s="20" t="s">
        <v>77</v>
      </c>
      <c r="C1017" s="20" t="s">
        <v>47</v>
      </c>
      <c r="D1017" s="20">
        <v>360</v>
      </c>
      <c r="E1017" s="38">
        <v>2667</v>
      </c>
      <c r="F1017" s="20" t="s">
        <v>8</v>
      </c>
      <c r="G1017" s="43">
        <v>2.7</v>
      </c>
      <c r="H1017" s="20">
        <v>3.7</v>
      </c>
      <c r="I1017" s="43">
        <v>0</v>
      </c>
      <c r="J1017" s="43">
        <v>0</v>
      </c>
      <c r="K1017" s="1">
        <f t="shared" si="846"/>
        <v>2667</v>
      </c>
      <c r="L1017" s="43">
        <v>0</v>
      </c>
      <c r="M1017" s="43">
        <v>0</v>
      </c>
      <c r="N1017" s="1">
        <f t="shared" si="837"/>
        <v>1</v>
      </c>
      <c r="O1017" s="1">
        <f t="shared" si="844"/>
        <v>2667</v>
      </c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</row>
    <row r="1018" spans="1:33" s="32" customFormat="1" ht="15" customHeight="1">
      <c r="A1018" s="37">
        <v>43546</v>
      </c>
      <c r="B1018" s="20" t="s">
        <v>126</v>
      </c>
      <c r="C1018" s="20" t="s">
        <v>47</v>
      </c>
      <c r="D1018" s="20">
        <v>1420</v>
      </c>
      <c r="E1018" s="38">
        <v>375</v>
      </c>
      <c r="F1018" s="20" t="s">
        <v>8</v>
      </c>
      <c r="G1018" s="43">
        <v>17</v>
      </c>
      <c r="H1018" s="20">
        <v>8</v>
      </c>
      <c r="I1018" s="43">
        <v>0</v>
      </c>
      <c r="J1018" s="43">
        <v>0</v>
      </c>
      <c r="K1018" s="1">
        <f t="shared" ref="K1018" si="847">(IF(F1018="SELL",G1018-H1018,IF(F1018="BUY",H1018-G1018)))*E1018</f>
        <v>-3375</v>
      </c>
      <c r="L1018" s="43">
        <v>0</v>
      </c>
      <c r="M1018" s="43">
        <v>0</v>
      </c>
      <c r="N1018" s="1">
        <f t="shared" si="837"/>
        <v>-9</v>
      </c>
      <c r="O1018" s="1">
        <f t="shared" si="844"/>
        <v>-3375</v>
      </c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</row>
    <row r="1019" spans="1:33" s="32" customFormat="1" ht="15" customHeight="1">
      <c r="A1019" s="37">
        <v>43544</v>
      </c>
      <c r="B1019" s="20" t="s">
        <v>20</v>
      </c>
      <c r="C1019" s="20" t="s">
        <v>47</v>
      </c>
      <c r="D1019" s="20">
        <v>730</v>
      </c>
      <c r="E1019" s="38">
        <v>1200</v>
      </c>
      <c r="F1019" s="20" t="s">
        <v>8</v>
      </c>
      <c r="G1019" s="43">
        <v>15.5</v>
      </c>
      <c r="H1019" s="20">
        <v>17</v>
      </c>
      <c r="I1019" s="43">
        <v>19</v>
      </c>
      <c r="J1019" s="43">
        <v>0</v>
      </c>
      <c r="K1019" s="1">
        <f t="shared" ref="K1019:K1020" si="848">(IF(F1019="SELL",G1019-H1019,IF(F1019="BUY",H1019-G1019)))*E1019</f>
        <v>1800</v>
      </c>
      <c r="L1019" s="43">
        <f t="shared" ref="L1019" si="849">E1019*2</f>
        <v>2400</v>
      </c>
      <c r="M1019" s="43">
        <v>0</v>
      </c>
      <c r="N1019" s="1">
        <f t="shared" si="837"/>
        <v>3.5</v>
      </c>
      <c r="O1019" s="1">
        <f t="shared" si="844"/>
        <v>4200</v>
      </c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</row>
    <row r="1020" spans="1:33" s="32" customFormat="1" ht="15" customHeight="1">
      <c r="A1020" s="37">
        <v>43544</v>
      </c>
      <c r="B1020" s="20" t="s">
        <v>17</v>
      </c>
      <c r="C1020" s="20" t="s">
        <v>46</v>
      </c>
      <c r="D1020" s="20">
        <v>760</v>
      </c>
      <c r="E1020" s="38">
        <v>1200</v>
      </c>
      <c r="F1020" s="20" t="s">
        <v>8</v>
      </c>
      <c r="G1020" s="43">
        <v>13</v>
      </c>
      <c r="H1020" s="20">
        <v>11</v>
      </c>
      <c r="I1020" s="43">
        <v>0</v>
      </c>
      <c r="J1020" s="43">
        <v>0</v>
      </c>
      <c r="K1020" s="1">
        <f t="shared" si="848"/>
        <v>-2400</v>
      </c>
      <c r="L1020" s="43">
        <v>0</v>
      </c>
      <c r="M1020" s="43">
        <v>0</v>
      </c>
      <c r="N1020" s="1">
        <f t="shared" si="837"/>
        <v>-2</v>
      </c>
      <c r="O1020" s="1">
        <f t="shared" si="844"/>
        <v>-2400</v>
      </c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</row>
    <row r="1021" spans="1:33" s="32" customFormat="1" ht="15" customHeight="1">
      <c r="A1021" s="37">
        <v>43543</v>
      </c>
      <c r="B1021" s="20" t="s">
        <v>331</v>
      </c>
      <c r="C1021" s="20" t="s">
        <v>46</v>
      </c>
      <c r="D1021" s="20">
        <v>480</v>
      </c>
      <c r="E1021" s="38">
        <v>1000</v>
      </c>
      <c r="F1021" s="20" t="s">
        <v>8</v>
      </c>
      <c r="G1021" s="43">
        <v>15</v>
      </c>
      <c r="H1021" s="20">
        <v>17</v>
      </c>
      <c r="I1021" s="43">
        <v>19</v>
      </c>
      <c r="J1021" s="43">
        <v>22</v>
      </c>
      <c r="K1021" s="1">
        <f t="shared" ref="K1021" si="850">(IF(F1021="SELL",G1021-H1021,IF(F1021="BUY",H1021-G1021)))*E1021</f>
        <v>2000</v>
      </c>
      <c r="L1021" s="43">
        <f>E1021*2</f>
        <v>2000</v>
      </c>
      <c r="M1021" s="43">
        <f>E1021*3</f>
        <v>3000</v>
      </c>
      <c r="N1021" s="1">
        <f t="shared" si="837"/>
        <v>7</v>
      </c>
      <c r="O1021" s="1">
        <f t="shared" si="844"/>
        <v>7000</v>
      </c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</row>
    <row r="1022" spans="1:33" s="32" customFormat="1" ht="15" customHeight="1">
      <c r="A1022" s="37">
        <v>43539</v>
      </c>
      <c r="B1022" s="20" t="s">
        <v>21</v>
      </c>
      <c r="C1022" s="20" t="s">
        <v>47</v>
      </c>
      <c r="D1022" s="20">
        <v>295</v>
      </c>
      <c r="E1022" s="38">
        <v>3000</v>
      </c>
      <c r="F1022" s="20" t="s">
        <v>8</v>
      </c>
      <c r="G1022" s="43">
        <v>6.7</v>
      </c>
      <c r="H1022" s="20">
        <v>7.7</v>
      </c>
      <c r="I1022" s="43">
        <v>9</v>
      </c>
      <c r="J1022" s="43">
        <v>0</v>
      </c>
      <c r="K1022" s="1">
        <f t="shared" ref="K1022:K1023" si="851">(IF(F1022="SELL",G1022-H1022,IF(F1022="BUY",H1022-G1022)))*E1022</f>
        <v>3000</v>
      </c>
      <c r="L1022" s="43">
        <f>E1022*1.3</f>
        <v>3900</v>
      </c>
      <c r="M1022" s="43">
        <v>0</v>
      </c>
      <c r="N1022" s="1">
        <f t="shared" si="837"/>
        <v>2.2999999999999998</v>
      </c>
      <c r="O1022" s="1">
        <f t="shared" si="844"/>
        <v>6899.9999999999991</v>
      </c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</row>
    <row r="1023" spans="1:33" s="32" customFormat="1" ht="15" customHeight="1">
      <c r="A1023" s="37">
        <v>43539</v>
      </c>
      <c r="B1023" s="20" t="s">
        <v>69</v>
      </c>
      <c r="C1023" s="20" t="s">
        <v>47</v>
      </c>
      <c r="D1023" s="20">
        <v>165</v>
      </c>
      <c r="E1023" s="38">
        <v>2850</v>
      </c>
      <c r="F1023" s="20" t="s">
        <v>8</v>
      </c>
      <c r="G1023" s="43">
        <v>6</v>
      </c>
      <c r="H1023" s="20">
        <v>7</v>
      </c>
      <c r="I1023" s="43">
        <v>0</v>
      </c>
      <c r="J1023" s="43">
        <v>0</v>
      </c>
      <c r="K1023" s="1">
        <f t="shared" si="851"/>
        <v>2850</v>
      </c>
      <c r="L1023" s="43">
        <v>0</v>
      </c>
      <c r="M1023" s="43">
        <v>0</v>
      </c>
      <c r="N1023" s="1">
        <f t="shared" si="837"/>
        <v>1</v>
      </c>
      <c r="O1023" s="1">
        <f t="shared" si="844"/>
        <v>2850</v>
      </c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</row>
    <row r="1024" spans="1:33" s="32" customFormat="1" ht="15" customHeight="1">
      <c r="A1024" s="37">
        <v>43538</v>
      </c>
      <c r="B1024" s="20" t="s">
        <v>407</v>
      </c>
      <c r="C1024" s="20" t="s">
        <v>47</v>
      </c>
      <c r="D1024" s="20">
        <v>510</v>
      </c>
      <c r="E1024" s="38">
        <v>1100</v>
      </c>
      <c r="F1024" s="20" t="s">
        <v>8</v>
      </c>
      <c r="G1024" s="43">
        <v>12.25</v>
      </c>
      <c r="H1024" s="20">
        <v>14</v>
      </c>
      <c r="I1024" s="43">
        <v>16</v>
      </c>
      <c r="J1024" s="43">
        <v>18</v>
      </c>
      <c r="K1024" s="1">
        <f t="shared" ref="K1024" si="852">(IF(F1024="SELL",G1024-H1024,IF(F1024="BUY",H1024-G1024)))*E1024</f>
        <v>1925</v>
      </c>
      <c r="L1024" s="43">
        <f>E1024*2</f>
        <v>2200</v>
      </c>
      <c r="M1024" s="43">
        <f>E1024*2</f>
        <v>2200</v>
      </c>
      <c r="N1024" s="1">
        <f t="shared" si="837"/>
        <v>5.75</v>
      </c>
      <c r="O1024" s="1">
        <f t="shared" si="844"/>
        <v>6325</v>
      </c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</row>
    <row r="1025" spans="1:33" s="32" customFormat="1" ht="15" customHeight="1">
      <c r="A1025" s="37">
        <v>43538</v>
      </c>
      <c r="B1025" s="20" t="s">
        <v>26</v>
      </c>
      <c r="C1025" s="20" t="s">
        <v>47</v>
      </c>
      <c r="D1025" s="20">
        <v>520</v>
      </c>
      <c r="E1025" s="38">
        <v>1061</v>
      </c>
      <c r="F1025" s="20" t="s">
        <v>8</v>
      </c>
      <c r="G1025" s="43">
        <v>10.5</v>
      </c>
      <c r="H1025" s="20">
        <v>12.5</v>
      </c>
      <c r="I1025" s="43">
        <v>0</v>
      </c>
      <c r="J1025" s="43">
        <v>0</v>
      </c>
      <c r="K1025" s="1">
        <f t="shared" ref="K1025" si="853">(IF(F1025="SELL",G1025-H1025,IF(F1025="BUY",H1025-G1025)))*E1025</f>
        <v>2122</v>
      </c>
      <c r="L1025" s="43">
        <v>0</v>
      </c>
      <c r="M1025" s="43">
        <v>0</v>
      </c>
      <c r="N1025" s="1">
        <f t="shared" si="837"/>
        <v>2</v>
      </c>
      <c r="O1025" s="1">
        <f t="shared" si="844"/>
        <v>2122</v>
      </c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</row>
    <row r="1026" spans="1:33" s="32" customFormat="1" ht="15" customHeight="1">
      <c r="A1026" s="37">
        <v>43537</v>
      </c>
      <c r="B1026" s="20" t="s">
        <v>30</v>
      </c>
      <c r="C1026" s="20" t="s">
        <v>47</v>
      </c>
      <c r="D1026" s="20">
        <v>380</v>
      </c>
      <c r="E1026" s="38">
        <v>2750</v>
      </c>
      <c r="F1026" s="20" t="s">
        <v>8</v>
      </c>
      <c r="G1026" s="43">
        <v>7</v>
      </c>
      <c r="H1026" s="20">
        <v>8</v>
      </c>
      <c r="I1026" s="43">
        <v>9.5</v>
      </c>
      <c r="J1026" s="43">
        <v>0</v>
      </c>
      <c r="K1026" s="1">
        <f t="shared" ref="K1026:K1027" si="854">(IF(F1026="SELL",G1026-H1026,IF(F1026="BUY",H1026-G1026)))*E1026</f>
        <v>2750</v>
      </c>
      <c r="L1026" s="43">
        <f>E1026*1.5</f>
        <v>4125</v>
      </c>
      <c r="M1026" s="43">
        <v>0</v>
      </c>
      <c r="N1026" s="1">
        <f t="shared" si="837"/>
        <v>2.5</v>
      </c>
      <c r="O1026" s="1">
        <f t="shared" si="844"/>
        <v>6875</v>
      </c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</row>
    <row r="1027" spans="1:33" s="32" customFormat="1" ht="15" customHeight="1">
      <c r="A1027" s="37">
        <v>43537</v>
      </c>
      <c r="B1027" s="20" t="s">
        <v>39</v>
      </c>
      <c r="C1027" s="20" t="s">
        <v>47</v>
      </c>
      <c r="D1027" s="20">
        <v>1340</v>
      </c>
      <c r="E1027" s="38">
        <v>500</v>
      </c>
      <c r="F1027" s="20" t="s">
        <v>8</v>
      </c>
      <c r="G1027" s="43">
        <v>28</v>
      </c>
      <c r="H1027" s="20">
        <v>35</v>
      </c>
      <c r="I1027" s="43">
        <v>0</v>
      </c>
      <c r="J1027" s="43">
        <v>0</v>
      </c>
      <c r="K1027" s="1">
        <f t="shared" si="854"/>
        <v>3500</v>
      </c>
      <c r="L1027" s="43">
        <v>0</v>
      </c>
      <c r="M1027" s="43">
        <v>0</v>
      </c>
      <c r="N1027" s="1">
        <f t="shared" si="837"/>
        <v>7</v>
      </c>
      <c r="O1027" s="1">
        <f t="shared" si="844"/>
        <v>3500</v>
      </c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</row>
    <row r="1028" spans="1:33" s="32" customFormat="1" ht="15" customHeight="1">
      <c r="A1028" s="37">
        <v>43537</v>
      </c>
      <c r="B1028" s="20" t="s">
        <v>22</v>
      </c>
      <c r="C1028" s="20" t="s">
        <v>47</v>
      </c>
      <c r="D1028" s="20">
        <v>200</v>
      </c>
      <c r="E1028" s="38">
        <v>2600</v>
      </c>
      <c r="F1028" s="20" t="s">
        <v>8</v>
      </c>
      <c r="G1028" s="43">
        <v>5</v>
      </c>
      <c r="H1028" s="20">
        <v>4</v>
      </c>
      <c r="I1028" s="43">
        <v>0</v>
      </c>
      <c r="J1028" s="43">
        <v>0</v>
      </c>
      <c r="K1028" s="1">
        <f t="shared" ref="K1028" si="855">(IF(F1028="SELL",G1028-H1028,IF(F1028="BUY",H1028-G1028)))*E1028</f>
        <v>-2600</v>
      </c>
      <c r="L1028" s="43">
        <v>0</v>
      </c>
      <c r="M1028" s="43">
        <v>0</v>
      </c>
      <c r="N1028" s="1">
        <f t="shared" si="837"/>
        <v>-1</v>
      </c>
      <c r="O1028" s="1">
        <f t="shared" si="844"/>
        <v>-2600</v>
      </c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</row>
    <row r="1029" spans="1:33" s="32" customFormat="1" ht="15" customHeight="1">
      <c r="A1029" s="37">
        <v>43536</v>
      </c>
      <c r="B1029" s="20" t="s">
        <v>34</v>
      </c>
      <c r="C1029" s="20" t="s">
        <v>47</v>
      </c>
      <c r="D1029" s="20">
        <v>205</v>
      </c>
      <c r="E1029" s="38">
        <v>3500</v>
      </c>
      <c r="F1029" s="20" t="s">
        <v>8</v>
      </c>
      <c r="G1029" s="43">
        <v>6</v>
      </c>
      <c r="H1029" s="20">
        <v>7</v>
      </c>
      <c r="I1029" s="43">
        <v>0</v>
      </c>
      <c r="J1029" s="43">
        <v>0</v>
      </c>
      <c r="K1029" s="1">
        <f t="shared" ref="K1029" si="856">(IF(F1029="SELL",G1029-H1029,IF(F1029="BUY",H1029-G1029)))*E1029</f>
        <v>3500</v>
      </c>
      <c r="L1029" s="43">
        <v>0</v>
      </c>
      <c r="M1029" s="43">
        <v>0</v>
      </c>
      <c r="N1029" s="1">
        <f t="shared" si="837"/>
        <v>1</v>
      </c>
      <c r="O1029" s="1">
        <f t="shared" si="844"/>
        <v>3500</v>
      </c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</row>
    <row r="1030" spans="1:33" s="32" customFormat="1" ht="15" customHeight="1">
      <c r="A1030" s="37">
        <v>43535</v>
      </c>
      <c r="B1030" s="20" t="s">
        <v>402</v>
      </c>
      <c r="C1030" s="20" t="s">
        <v>47</v>
      </c>
      <c r="D1030" s="20">
        <v>1280</v>
      </c>
      <c r="E1030" s="38">
        <v>500</v>
      </c>
      <c r="F1030" s="20" t="s">
        <v>8</v>
      </c>
      <c r="G1030" s="43">
        <v>35</v>
      </c>
      <c r="H1030" s="20">
        <v>40</v>
      </c>
      <c r="I1030" s="43">
        <v>45</v>
      </c>
      <c r="J1030" s="43">
        <v>0</v>
      </c>
      <c r="K1030" s="1">
        <f t="shared" ref="K1030:K1032" si="857">(IF(F1030="SELL",G1030-H1030,IF(F1030="BUY",H1030-G1030)))*E1030</f>
        <v>2500</v>
      </c>
      <c r="L1030" s="43">
        <f>E1030*5</f>
        <v>2500</v>
      </c>
      <c r="M1030" s="43">
        <v>0</v>
      </c>
      <c r="N1030" s="1">
        <f t="shared" si="837"/>
        <v>10</v>
      </c>
      <c r="O1030" s="1">
        <f t="shared" si="844"/>
        <v>5000</v>
      </c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</row>
    <row r="1031" spans="1:33" s="32" customFormat="1" ht="15" customHeight="1">
      <c r="A1031" s="37">
        <v>43535</v>
      </c>
      <c r="B1031" s="20" t="s">
        <v>30</v>
      </c>
      <c r="C1031" s="20" t="s">
        <v>47</v>
      </c>
      <c r="D1031" s="20">
        <v>380</v>
      </c>
      <c r="E1031" s="38">
        <v>2750</v>
      </c>
      <c r="F1031" s="20" t="s">
        <v>8</v>
      </c>
      <c r="G1031" s="43">
        <v>6.5</v>
      </c>
      <c r="H1031" s="20">
        <v>7.5</v>
      </c>
      <c r="I1031" s="43">
        <v>0</v>
      </c>
      <c r="J1031" s="43">
        <v>0</v>
      </c>
      <c r="K1031" s="1">
        <f t="shared" si="857"/>
        <v>2750</v>
      </c>
      <c r="L1031" s="43">
        <v>0</v>
      </c>
      <c r="M1031" s="43">
        <v>0</v>
      </c>
      <c r="N1031" s="1">
        <f t="shared" si="837"/>
        <v>1</v>
      </c>
      <c r="O1031" s="1">
        <f t="shared" si="844"/>
        <v>2750</v>
      </c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</row>
    <row r="1032" spans="1:33" s="32" customFormat="1" ht="15" customHeight="1">
      <c r="A1032" s="37">
        <v>43535</v>
      </c>
      <c r="B1032" s="20" t="s">
        <v>34</v>
      </c>
      <c r="C1032" s="20" t="s">
        <v>47</v>
      </c>
      <c r="D1032" s="20">
        <v>200</v>
      </c>
      <c r="E1032" s="38">
        <v>3500</v>
      </c>
      <c r="F1032" s="20" t="s">
        <v>8</v>
      </c>
      <c r="G1032" s="43">
        <v>5.9</v>
      </c>
      <c r="H1032" s="20">
        <v>6.7</v>
      </c>
      <c r="I1032" s="43">
        <v>0</v>
      </c>
      <c r="J1032" s="43">
        <v>0</v>
      </c>
      <c r="K1032" s="1">
        <f t="shared" si="857"/>
        <v>2799.9999999999995</v>
      </c>
      <c r="L1032" s="43">
        <v>0</v>
      </c>
      <c r="M1032" s="43">
        <v>0</v>
      </c>
      <c r="N1032" s="1">
        <f t="shared" si="837"/>
        <v>0.79999999999999982</v>
      </c>
      <c r="O1032" s="1">
        <f t="shared" si="844"/>
        <v>2799.9999999999995</v>
      </c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</row>
    <row r="1033" spans="1:33" s="32" customFormat="1" ht="15" customHeight="1">
      <c r="A1033" s="37">
        <v>43532</v>
      </c>
      <c r="B1033" s="20" t="s">
        <v>34</v>
      </c>
      <c r="C1033" s="20" t="s">
        <v>46</v>
      </c>
      <c r="D1033" s="20">
        <v>195</v>
      </c>
      <c r="E1033" s="38">
        <v>3500</v>
      </c>
      <c r="F1033" s="20" t="s">
        <v>8</v>
      </c>
      <c r="G1033" s="43">
        <v>6</v>
      </c>
      <c r="H1033" s="20">
        <v>7</v>
      </c>
      <c r="I1033" s="43">
        <v>0</v>
      </c>
      <c r="J1033" s="43">
        <v>0</v>
      </c>
      <c r="K1033" s="1">
        <f t="shared" ref="K1033:K1034" si="858">(IF(F1033="SELL",G1033-H1033,IF(F1033="BUY",H1033-G1033)))*E1033</f>
        <v>3500</v>
      </c>
      <c r="L1033" s="43">
        <v>0</v>
      </c>
      <c r="M1033" s="43">
        <v>0</v>
      </c>
      <c r="N1033" s="1">
        <f t="shared" si="837"/>
        <v>1</v>
      </c>
      <c r="O1033" s="1">
        <f t="shared" si="844"/>
        <v>3500</v>
      </c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</row>
    <row r="1034" spans="1:33" s="32" customFormat="1" ht="15" customHeight="1">
      <c r="A1034" s="37">
        <v>43532</v>
      </c>
      <c r="B1034" s="20" t="s">
        <v>21</v>
      </c>
      <c r="C1034" s="20" t="s">
        <v>47</v>
      </c>
      <c r="D1034" s="20">
        <v>285</v>
      </c>
      <c r="E1034" s="38">
        <v>3000</v>
      </c>
      <c r="F1034" s="20" t="s">
        <v>8</v>
      </c>
      <c r="G1034" s="43">
        <v>6.8</v>
      </c>
      <c r="H1034" s="20">
        <v>5.2</v>
      </c>
      <c r="I1034" s="43">
        <v>0</v>
      </c>
      <c r="J1034" s="43">
        <v>0</v>
      </c>
      <c r="K1034" s="1">
        <f t="shared" si="858"/>
        <v>-4799.9999999999991</v>
      </c>
      <c r="L1034" s="43">
        <v>0</v>
      </c>
      <c r="M1034" s="43">
        <v>0</v>
      </c>
      <c r="N1034" s="1">
        <f t="shared" si="837"/>
        <v>-1.5999999999999996</v>
      </c>
      <c r="O1034" s="1">
        <f t="shared" si="844"/>
        <v>-4799.9999999999991</v>
      </c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</row>
    <row r="1035" spans="1:33" s="32" customFormat="1" ht="15" customHeight="1">
      <c r="A1035" s="37">
        <v>43531</v>
      </c>
      <c r="B1035" s="20" t="s">
        <v>54</v>
      </c>
      <c r="C1035" s="20" t="s">
        <v>47</v>
      </c>
      <c r="D1035" s="20">
        <v>620</v>
      </c>
      <c r="E1035" s="38">
        <v>1000</v>
      </c>
      <c r="F1035" s="20" t="s">
        <v>8</v>
      </c>
      <c r="G1035" s="43">
        <v>26</v>
      </c>
      <c r="H1035" s="20">
        <v>22</v>
      </c>
      <c r="I1035" s="43">
        <v>0</v>
      </c>
      <c r="J1035" s="43">
        <v>0</v>
      </c>
      <c r="K1035" s="1">
        <f t="shared" ref="K1035" si="859">(IF(F1035="SELL",G1035-H1035,IF(F1035="BUY",H1035-G1035)))*E1035</f>
        <v>-4000</v>
      </c>
      <c r="L1035" s="43">
        <v>0</v>
      </c>
      <c r="M1035" s="43">
        <v>0</v>
      </c>
      <c r="N1035" s="1">
        <f t="shared" si="837"/>
        <v>-4</v>
      </c>
      <c r="O1035" s="1">
        <f t="shared" si="844"/>
        <v>-4000</v>
      </c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</row>
    <row r="1036" spans="1:33" s="32" customFormat="1" ht="15" customHeight="1">
      <c r="A1036" s="37">
        <v>43531</v>
      </c>
      <c r="B1036" s="20" t="s">
        <v>329</v>
      </c>
      <c r="C1036" s="20" t="s">
        <v>47</v>
      </c>
      <c r="D1036" s="20">
        <v>1350</v>
      </c>
      <c r="E1036" s="38">
        <v>750</v>
      </c>
      <c r="F1036" s="20" t="s">
        <v>8</v>
      </c>
      <c r="G1036" s="43">
        <v>32.5</v>
      </c>
      <c r="H1036" s="20">
        <v>0</v>
      </c>
      <c r="I1036" s="43">
        <v>0</v>
      </c>
      <c r="J1036" s="43">
        <v>0</v>
      </c>
      <c r="K1036" s="1">
        <v>0</v>
      </c>
      <c r="L1036" s="43">
        <v>0</v>
      </c>
      <c r="M1036" s="43">
        <v>0</v>
      </c>
      <c r="N1036" s="1">
        <f t="shared" si="837"/>
        <v>0</v>
      </c>
      <c r="O1036" s="1">
        <f t="shared" si="844"/>
        <v>0</v>
      </c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</row>
    <row r="1037" spans="1:33" s="32" customFormat="1" ht="15" customHeight="1">
      <c r="A1037" s="37">
        <v>43530</v>
      </c>
      <c r="B1037" s="20" t="s">
        <v>39</v>
      </c>
      <c r="C1037" s="20" t="s">
        <v>47</v>
      </c>
      <c r="D1037" s="20">
        <v>1260</v>
      </c>
      <c r="E1037" s="38">
        <v>500</v>
      </c>
      <c r="F1037" s="20" t="s">
        <v>8</v>
      </c>
      <c r="G1037" s="43">
        <v>30</v>
      </c>
      <c r="H1037" s="20">
        <v>35</v>
      </c>
      <c r="I1037" s="43">
        <v>40</v>
      </c>
      <c r="J1037" s="43">
        <v>0</v>
      </c>
      <c r="K1037" s="1">
        <f t="shared" ref="K1037:K1038" si="860">(IF(F1037="SELL",G1037-H1037,IF(F1037="BUY",H1037-G1037)))*E1037</f>
        <v>2500</v>
      </c>
      <c r="L1037" s="43">
        <f>E1037*5</f>
        <v>2500</v>
      </c>
      <c r="M1037" s="43">
        <v>0</v>
      </c>
      <c r="N1037" s="1">
        <f t="shared" si="837"/>
        <v>10</v>
      </c>
      <c r="O1037" s="1">
        <f t="shared" si="844"/>
        <v>5000</v>
      </c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</row>
    <row r="1038" spans="1:33" s="32" customFormat="1" ht="15" customHeight="1">
      <c r="A1038" s="37">
        <v>43530</v>
      </c>
      <c r="B1038" s="20" t="s">
        <v>34</v>
      </c>
      <c r="C1038" s="20" t="s">
        <v>47</v>
      </c>
      <c r="D1038" s="20">
        <v>200</v>
      </c>
      <c r="E1038" s="38">
        <v>3500</v>
      </c>
      <c r="F1038" s="20" t="s">
        <v>8</v>
      </c>
      <c r="G1038" s="43">
        <v>8.3000000000000007</v>
      </c>
      <c r="H1038" s="20">
        <v>9.1999999999999993</v>
      </c>
      <c r="I1038" s="43">
        <v>0</v>
      </c>
      <c r="J1038" s="43">
        <v>0</v>
      </c>
      <c r="K1038" s="1">
        <f t="shared" si="860"/>
        <v>3149.999999999995</v>
      </c>
      <c r="L1038" s="43">
        <v>0</v>
      </c>
      <c r="M1038" s="43">
        <v>0</v>
      </c>
      <c r="N1038" s="1">
        <f t="shared" si="837"/>
        <v>0.89999999999999858</v>
      </c>
      <c r="O1038" s="1">
        <f t="shared" si="844"/>
        <v>3149.999999999995</v>
      </c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</row>
    <row r="1039" spans="1:33" s="32" customFormat="1" ht="15" customHeight="1">
      <c r="A1039" s="37">
        <v>43529</v>
      </c>
      <c r="B1039" s="20" t="s">
        <v>193</v>
      </c>
      <c r="C1039" s="20" t="s">
        <v>47</v>
      </c>
      <c r="D1039" s="20">
        <v>300</v>
      </c>
      <c r="E1039" s="38">
        <v>2750</v>
      </c>
      <c r="F1039" s="20" t="s">
        <v>8</v>
      </c>
      <c r="G1039" s="43">
        <v>8.5</v>
      </c>
      <c r="H1039" s="20">
        <v>9.5</v>
      </c>
      <c r="I1039" s="43">
        <v>0</v>
      </c>
      <c r="J1039" s="43">
        <v>0</v>
      </c>
      <c r="K1039" s="1">
        <f t="shared" ref="K1039:K1041" si="861">(IF(F1039="SELL",G1039-H1039,IF(F1039="BUY",H1039-G1039)))*E1039</f>
        <v>2750</v>
      </c>
      <c r="L1039" s="43">
        <v>0</v>
      </c>
      <c r="M1039" s="43">
        <v>0</v>
      </c>
      <c r="N1039" s="1">
        <f t="shared" si="837"/>
        <v>1</v>
      </c>
      <c r="O1039" s="1">
        <f t="shared" si="844"/>
        <v>2750</v>
      </c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</row>
    <row r="1040" spans="1:33" s="32" customFormat="1" ht="15" customHeight="1">
      <c r="A1040" s="37">
        <v>43529</v>
      </c>
      <c r="B1040" s="20" t="s">
        <v>69</v>
      </c>
      <c r="C1040" s="20" t="s">
        <v>47</v>
      </c>
      <c r="D1040" s="20">
        <v>160</v>
      </c>
      <c r="E1040" s="38">
        <v>2850</v>
      </c>
      <c r="F1040" s="20" t="s">
        <v>8</v>
      </c>
      <c r="G1040" s="43">
        <v>8</v>
      </c>
      <c r="H1040" s="20">
        <v>9</v>
      </c>
      <c r="I1040" s="43">
        <v>0</v>
      </c>
      <c r="J1040" s="43">
        <v>0</v>
      </c>
      <c r="K1040" s="1">
        <f t="shared" si="861"/>
        <v>2850</v>
      </c>
      <c r="L1040" s="43">
        <v>0</v>
      </c>
      <c r="M1040" s="43">
        <v>0</v>
      </c>
      <c r="N1040" s="1">
        <f t="shared" si="837"/>
        <v>1</v>
      </c>
      <c r="O1040" s="1">
        <f t="shared" si="844"/>
        <v>2850</v>
      </c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</row>
    <row r="1041" spans="1:33" s="32" customFormat="1" ht="15" customHeight="1">
      <c r="A1041" s="37">
        <v>43529</v>
      </c>
      <c r="B1041" s="20" t="s">
        <v>77</v>
      </c>
      <c r="C1041" s="20" t="s">
        <v>47</v>
      </c>
      <c r="D1041" s="20">
        <v>340</v>
      </c>
      <c r="E1041" s="38">
        <v>2667</v>
      </c>
      <c r="F1041" s="20" t="s">
        <v>8</v>
      </c>
      <c r="G1041" s="43">
        <v>13.4</v>
      </c>
      <c r="H1041" s="20">
        <v>14.4</v>
      </c>
      <c r="I1041" s="43">
        <v>0</v>
      </c>
      <c r="J1041" s="43">
        <v>0</v>
      </c>
      <c r="K1041" s="1">
        <f t="shared" si="861"/>
        <v>2667</v>
      </c>
      <c r="L1041" s="43">
        <v>0</v>
      </c>
      <c r="M1041" s="43">
        <v>0</v>
      </c>
      <c r="N1041" s="1">
        <f t="shared" si="837"/>
        <v>1</v>
      </c>
      <c r="O1041" s="1">
        <f t="shared" si="844"/>
        <v>2667</v>
      </c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</row>
    <row r="1042" spans="1:33" s="32" customFormat="1" ht="15" customHeight="1">
      <c r="A1042" s="37">
        <v>43522</v>
      </c>
      <c r="B1042" s="20" t="s">
        <v>24</v>
      </c>
      <c r="C1042" s="20" t="s">
        <v>47</v>
      </c>
      <c r="D1042" s="20">
        <v>175</v>
      </c>
      <c r="E1042" s="38">
        <v>2000</v>
      </c>
      <c r="F1042" s="20" t="s">
        <v>8</v>
      </c>
      <c r="G1042" s="43">
        <v>3.2</v>
      </c>
      <c r="H1042" s="20">
        <v>4.5</v>
      </c>
      <c r="I1042" s="43">
        <v>6</v>
      </c>
      <c r="J1042" s="53">
        <v>8</v>
      </c>
      <c r="K1042" s="1">
        <f t="shared" ref="K1042:K1046" si="862">(IF(F1042="SELL",G1042-H1042,IF(F1042="BUY",H1042-G1042)))*E1042</f>
        <v>2599.9999999999995</v>
      </c>
      <c r="L1042" s="51">
        <f>E1042*2</f>
        <v>4000</v>
      </c>
      <c r="M1042" s="51">
        <f>E1042*2</f>
        <v>4000</v>
      </c>
      <c r="N1042" s="1">
        <f t="shared" si="837"/>
        <v>5.3</v>
      </c>
      <c r="O1042" s="1">
        <f t="shared" si="844"/>
        <v>10600</v>
      </c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</row>
    <row r="1043" spans="1:33" s="32" customFormat="1" ht="15" customHeight="1">
      <c r="A1043" s="37">
        <v>43522</v>
      </c>
      <c r="B1043" s="20" t="s">
        <v>69</v>
      </c>
      <c r="C1043" s="20" t="s">
        <v>47</v>
      </c>
      <c r="D1043" s="20">
        <v>160</v>
      </c>
      <c r="E1043" s="38">
        <v>2850</v>
      </c>
      <c r="F1043" s="20" t="s">
        <v>8</v>
      </c>
      <c r="G1043" s="43">
        <v>2.5</v>
      </c>
      <c r="H1043" s="20">
        <v>3.5</v>
      </c>
      <c r="I1043" s="43">
        <v>0</v>
      </c>
      <c r="J1043" s="53">
        <v>0</v>
      </c>
      <c r="K1043" s="1">
        <f t="shared" si="862"/>
        <v>2850</v>
      </c>
      <c r="L1043" s="51">
        <v>0</v>
      </c>
      <c r="M1043" s="51">
        <v>0</v>
      </c>
      <c r="N1043" s="1">
        <f t="shared" si="837"/>
        <v>1</v>
      </c>
      <c r="O1043" s="1">
        <f t="shared" si="844"/>
        <v>2850</v>
      </c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</row>
    <row r="1044" spans="1:33" s="32" customFormat="1" ht="15" customHeight="1">
      <c r="A1044" s="37">
        <v>43522</v>
      </c>
      <c r="B1044" s="20" t="s">
        <v>109</v>
      </c>
      <c r="C1044" s="20" t="s">
        <v>47</v>
      </c>
      <c r="D1044" s="20">
        <v>385</v>
      </c>
      <c r="E1044" s="38">
        <v>2400</v>
      </c>
      <c r="F1044" s="20" t="s">
        <v>8</v>
      </c>
      <c r="G1044" s="43">
        <v>4</v>
      </c>
      <c r="H1044" s="20">
        <v>5</v>
      </c>
      <c r="I1044" s="43">
        <v>0</v>
      </c>
      <c r="J1044" s="53">
        <v>0</v>
      </c>
      <c r="K1044" s="1">
        <f t="shared" si="862"/>
        <v>2400</v>
      </c>
      <c r="L1044" s="51">
        <v>0</v>
      </c>
      <c r="M1044" s="51">
        <v>0</v>
      </c>
      <c r="N1044" s="1">
        <f t="shared" si="837"/>
        <v>1</v>
      </c>
      <c r="O1044" s="1">
        <f t="shared" si="844"/>
        <v>2400</v>
      </c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</row>
    <row r="1045" spans="1:33" s="32" customFormat="1" ht="15" customHeight="1">
      <c r="A1045" s="37">
        <v>43522</v>
      </c>
      <c r="B1045" s="20" t="s">
        <v>399</v>
      </c>
      <c r="C1045" s="20" t="s">
        <v>47</v>
      </c>
      <c r="D1045" s="20">
        <v>190</v>
      </c>
      <c r="E1045" s="38">
        <v>2250</v>
      </c>
      <c r="F1045" s="20" t="s">
        <v>8</v>
      </c>
      <c r="G1045" s="43">
        <v>2.5</v>
      </c>
      <c r="H1045" s="20">
        <v>3.5</v>
      </c>
      <c r="I1045" s="43">
        <v>0</v>
      </c>
      <c r="J1045" s="53">
        <v>0</v>
      </c>
      <c r="K1045" s="1">
        <f t="shared" si="862"/>
        <v>2250</v>
      </c>
      <c r="L1045" s="51">
        <v>0</v>
      </c>
      <c r="M1045" s="51">
        <v>0</v>
      </c>
      <c r="N1045" s="1">
        <f t="shared" si="837"/>
        <v>1</v>
      </c>
      <c r="O1045" s="1">
        <f t="shared" si="844"/>
        <v>2250</v>
      </c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</row>
    <row r="1046" spans="1:33" s="32" customFormat="1" ht="15" customHeight="1">
      <c r="A1046" s="37">
        <v>43522</v>
      </c>
      <c r="B1046" s="20" t="s">
        <v>34</v>
      </c>
      <c r="C1046" s="20" t="s">
        <v>46</v>
      </c>
      <c r="D1046" s="20">
        <v>190</v>
      </c>
      <c r="E1046" s="38">
        <v>3500</v>
      </c>
      <c r="F1046" s="20" t="s">
        <v>8</v>
      </c>
      <c r="G1046" s="43">
        <v>3</v>
      </c>
      <c r="H1046" s="20">
        <v>1</v>
      </c>
      <c r="I1046" s="43">
        <v>0</v>
      </c>
      <c r="J1046" s="53">
        <v>0</v>
      </c>
      <c r="K1046" s="1">
        <f t="shared" si="862"/>
        <v>-7000</v>
      </c>
      <c r="L1046" s="51">
        <v>0</v>
      </c>
      <c r="M1046" s="51">
        <v>0</v>
      </c>
      <c r="N1046" s="1">
        <f t="shared" si="837"/>
        <v>-2</v>
      </c>
      <c r="O1046" s="1">
        <f t="shared" si="844"/>
        <v>-7000</v>
      </c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</row>
    <row r="1047" spans="1:33" s="32" customFormat="1" ht="15" customHeight="1">
      <c r="A1047" s="37">
        <v>43521</v>
      </c>
      <c r="B1047" s="20" t="s">
        <v>67</v>
      </c>
      <c r="C1047" s="20" t="s">
        <v>47</v>
      </c>
      <c r="D1047" s="20">
        <v>840</v>
      </c>
      <c r="E1047" s="38">
        <v>1200</v>
      </c>
      <c r="F1047" s="20" t="s">
        <v>8</v>
      </c>
      <c r="G1047" s="43">
        <v>7</v>
      </c>
      <c r="H1047" s="20">
        <v>9</v>
      </c>
      <c r="I1047" s="43">
        <v>12</v>
      </c>
      <c r="J1047" s="53">
        <v>15</v>
      </c>
      <c r="K1047" s="1">
        <f t="shared" ref="K1047:K1048" si="863">(IF(F1047="SELL",G1047-H1047,IF(F1047="BUY",H1047-G1047)))*E1047</f>
        <v>2400</v>
      </c>
      <c r="L1047" s="51">
        <f>E1047*3</f>
        <v>3600</v>
      </c>
      <c r="M1047" s="51">
        <f>E1047*3</f>
        <v>3600</v>
      </c>
      <c r="N1047" s="1">
        <f t="shared" si="837"/>
        <v>8</v>
      </c>
      <c r="O1047" s="1">
        <f t="shared" si="844"/>
        <v>9600</v>
      </c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</row>
    <row r="1048" spans="1:33" s="32" customFormat="1" ht="15" customHeight="1">
      <c r="A1048" s="37">
        <v>43521</v>
      </c>
      <c r="B1048" s="20" t="s">
        <v>406</v>
      </c>
      <c r="C1048" s="20" t="s">
        <v>47</v>
      </c>
      <c r="D1048" s="20">
        <v>440</v>
      </c>
      <c r="E1048" s="38">
        <v>1250</v>
      </c>
      <c r="F1048" s="20" t="s">
        <v>8</v>
      </c>
      <c r="G1048" s="43">
        <v>4.5</v>
      </c>
      <c r="H1048" s="20">
        <v>2</v>
      </c>
      <c r="I1048" s="43">
        <v>0</v>
      </c>
      <c r="J1048" s="53">
        <v>0</v>
      </c>
      <c r="K1048" s="1">
        <f t="shared" si="863"/>
        <v>-3125</v>
      </c>
      <c r="L1048" s="51">
        <v>0</v>
      </c>
      <c r="M1048" s="51">
        <v>0</v>
      </c>
      <c r="N1048" s="1">
        <f t="shared" si="837"/>
        <v>-2.5</v>
      </c>
      <c r="O1048" s="1">
        <f t="shared" si="844"/>
        <v>-3125</v>
      </c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</row>
    <row r="1049" spans="1:33" s="32" customFormat="1" ht="15" customHeight="1">
      <c r="A1049" s="37">
        <v>43518</v>
      </c>
      <c r="B1049" s="20" t="s">
        <v>24</v>
      </c>
      <c r="C1049" s="20" t="s">
        <v>47</v>
      </c>
      <c r="D1049" s="20">
        <v>170</v>
      </c>
      <c r="E1049" s="38">
        <v>2000</v>
      </c>
      <c r="F1049" s="20" t="s">
        <v>8</v>
      </c>
      <c r="G1049" s="43">
        <v>4</v>
      </c>
      <c r="H1049" s="20">
        <v>5.5</v>
      </c>
      <c r="I1049" s="43">
        <v>0</v>
      </c>
      <c r="J1049" s="53">
        <v>0</v>
      </c>
      <c r="K1049" s="1">
        <f t="shared" ref="K1049" si="864">(IF(F1049="SELL",G1049-H1049,IF(F1049="BUY",H1049-G1049)))*E1049</f>
        <v>3000</v>
      </c>
      <c r="L1049" s="51">
        <v>0</v>
      </c>
      <c r="M1049" s="51">
        <v>0</v>
      </c>
      <c r="N1049" s="1">
        <f t="shared" si="837"/>
        <v>1.5</v>
      </c>
      <c r="O1049" s="1">
        <f t="shared" si="844"/>
        <v>3000</v>
      </c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</row>
    <row r="1050" spans="1:33" s="32" customFormat="1" ht="15" customHeight="1">
      <c r="A1050" s="37">
        <v>43518</v>
      </c>
      <c r="B1050" s="20" t="s">
        <v>405</v>
      </c>
      <c r="C1050" s="20" t="s">
        <v>47</v>
      </c>
      <c r="D1050" s="20">
        <v>450</v>
      </c>
      <c r="E1050" s="38">
        <v>1300</v>
      </c>
      <c r="F1050" s="20" t="s">
        <v>8</v>
      </c>
      <c r="G1050" s="43">
        <v>11</v>
      </c>
      <c r="H1050" s="20">
        <v>0</v>
      </c>
      <c r="I1050" s="43">
        <v>0</v>
      </c>
      <c r="J1050" s="53">
        <v>0</v>
      </c>
      <c r="K1050" s="1">
        <v>0</v>
      </c>
      <c r="L1050" s="51">
        <v>0</v>
      </c>
      <c r="M1050" s="51">
        <v>0</v>
      </c>
      <c r="N1050" s="1">
        <f t="shared" si="837"/>
        <v>0</v>
      </c>
      <c r="O1050" s="1">
        <f t="shared" si="844"/>
        <v>0</v>
      </c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</row>
    <row r="1051" spans="1:33" s="32" customFormat="1" ht="15" customHeight="1">
      <c r="A1051" s="37">
        <v>43517</v>
      </c>
      <c r="B1051" s="20" t="s">
        <v>54</v>
      </c>
      <c r="C1051" s="20" t="s">
        <v>47</v>
      </c>
      <c r="D1051" s="20">
        <v>580</v>
      </c>
      <c r="E1051" s="38">
        <v>1000</v>
      </c>
      <c r="F1051" s="20" t="s">
        <v>8</v>
      </c>
      <c r="G1051" s="43">
        <v>10</v>
      </c>
      <c r="H1051" s="20">
        <v>12.5</v>
      </c>
      <c r="I1051" s="43">
        <v>16</v>
      </c>
      <c r="J1051" s="53">
        <v>0</v>
      </c>
      <c r="K1051" s="1">
        <f>(IF(F1051="SELL",G1051-H1051,IF(F1051="BUY",H1051-G1051)))*E1051</f>
        <v>2500</v>
      </c>
      <c r="L1051" s="51">
        <f>E1051*4</f>
        <v>4000</v>
      </c>
      <c r="M1051" s="51">
        <v>0</v>
      </c>
      <c r="N1051" s="1">
        <f t="shared" si="837"/>
        <v>6.5</v>
      </c>
      <c r="O1051" s="1">
        <f t="shared" si="844"/>
        <v>6500</v>
      </c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</row>
    <row r="1052" spans="1:33" s="32" customFormat="1" ht="15" customHeight="1">
      <c r="A1052" s="37">
        <v>43517</v>
      </c>
      <c r="B1052" s="20" t="s">
        <v>368</v>
      </c>
      <c r="C1052" s="20" t="s">
        <v>47</v>
      </c>
      <c r="D1052" s="20">
        <v>450</v>
      </c>
      <c r="E1052" s="38">
        <v>1300</v>
      </c>
      <c r="F1052" s="20" t="s">
        <v>8</v>
      </c>
      <c r="G1052" s="43">
        <v>12.5</v>
      </c>
      <c r="H1052" s="20">
        <v>14</v>
      </c>
      <c r="I1052" s="43">
        <v>0</v>
      </c>
      <c r="J1052" s="53">
        <v>0</v>
      </c>
      <c r="K1052" s="1">
        <f t="shared" ref="K1052:K1053" si="865">(IF(F1052="SELL",G1052-H1052,IF(F1052="BUY",H1052-G1052)))*E1052</f>
        <v>1950</v>
      </c>
      <c r="L1052" s="51">
        <v>0</v>
      </c>
      <c r="M1052" s="51">
        <v>0</v>
      </c>
      <c r="N1052" s="1">
        <f t="shared" si="837"/>
        <v>1.5</v>
      </c>
      <c r="O1052" s="1">
        <f t="shared" si="844"/>
        <v>1950</v>
      </c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</row>
    <row r="1053" spans="1:33" s="32" customFormat="1" ht="15" customHeight="1">
      <c r="A1053" s="37">
        <v>43517</v>
      </c>
      <c r="B1053" s="20" t="s">
        <v>24</v>
      </c>
      <c r="C1053" s="20" t="s">
        <v>47</v>
      </c>
      <c r="D1053" s="20">
        <v>170</v>
      </c>
      <c r="E1053" s="38">
        <v>2000</v>
      </c>
      <c r="F1053" s="20" t="s">
        <v>8</v>
      </c>
      <c r="G1053" s="43">
        <v>2.5</v>
      </c>
      <c r="H1053" s="20">
        <v>3.55</v>
      </c>
      <c r="I1053" s="43">
        <v>0</v>
      </c>
      <c r="J1053" s="53">
        <v>0</v>
      </c>
      <c r="K1053" s="1">
        <f t="shared" si="865"/>
        <v>2099.9999999999995</v>
      </c>
      <c r="L1053" s="51">
        <v>0</v>
      </c>
      <c r="M1053" s="51">
        <v>0</v>
      </c>
      <c r="N1053" s="1">
        <f t="shared" si="837"/>
        <v>1.0499999999999998</v>
      </c>
      <c r="O1053" s="1">
        <f t="shared" si="844"/>
        <v>2099.9999999999995</v>
      </c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</row>
    <row r="1054" spans="1:33" s="32" customFormat="1" ht="15" customHeight="1">
      <c r="A1054" s="37">
        <v>43516</v>
      </c>
      <c r="B1054" s="20" t="s">
        <v>404</v>
      </c>
      <c r="C1054" s="20" t="s">
        <v>47</v>
      </c>
      <c r="D1054" s="20">
        <v>130</v>
      </c>
      <c r="E1054" s="38">
        <v>6000</v>
      </c>
      <c r="F1054" s="20" t="s">
        <v>8</v>
      </c>
      <c r="G1054" s="43">
        <v>1.7</v>
      </c>
      <c r="H1054" s="20">
        <v>2</v>
      </c>
      <c r="I1054" s="43">
        <v>0</v>
      </c>
      <c r="J1054" s="53">
        <v>0</v>
      </c>
      <c r="K1054" s="1">
        <f t="shared" ref="K1054:K1056" si="866">(IF(F1054="SELL",G1054-H1054,IF(F1054="BUY",H1054-G1054)))*E1054</f>
        <v>1800.0000000000002</v>
      </c>
      <c r="L1054" s="51">
        <v>0</v>
      </c>
      <c r="M1054" s="51">
        <v>0</v>
      </c>
      <c r="N1054" s="1">
        <f t="shared" si="837"/>
        <v>0.30000000000000004</v>
      </c>
      <c r="O1054" s="1">
        <f t="shared" si="844"/>
        <v>1800.0000000000002</v>
      </c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</row>
    <row r="1055" spans="1:33" s="32" customFormat="1" ht="15" customHeight="1">
      <c r="A1055" s="37">
        <v>43516</v>
      </c>
      <c r="B1055" s="20" t="s">
        <v>72</v>
      </c>
      <c r="C1055" s="20" t="s">
        <v>47</v>
      </c>
      <c r="D1055" s="20">
        <v>340</v>
      </c>
      <c r="E1055" s="38">
        <v>1800</v>
      </c>
      <c r="F1055" s="20" t="s">
        <v>8</v>
      </c>
      <c r="G1055" s="43">
        <v>4</v>
      </c>
      <c r="H1055" s="20">
        <v>0</v>
      </c>
      <c r="I1055" s="43">
        <v>0</v>
      </c>
      <c r="J1055" s="53">
        <v>0</v>
      </c>
      <c r="K1055" s="1">
        <v>0</v>
      </c>
      <c r="L1055" s="51">
        <v>0</v>
      </c>
      <c r="M1055" s="51">
        <v>0</v>
      </c>
      <c r="N1055" s="1">
        <f t="shared" si="837"/>
        <v>0</v>
      </c>
      <c r="O1055" s="1">
        <f t="shared" si="844"/>
        <v>0</v>
      </c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</row>
    <row r="1056" spans="1:33" s="32" customFormat="1" ht="15" customHeight="1">
      <c r="A1056" s="37">
        <v>43516</v>
      </c>
      <c r="B1056" s="20" t="s">
        <v>39</v>
      </c>
      <c r="C1056" s="20" t="s">
        <v>47</v>
      </c>
      <c r="D1056" s="20">
        <v>1240</v>
      </c>
      <c r="E1056" s="38">
        <v>500</v>
      </c>
      <c r="F1056" s="20" t="s">
        <v>8</v>
      </c>
      <c r="G1056" s="43">
        <v>20</v>
      </c>
      <c r="H1056" s="20">
        <v>21.2</v>
      </c>
      <c r="I1056" s="43">
        <v>0</v>
      </c>
      <c r="J1056" s="53">
        <v>0</v>
      </c>
      <c r="K1056" s="1">
        <f t="shared" si="866"/>
        <v>599.99999999999966</v>
      </c>
      <c r="L1056" s="51">
        <v>0</v>
      </c>
      <c r="M1056" s="51">
        <v>0</v>
      </c>
      <c r="N1056" s="1">
        <f t="shared" si="837"/>
        <v>1.1999999999999993</v>
      </c>
      <c r="O1056" s="1">
        <f t="shared" si="844"/>
        <v>599.99999999999966</v>
      </c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</row>
    <row r="1057" spans="1:33" s="32" customFormat="1" ht="15" customHeight="1">
      <c r="A1057" s="37">
        <v>43515</v>
      </c>
      <c r="B1057" s="20" t="s">
        <v>403</v>
      </c>
      <c r="C1057" s="20" t="s">
        <v>47</v>
      </c>
      <c r="D1057" s="20">
        <v>350</v>
      </c>
      <c r="E1057" s="38">
        <v>2750</v>
      </c>
      <c r="F1057" s="20" t="s">
        <v>8</v>
      </c>
      <c r="G1057" s="43">
        <v>5.5</v>
      </c>
      <c r="H1057" s="20">
        <v>6.5</v>
      </c>
      <c r="I1057" s="43">
        <v>0</v>
      </c>
      <c r="J1057" s="53">
        <v>0</v>
      </c>
      <c r="K1057" s="1">
        <f t="shared" ref="K1057" si="867">(IF(F1057="SELL",G1057-H1057,IF(F1057="BUY",H1057-G1057)))*E1057</f>
        <v>2750</v>
      </c>
      <c r="L1057" s="51">
        <v>0</v>
      </c>
      <c r="M1057" s="51">
        <v>0</v>
      </c>
      <c r="N1057" s="1">
        <f t="shared" si="837"/>
        <v>1</v>
      </c>
      <c r="O1057" s="1">
        <f t="shared" si="844"/>
        <v>2750</v>
      </c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</row>
    <row r="1058" spans="1:33" s="32" customFormat="1" ht="15" customHeight="1">
      <c r="A1058" s="37">
        <v>43515</v>
      </c>
      <c r="B1058" s="20" t="s">
        <v>131</v>
      </c>
      <c r="C1058" s="20" t="s">
        <v>47</v>
      </c>
      <c r="D1058" s="20">
        <v>200</v>
      </c>
      <c r="E1058" s="38">
        <v>2500</v>
      </c>
      <c r="F1058" s="20" t="s">
        <v>8</v>
      </c>
      <c r="G1058" s="43">
        <v>3</v>
      </c>
      <c r="H1058" s="20">
        <v>3</v>
      </c>
      <c r="I1058" s="43">
        <v>0</v>
      </c>
      <c r="J1058" s="53">
        <v>0</v>
      </c>
      <c r="K1058" s="1">
        <f t="shared" ref="K1058:K1059" si="868">(IF(F1058="SELL",G1058-H1058,IF(F1058="BUY",H1058-G1058)))*E1058</f>
        <v>0</v>
      </c>
      <c r="L1058" s="51">
        <v>0</v>
      </c>
      <c r="M1058" s="51">
        <v>0</v>
      </c>
      <c r="N1058" s="1">
        <f t="shared" si="837"/>
        <v>0</v>
      </c>
      <c r="O1058" s="1">
        <f t="shared" si="844"/>
        <v>0</v>
      </c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</row>
    <row r="1059" spans="1:33" s="32" customFormat="1" ht="15" customHeight="1">
      <c r="A1059" s="37">
        <v>43515</v>
      </c>
      <c r="B1059" s="20" t="s">
        <v>39</v>
      </c>
      <c r="C1059" s="20" t="s">
        <v>47</v>
      </c>
      <c r="D1059" s="20">
        <v>1240</v>
      </c>
      <c r="E1059" s="38">
        <v>500</v>
      </c>
      <c r="F1059" s="20" t="s">
        <v>8</v>
      </c>
      <c r="G1059" s="43">
        <v>25</v>
      </c>
      <c r="H1059" s="20">
        <v>19</v>
      </c>
      <c r="I1059" s="43">
        <v>0</v>
      </c>
      <c r="J1059" s="53">
        <v>0</v>
      </c>
      <c r="K1059" s="1">
        <f t="shared" si="868"/>
        <v>-3000</v>
      </c>
      <c r="L1059" s="51">
        <v>0</v>
      </c>
      <c r="M1059" s="51">
        <v>0</v>
      </c>
      <c r="N1059" s="1">
        <f t="shared" si="837"/>
        <v>-6</v>
      </c>
      <c r="O1059" s="1">
        <f t="shared" si="844"/>
        <v>-3000</v>
      </c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</row>
    <row r="1060" spans="1:33" s="32" customFormat="1" ht="15" customHeight="1">
      <c r="A1060" s="37">
        <v>43514</v>
      </c>
      <c r="B1060" s="20" t="s">
        <v>368</v>
      </c>
      <c r="C1060" s="20" t="s">
        <v>47</v>
      </c>
      <c r="D1060" s="20">
        <v>440</v>
      </c>
      <c r="E1060" s="38">
        <v>1300</v>
      </c>
      <c r="F1060" s="20" t="s">
        <v>8</v>
      </c>
      <c r="G1060" s="43">
        <v>15.5</v>
      </c>
      <c r="H1060" s="20">
        <v>17.5</v>
      </c>
      <c r="I1060" s="43">
        <v>0</v>
      </c>
      <c r="J1060" s="53">
        <v>0</v>
      </c>
      <c r="K1060" s="1">
        <f t="shared" ref="K1060:K1062" si="869">(IF(F1060="SELL",G1060-H1060,IF(F1060="BUY",H1060-G1060)))*E1060</f>
        <v>2600</v>
      </c>
      <c r="L1060" s="51">
        <v>0</v>
      </c>
      <c r="M1060" s="51">
        <v>0</v>
      </c>
      <c r="N1060" s="1">
        <f t="shared" si="837"/>
        <v>2</v>
      </c>
      <c r="O1060" s="1">
        <f t="shared" si="844"/>
        <v>2600</v>
      </c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</row>
    <row r="1061" spans="1:33" s="32" customFormat="1" ht="15" customHeight="1">
      <c r="A1061" s="37">
        <v>43514</v>
      </c>
      <c r="B1061" s="20" t="s">
        <v>402</v>
      </c>
      <c r="C1061" s="20" t="s">
        <v>46</v>
      </c>
      <c r="D1061" s="20">
        <v>1220</v>
      </c>
      <c r="E1061" s="38">
        <v>500</v>
      </c>
      <c r="F1061" s="20" t="s">
        <v>8</v>
      </c>
      <c r="G1061" s="43">
        <v>26</v>
      </c>
      <c r="H1061" s="20">
        <v>29</v>
      </c>
      <c r="I1061" s="43">
        <v>0</v>
      </c>
      <c r="J1061" s="53">
        <v>0</v>
      </c>
      <c r="K1061" s="1">
        <f t="shared" si="869"/>
        <v>1500</v>
      </c>
      <c r="L1061" s="51">
        <v>0</v>
      </c>
      <c r="M1061" s="51">
        <v>0</v>
      </c>
      <c r="N1061" s="1">
        <f t="shared" si="837"/>
        <v>3</v>
      </c>
      <c r="O1061" s="1">
        <f t="shared" si="844"/>
        <v>1500</v>
      </c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</row>
    <row r="1062" spans="1:33" s="32" customFormat="1" ht="15" customHeight="1">
      <c r="A1062" s="37">
        <v>43514</v>
      </c>
      <c r="B1062" s="20" t="s">
        <v>162</v>
      </c>
      <c r="C1062" s="20" t="s">
        <v>47</v>
      </c>
      <c r="D1062" s="20">
        <v>1300</v>
      </c>
      <c r="E1062" s="38">
        <v>500</v>
      </c>
      <c r="F1062" s="20" t="s">
        <v>8</v>
      </c>
      <c r="G1062" s="43">
        <v>41</v>
      </c>
      <c r="H1062" s="20">
        <v>35</v>
      </c>
      <c r="I1062" s="43">
        <v>0</v>
      </c>
      <c r="J1062" s="53">
        <v>0</v>
      </c>
      <c r="K1062" s="1">
        <f t="shared" si="869"/>
        <v>-3000</v>
      </c>
      <c r="L1062" s="51">
        <v>0</v>
      </c>
      <c r="M1062" s="51">
        <v>0</v>
      </c>
      <c r="N1062" s="1">
        <f t="shared" ref="N1062:N1125" si="870">(L1062+K1062+M1062)/E1062</f>
        <v>-6</v>
      </c>
      <c r="O1062" s="1">
        <f t="shared" si="844"/>
        <v>-3000</v>
      </c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</row>
    <row r="1063" spans="1:33" s="32" customFormat="1" ht="15" customHeight="1">
      <c r="A1063" s="37">
        <v>43514</v>
      </c>
      <c r="B1063" s="20" t="s">
        <v>269</v>
      </c>
      <c r="C1063" s="20" t="s">
        <v>47</v>
      </c>
      <c r="D1063" s="20">
        <v>47</v>
      </c>
      <c r="E1063" s="38">
        <v>12000</v>
      </c>
      <c r="F1063" s="20" t="s">
        <v>8</v>
      </c>
      <c r="G1063" s="43">
        <v>1</v>
      </c>
      <c r="H1063" s="20">
        <v>0</v>
      </c>
      <c r="I1063" s="43">
        <v>0</v>
      </c>
      <c r="J1063" s="53">
        <v>0</v>
      </c>
      <c r="K1063" s="1">
        <v>0</v>
      </c>
      <c r="L1063" s="51">
        <v>0</v>
      </c>
      <c r="M1063" s="51">
        <v>0</v>
      </c>
      <c r="N1063" s="1">
        <f t="shared" si="870"/>
        <v>0</v>
      </c>
      <c r="O1063" s="1">
        <f t="shared" si="844"/>
        <v>0</v>
      </c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</row>
    <row r="1064" spans="1:33" s="32" customFormat="1" ht="15" customHeight="1">
      <c r="A1064" s="37">
        <v>43511</v>
      </c>
      <c r="B1064" s="20" t="s">
        <v>34</v>
      </c>
      <c r="C1064" s="20" t="s">
        <v>46</v>
      </c>
      <c r="D1064" s="20">
        <v>185</v>
      </c>
      <c r="E1064" s="38">
        <v>3500</v>
      </c>
      <c r="F1064" s="20" t="s">
        <v>8</v>
      </c>
      <c r="G1064" s="43">
        <v>4.75</v>
      </c>
      <c r="H1064" s="20">
        <v>5.75</v>
      </c>
      <c r="I1064" s="43">
        <v>6.75</v>
      </c>
      <c r="J1064" s="53">
        <v>0</v>
      </c>
      <c r="K1064" s="1">
        <f t="shared" ref="K1064:K1065" si="871">(IF(F1064="SELL",G1064-H1064,IF(F1064="BUY",H1064-G1064)))*E1064</f>
        <v>3500</v>
      </c>
      <c r="L1064" s="51">
        <f>E1064*1</f>
        <v>3500</v>
      </c>
      <c r="M1064" s="51">
        <v>0</v>
      </c>
      <c r="N1064" s="1">
        <f t="shared" si="870"/>
        <v>2</v>
      </c>
      <c r="O1064" s="1">
        <f t="shared" si="844"/>
        <v>7000</v>
      </c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</row>
    <row r="1065" spans="1:33" s="32" customFormat="1" ht="15" customHeight="1">
      <c r="A1065" s="37">
        <v>43511</v>
      </c>
      <c r="B1065" s="20" t="s">
        <v>21</v>
      </c>
      <c r="C1065" s="20" t="s">
        <v>46</v>
      </c>
      <c r="D1065" s="20">
        <v>265</v>
      </c>
      <c r="E1065" s="38">
        <v>3000</v>
      </c>
      <c r="F1065" s="20" t="s">
        <v>8</v>
      </c>
      <c r="G1065" s="43">
        <v>6.5</v>
      </c>
      <c r="H1065" s="20">
        <v>7.3</v>
      </c>
      <c r="I1065" s="43">
        <v>0</v>
      </c>
      <c r="J1065" s="53">
        <v>0</v>
      </c>
      <c r="K1065" s="1">
        <f t="shared" si="871"/>
        <v>2399.9999999999995</v>
      </c>
      <c r="L1065" s="51">
        <v>0</v>
      </c>
      <c r="M1065" s="51">
        <v>0</v>
      </c>
      <c r="N1065" s="1">
        <f t="shared" si="870"/>
        <v>0.79999999999999982</v>
      </c>
      <c r="O1065" s="1">
        <f t="shared" si="844"/>
        <v>2399.9999999999995</v>
      </c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</row>
    <row r="1066" spans="1:33" s="32" customFormat="1" ht="15" customHeight="1">
      <c r="A1066" s="37">
        <v>43509</v>
      </c>
      <c r="B1066" s="20" t="s">
        <v>401</v>
      </c>
      <c r="C1066" s="20" t="s">
        <v>46</v>
      </c>
      <c r="D1066" s="20">
        <v>82.5</v>
      </c>
      <c r="E1066" s="38">
        <v>8000</v>
      </c>
      <c r="F1066" s="20" t="s">
        <v>8</v>
      </c>
      <c r="G1066" s="43">
        <v>2.5</v>
      </c>
      <c r="H1066" s="20">
        <v>3</v>
      </c>
      <c r="I1066" s="43">
        <v>0</v>
      </c>
      <c r="J1066" s="53">
        <v>0</v>
      </c>
      <c r="K1066" s="1">
        <f t="shared" ref="K1066:K1067" si="872">(IF(F1066="SELL",G1066-H1066,IF(F1066="BUY",H1066-G1066)))*E1066</f>
        <v>4000</v>
      </c>
      <c r="L1066" s="51">
        <v>0</v>
      </c>
      <c r="M1066" s="51">
        <v>0</v>
      </c>
      <c r="N1066" s="1">
        <f t="shared" si="870"/>
        <v>0.5</v>
      </c>
      <c r="O1066" s="1">
        <f t="shared" si="844"/>
        <v>4000</v>
      </c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</row>
    <row r="1067" spans="1:33" s="32" customFormat="1" ht="15" customHeight="1">
      <c r="A1067" s="37">
        <v>43509</v>
      </c>
      <c r="B1067" s="20" t="s">
        <v>400</v>
      </c>
      <c r="C1067" s="20" t="s">
        <v>46</v>
      </c>
      <c r="D1067" s="20">
        <v>480</v>
      </c>
      <c r="E1067" s="38">
        <v>1061</v>
      </c>
      <c r="F1067" s="20" t="s">
        <v>8</v>
      </c>
      <c r="G1067" s="43">
        <v>10</v>
      </c>
      <c r="H1067" s="20">
        <v>7</v>
      </c>
      <c r="I1067" s="43">
        <v>0</v>
      </c>
      <c r="J1067" s="53">
        <v>0</v>
      </c>
      <c r="K1067" s="1">
        <f t="shared" si="872"/>
        <v>-3183</v>
      </c>
      <c r="L1067" s="51">
        <v>0</v>
      </c>
      <c r="M1067" s="51">
        <v>0</v>
      </c>
      <c r="N1067" s="1">
        <f t="shared" si="870"/>
        <v>-3</v>
      </c>
      <c r="O1067" s="1">
        <f t="shared" si="844"/>
        <v>-3183</v>
      </c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</row>
    <row r="1068" spans="1:33" s="32" customFormat="1" ht="15" customHeight="1">
      <c r="A1068" s="37">
        <v>43508</v>
      </c>
      <c r="B1068" s="20" t="s">
        <v>72</v>
      </c>
      <c r="C1068" s="20" t="s">
        <v>47</v>
      </c>
      <c r="D1068" s="20">
        <v>340</v>
      </c>
      <c r="E1068" s="38">
        <v>1800</v>
      </c>
      <c r="F1068" s="20" t="s">
        <v>8</v>
      </c>
      <c r="G1068" s="43">
        <v>3.5</v>
      </c>
      <c r="H1068" s="20">
        <v>4.4000000000000004</v>
      </c>
      <c r="I1068" s="43">
        <v>0</v>
      </c>
      <c r="J1068" s="53">
        <v>0</v>
      </c>
      <c r="K1068" s="1">
        <f t="shared" ref="K1068:K1069" si="873">(IF(F1068="SELL",G1068-H1068,IF(F1068="BUY",H1068-G1068)))*E1068</f>
        <v>1620.0000000000007</v>
      </c>
      <c r="L1068" s="51">
        <v>0</v>
      </c>
      <c r="M1068" s="51">
        <v>0</v>
      </c>
      <c r="N1068" s="1">
        <f t="shared" si="870"/>
        <v>0.90000000000000036</v>
      </c>
      <c r="O1068" s="1">
        <f t="shared" si="844"/>
        <v>1620.0000000000007</v>
      </c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</row>
    <row r="1069" spans="1:33" s="32" customFormat="1" ht="15" customHeight="1">
      <c r="A1069" s="37">
        <v>43508</v>
      </c>
      <c r="B1069" s="20" t="s">
        <v>128</v>
      </c>
      <c r="C1069" s="20" t="s">
        <v>47</v>
      </c>
      <c r="D1069" s="20">
        <v>1320</v>
      </c>
      <c r="E1069" s="38">
        <v>800</v>
      </c>
      <c r="F1069" s="20" t="s">
        <v>8</v>
      </c>
      <c r="G1069" s="43">
        <v>23</v>
      </c>
      <c r="H1069" s="20">
        <v>18</v>
      </c>
      <c r="I1069" s="43">
        <v>0</v>
      </c>
      <c r="J1069" s="53">
        <v>0</v>
      </c>
      <c r="K1069" s="1">
        <f t="shared" si="873"/>
        <v>-4000</v>
      </c>
      <c r="L1069" s="51">
        <v>0</v>
      </c>
      <c r="M1069" s="51">
        <v>0</v>
      </c>
      <c r="N1069" s="1">
        <f t="shared" si="870"/>
        <v>-5</v>
      </c>
      <c r="O1069" s="1">
        <f t="shared" si="844"/>
        <v>-4000</v>
      </c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</row>
    <row r="1070" spans="1:33" s="32" customFormat="1" ht="15" customHeight="1">
      <c r="A1070" s="37">
        <v>43507</v>
      </c>
      <c r="B1070" s="20" t="s">
        <v>60</v>
      </c>
      <c r="C1070" s="20" t="s">
        <v>46</v>
      </c>
      <c r="D1070" s="20">
        <v>150</v>
      </c>
      <c r="E1070" s="38">
        <v>2300</v>
      </c>
      <c r="F1070" s="20" t="s">
        <v>8</v>
      </c>
      <c r="G1070" s="43">
        <v>6.5</v>
      </c>
      <c r="H1070" s="20">
        <v>7.5</v>
      </c>
      <c r="I1070" s="43">
        <v>0</v>
      </c>
      <c r="J1070" s="53">
        <v>0</v>
      </c>
      <c r="K1070" s="1">
        <f t="shared" ref="K1070:K1072" si="874">(IF(F1070="SELL",G1070-H1070,IF(F1070="BUY",H1070-G1070)))*E1070</f>
        <v>2300</v>
      </c>
      <c r="L1070" s="51">
        <v>0</v>
      </c>
      <c r="M1070" s="51">
        <v>0</v>
      </c>
      <c r="N1070" s="1">
        <f t="shared" si="870"/>
        <v>1</v>
      </c>
      <c r="O1070" s="1">
        <f t="shared" si="844"/>
        <v>2300</v>
      </c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</row>
    <row r="1071" spans="1:33" s="32" customFormat="1" ht="15" customHeight="1">
      <c r="A1071" s="37">
        <v>43507</v>
      </c>
      <c r="B1071" s="20" t="s">
        <v>399</v>
      </c>
      <c r="C1071" s="20" t="s">
        <v>46</v>
      </c>
      <c r="D1071" s="20">
        <v>180</v>
      </c>
      <c r="E1071" s="38">
        <v>2250</v>
      </c>
      <c r="F1071" s="20" t="s">
        <v>8</v>
      </c>
      <c r="G1071" s="43">
        <v>5.2</v>
      </c>
      <c r="H1071" s="20">
        <v>6.25</v>
      </c>
      <c r="I1071" s="43">
        <v>0</v>
      </c>
      <c r="J1071" s="53">
        <v>0</v>
      </c>
      <c r="K1071" s="1">
        <f t="shared" si="874"/>
        <v>2362.4999999999995</v>
      </c>
      <c r="L1071" s="51">
        <v>0</v>
      </c>
      <c r="M1071" s="51">
        <v>0</v>
      </c>
      <c r="N1071" s="1">
        <f t="shared" si="870"/>
        <v>1.0499999999999998</v>
      </c>
      <c r="O1071" s="1">
        <f t="shared" si="844"/>
        <v>2362.4999999999995</v>
      </c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</row>
    <row r="1072" spans="1:33" s="32" customFormat="1" ht="15" customHeight="1">
      <c r="A1072" s="37">
        <v>43507</v>
      </c>
      <c r="B1072" s="20" t="s">
        <v>39</v>
      </c>
      <c r="C1072" s="20" t="s">
        <v>46</v>
      </c>
      <c r="D1072" s="20">
        <v>1260</v>
      </c>
      <c r="E1072" s="38">
        <v>500</v>
      </c>
      <c r="F1072" s="20" t="s">
        <v>8</v>
      </c>
      <c r="G1072" s="43">
        <v>27</v>
      </c>
      <c r="H1072" s="20">
        <v>30</v>
      </c>
      <c r="I1072" s="43">
        <v>0</v>
      </c>
      <c r="J1072" s="53">
        <v>0</v>
      </c>
      <c r="K1072" s="1">
        <f t="shared" si="874"/>
        <v>1500</v>
      </c>
      <c r="L1072" s="51">
        <v>0</v>
      </c>
      <c r="M1072" s="51">
        <v>0</v>
      </c>
      <c r="N1072" s="1">
        <f t="shared" si="870"/>
        <v>3</v>
      </c>
      <c r="O1072" s="1">
        <f t="shared" si="844"/>
        <v>1500</v>
      </c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</row>
    <row r="1073" spans="1:33" s="32" customFormat="1" ht="15" customHeight="1">
      <c r="A1073" s="37">
        <v>43504</v>
      </c>
      <c r="B1073" s="20" t="s">
        <v>72</v>
      </c>
      <c r="C1073" s="20" t="s">
        <v>47</v>
      </c>
      <c r="D1073" s="20">
        <v>340</v>
      </c>
      <c r="E1073" s="38">
        <v>1800</v>
      </c>
      <c r="F1073" s="20" t="s">
        <v>8</v>
      </c>
      <c r="G1073" s="43">
        <v>9</v>
      </c>
      <c r="H1073" s="20">
        <v>10.35</v>
      </c>
      <c r="I1073" s="43">
        <v>0</v>
      </c>
      <c r="J1073" s="53">
        <v>0</v>
      </c>
      <c r="K1073" s="1">
        <f t="shared" ref="K1073:K1074" si="875">(IF(F1073="SELL",G1073-H1073,IF(F1073="BUY",H1073-G1073)))*E1073</f>
        <v>2429.9999999999995</v>
      </c>
      <c r="L1073" s="51">
        <v>0</v>
      </c>
      <c r="M1073" s="51">
        <v>0</v>
      </c>
      <c r="N1073" s="1">
        <f t="shared" si="870"/>
        <v>1.3499999999999996</v>
      </c>
      <c r="O1073" s="1">
        <f t="shared" ref="O1073:O1136" si="876">N1073*E1073</f>
        <v>2429.9999999999995</v>
      </c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</row>
    <row r="1074" spans="1:33" s="32" customFormat="1" ht="15" customHeight="1">
      <c r="A1074" s="37">
        <v>43504</v>
      </c>
      <c r="B1074" s="20" t="s">
        <v>34</v>
      </c>
      <c r="C1074" s="20" t="s">
        <v>46</v>
      </c>
      <c r="D1074" s="20">
        <v>205</v>
      </c>
      <c r="E1074" s="38">
        <v>3500</v>
      </c>
      <c r="F1074" s="20" t="s">
        <v>8</v>
      </c>
      <c r="G1074" s="43">
        <v>6</v>
      </c>
      <c r="H1074" s="20">
        <v>7</v>
      </c>
      <c r="I1074" s="43">
        <v>0</v>
      </c>
      <c r="J1074" s="53">
        <v>0</v>
      </c>
      <c r="K1074" s="1">
        <f t="shared" si="875"/>
        <v>3500</v>
      </c>
      <c r="L1074" s="51">
        <v>0</v>
      </c>
      <c r="M1074" s="51">
        <v>0</v>
      </c>
      <c r="N1074" s="1">
        <f t="shared" si="870"/>
        <v>1</v>
      </c>
      <c r="O1074" s="1">
        <f t="shared" si="876"/>
        <v>3500</v>
      </c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</row>
    <row r="1075" spans="1:33" s="32" customFormat="1" ht="15" customHeight="1">
      <c r="A1075" s="37">
        <v>43503</v>
      </c>
      <c r="B1075" s="20" t="s">
        <v>247</v>
      </c>
      <c r="C1075" s="20" t="s">
        <v>47</v>
      </c>
      <c r="D1075" s="20">
        <v>140</v>
      </c>
      <c r="E1075" s="38">
        <v>2850</v>
      </c>
      <c r="F1075" s="20" t="s">
        <v>8</v>
      </c>
      <c r="G1075" s="43">
        <v>8</v>
      </c>
      <c r="H1075" s="20">
        <v>9</v>
      </c>
      <c r="I1075" s="43">
        <v>0</v>
      </c>
      <c r="J1075" s="53">
        <v>0</v>
      </c>
      <c r="K1075" s="1">
        <f t="shared" ref="K1075:K1076" si="877">(IF(F1075="SELL",G1075-H1075,IF(F1075="BUY",H1075-G1075)))*E1075</f>
        <v>2850</v>
      </c>
      <c r="L1075" s="51">
        <v>0</v>
      </c>
      <c r="M1075" s="51">
        <v>0</v>
      </c>
      <c r="N1075" s="1">
        <f t="shared" si="870"/>
        <v>1</v>
      </c>
      <c r="O1075" s="1">
        <f t="shared" si="876"/>
        <v>2850</v>
      </c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</row>
    <row r="1076" spans="1:33" s="32" customFormat="1" ht="15" customHeight="1">
      <c r="A1076" s="37">
        <v>43503</v>
      </c>
      <c r="B1076" s="20" t="s">
        <v>67</v>
      </c>
      <c r="C1076" s="20" t="s">
        <v>47</v>
      </c>
      <c r="D1076" s="20">
        <v>820</v>
      </c>
      <c r="E1076" s="38">
        <v>1200</v>
      </c>
      <c r="F1076" s="20" t="s">
        <v>8</v>
      </c>
      <c r="G1076" s="43">
        <v>19</v>
      </c>
      <c r="H1076" s="20">
        <v>21</v>
      </c>
      <c r="I1076" s="43">
        <v>0</v>
      </c>
      <c r="J1076" s="53">
        <v>0</v>
      </c>
      <c r="K1076" s="1">
        <f t="shared" si="877"/>
        <v>2400</v>
      </c>
      <c r="L1076" s="51">
        <v>0</v>
      </c>
      <c r="M1076" s="51">
        <v>0</v>
      </c>
      <c r="N1076" s="1">
        <f t="shared" si="870"/>
        <v>2</v>
      </c>
      <c r="O1076" s="1">
        <f t="shared" si="876"/>
        <v>2400</v>
      </c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</row>
    <row r="1077" spans="1:33" s="32" customFormat="1" ht="15" customHeight="1">
      <c r="A1077" s="37">
        <v>43502</v>
      </c>
      <c r="B1077" s="20" t="s">
        <v>30</v>
      </c>
      <c r="C1077" s="20" t="s">
        <v>47</v>
      </c>
      <c r="D1077" s="20">
        <v>360</v>
      </c>
      <c r="E1077" s="38">
        <v>2750</v>
      </c>
      <c r="F1077" s="20" t="s">
        <v>8</v>
      </c>
      <c r="G1077" s="43">
        <v>10.7</v>
      </c>
      <c r="H1077" s="20">
        <v>11.7</v>
      </c>
      <c r="I1077" s="43">
        <v>0</v>
      </c>
      <c r="J1077" s="53">
        <v>0</v>
      </c>
      <c r="K1077" s="1">
        <f t="shared" ref="K1077" si="878">(IF(F1077="SELL",G1077-H1077,IF(F1077="BUY",H1077-G1077)))*E1077</f>
        <v>2750</v>
      </c>
      <c r="L1077" s="51">
        <v>0</v>
      </c>
      <c r="M1077" s="51">
        <v>0</v>
      </c>
      <c r="N1077" s="1">
        <f t="shared" si="870"/>
        <v>1</v>
      </c>
      <c r="O1077" s="1">
        <f t="shared" si="876"/>
        <v>2750</v>
      </c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</row>
    <row r="1078" spans="1:33" s="32" customFormat="1" ht="15" customHeight="1">
      <c r="A1078" s="37">
        <v>43502</v>
      </c>
      <c r="B1078" s="20" t="s">
        <v>39</v>
      </c>
      <c r="C1078" s="20" t="s">
        <v>47</v>
      </c>
      <c r="D1078" s="20">
        <v>1320</v>
      </c>
      <c r="E1078" s="38">
        <v>500</v>
      </c>
      <c r="F1078" s="20" t="s">
        <v>8</v>
      </c>
      <c r="G1078" s="43">
        <v>31</v>
      </c>
      <c r="H1078" s="20">
        <v>36</v>
      </c>
      <c r="I1078" s="43">
        <v>0</v>
      </c>
      <c r="J1078" s="53">
        <v>0</v>
      </c>
      <c r="K1078" s="1">
        <f t="shared" ref="K1078" si="879">(IF(F1078="SELL",G1078-H1078,IF(F1078="BUY",H1078-G1078)))*E1078</f>
        <v>2500</v>
      </c>
      <c r="L1078" s="51">
        <v>0</v>
      </c>
      <c r="M1078" s="51">
        <v>0</v>
      </c>
      <c r="N1078" s="1">
        <f t="shared" si="870"/>
        <v>5</v>
      </c>
      <c r="O1078" s="1">
        <f t="shared" si="876"/>
        <v>2500</v>
      </c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</row>
    <row r="1079" spans="1:33" s="32" customFormat="1" ht="15" customHeight="1">
      <c r="A1079" s="37">
        <v>43501</v>
      </c>
      <c r="B1079" s="20" t="s">
        <v>77</v>
      </c>
      <c r="C1079" s="20" t="s">
        <v>47</v>
      </c>
      <c r="D1079" s="20">
        <v>330</v>
      </c>
      <c r="E1079" s="38">
        <v>2667</v>
      </c>
      <c r="F1079" s="20" t="s">
        <v>8</v>
      </c>
      <c r="G1079" s="43">
        <v>10.5</v>
      </c>
      <c r="H1079" s="20">
        <v>11.5</v>
      </c>
      <c r="I1079" s="43">
        <v>13</v>
      </c>
      <c r="J1079" s="53">
        <v>0</v>
      </c>
      <c r="K1079" s="1">
        <f t="shared" ref="K1079" si="880">(IF(F1079="SELL",G1079-H1079,IF(F1079="BUY",H1079-G1079)))*E1079</f>
        <v>2667</v>
      </c>
      <c r="L1079" s="51">
        <f>E1079*1.5</f>
        <v>4000.5</v>
      </c>
      <c r="M1079" s="51">
        <v>0</v>
      </c>
      <c r="N1079" s="1">
        <f t="shared" si="870"/>
        <v>2.5</v>
      </c>
      <c r="O1079" s="1">
        <f t="shared" si="876"/>
        <v>6667.5</v>
      </c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</row>
    <row r="1080" spans="1:33" s="32" customFormat="1" ht="15" customHeight="1">
      <c r="A1080" s="37">
        <v>43501</v>
      </c>
      <c r="B1080" s="20" t="s">
        <v>39</v>
      </c>
      <c r="C1080" s="20" t="s">
        <v>47</v>
      </c>
      <c r="D1080" s="20">
        <v>1300</v>
      </c>
      <c r="E1080" s="38">
        <v>500</v>
      </c>
      <c r="F1080" s="20" t="s">
        <v>8</v>
      </c>
      <c r="G1080" s="43">
        <v>35</v>
      </c>
      <c r="H1080" s="20">
        <v>40</v>
      </c>
      <c r="I1080" s="43">
        <v>0</v>
      </c>
      <c r="J1080" s="53">
        <v>0</v>
      </c>
      <c r="K1080" s="1">
        <f t="shared" ref="K1080" si="881">(IF(F1080="SELL",G1080-H1080,IF(F1080="BUY",H1080-G1080)))*E1080</f>
        <v>2500</v>
      </c>
      <c r="L1080" s="51">
        <v>0</v>
      </c>
      <c r="M1080" s="51">
        <v>0</v>
      </c>
      <c r="N1080" s="1">
        <f t="shared" si="870"/>
        <v>5</v>
      </c>
      <c r="O1080" s="1">
        <f t="shared" si="876"/>
        <v>2500</v>
      </c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</row>
    <row r="1081" spans="1:33" s="32" customFormat="1" ht="15" customHeight="1">
      <c r="A1081" s="37">
        <v>43501</v>
      </c>
      <c r="B1081" s="20" t="s">
        <v>398</v>
      </c>
      <c r="C1081" s="20" t="s">
        <v>46</v>
      </c>
      <c r="D1081" s="20">
        <v>290</v>
      </c>
      <c r="E1081" s="38">
        <v>2000</v>
      </c>
      <c r="F1081" s="20" t="s">
        <v>8</v>
      </c>
      <c r="G1081" s="43">
        <v>8.5</v>
      </c>
      <c r="H1081" s="20">
        <v>9.5</v>
      </c>
      <c r="I1081" s="43">
        <v>0</v>
      </c>
      <c r="J1081" s="53">
        <v>0</v>
      </c>
      <c r="K1081" s="1">
        <f t="shared" ref="K1081" si="882">(IF(F1081="SELL",G1081-H1081,IF(F1081="BUY",H1081-G1081)))*E1081</f>
        <v>2000</v>
      </c>
      <c r="L1081" s="51">
        <v>0</v>
      </c>
      <c r="M1081" s="51">
        <v>0</v>
      </c>
      <c r="N1081" s="1">
        <f t="shared" si="870"/>
        <v>1</v>
      </c>
      <c r="O1081" s="1">
        <f t="shared" si="876"/>
        <v>2000</v>
      </c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</row>
    <row r="1082" spans="1:33" s="32" customFormat="1" ht="15" customHeight="1">
      <c r="A1082" s="37">
        <v>43500</v>
      </c>
      <c r="B1082" s="20" t="s">
        <v>109</v>
      </c>
      <c r="C1082" s="20" t="s">
        <v>47</v>
      </c>
      <c r="D1082" s="20">
        <v>370</v>
      </c>
      <c r="E1082" s="38">
        <v>2400</v>
      </c>
      <c r="F1082" s="20" t="s">
        <v>8</v>
      </c>
      <c r="G1082" s="43">
        <v>11</v>
      </c>
      <c r="H1082" s="20">
        <v>0</v>
      </c>
      <c r="I1082" s="43">
        <v>0</v>
      </c>
      <c r="J1082" s="53">
        <v>0</v>
      </c>
      <c r="K1082" s="1">
        <v>0</v>
      </c>
      <c r="L1082" s="51">
        <v>0</v>
      </c>
      <c r="M1082" s="51">
        <v>0</v>
      </c>
      <c r="N1082" s="1">
        <f t="shared" si="870"/>
        <v>0</v>
      </c>
      <c r="O1082" s="1">
        <f t="shared" si="876"/>
        <v>0</v>
      </c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</row>
    <row r="1083" spans="1:33" s="32" customFormat="1" ht="15" customHeight="1">
      <c r="A1083" s="37">
        <v>43497</v>
      </c>
      <c r="B1083" s="20" t="s">
        <v>198</v>
      </c>
      <c r="C1083" s="20" t="s">
        <v>47</v>
      </c>
      <c r="D1083" s="20">
        <v>300</v>
      </c>
      <c r="E1083" s="38">
        <v>3000</v>
      </c>
      <c r="F1083" s="20" t="s">
        <v>8</v>
      </c>
      <c r="G1083" s="43">
        <v>12.5</v>
      </c>
      <c r="H1083" s="20">
        <v>13.5</v>
      </c>
      <c r="I1083" s="43">
        <v>0</v>
      </c>
      <c r="J1083" s="53">
        <v>0</v>
      </c>
      <c r="K1083" s="1">
        <f t="shared" ref="K1083" si="883">(IF(F1083="SELL",G1083-H1083,IF(F1083="BUY",H1083-G1083)))*E1083</f>
        <v>3000</v>
      </c>
      <c r="L1083" s="51">
        <v>0</v>
      </c>
      <c r="M1083" s="51">
        <v>0</v>
      </c>
      <c r="N1083" s="1">
        <f t="shared" si="870"/>
        <v>1</v>
      </c>
      <c r="O1083" s="1">
        <f t="shared" si="876"/>
        <v>3000</v>
      </c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</row>
    <row r="1084" spans="1:33" s="32" customFormat="1" ht="15" customHeight="1">
      <c r="A1084" s="37">
        <v>43496</v>
      </c>
      <c r="B1084" s="20" t="s">
        <v>72</v>
      </c>
      <c r="C1084" s="20" t="s">
        <v>47</v>
      </c>
      <c r="D1084" s="20">
        <v>340</v>
      </c>
      <c r="E1084" s="38">
        <v>1800</v>
      </c>
      <c r="F1084" s="20" t="s">
        <v>8</v>
      </c>
      <c r="G1084" s="43">
        <v>5</v>
      </c>
      <c r="H1084" s="20">
        <v>6.5</v>
      </c>
      <c r="I1084" s="43">
        <v>8</v>
      </c>
      <c r="J1084" s="53">
        <v>10</v>
      </c>
      <c r="K1084" s="1">
        <f t="shared" ref="K1084" si="884">(IF(F1084="SELL",G1084-H1084,IF(F1084="BUY",H1084-G1084)))*E1084</f>
        <v>2700</v>
      </c>
      <c r="L1084" s="51">
        <f>E1084*1.5</f>
        <v>2700</v>
      </c>
      <c r="M1084" s="51">
        <f>E1084*2</f>
        <v>3600</v>
      </c>
      <c r="N1084" s="1">
        <f t="shared" si="870"/>
        <v>5</v>
      </c>
      <c r="O1084" s="1">
        <f t="shared" si="876"/>
        <v>9000</v>
      </c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</row>
    <row r="1085" spans="1:33" s="32" customFormat="1" ht="15" customHeight="1">
      <c r="A1085" s="37">
        <v>43494</v>
      </c>
      <c r="B1085" s="20" t="s">
        <v>39</v>
      </c>
      <c r="C1085" s="20" t="s">
        <v>46</v>
      </c>
      <c r="D1085" s="20">
        <v>1220</v>
      </c>
      <c r="E1085" s="38">
        <v>500</v>
      </c>
      <c r="F1085" s="20" t="s">
        <v>8</v>
      </c>
      <c r="G1085" s="43">
        <v>13</v>
      </c>
      <c r="H1085" s="20">
        <v>17</v>
      </c>
      <c r="I1085" s="43">
        <v>21</v>
      </c>
      <c r="J1085" s="53">
        <v>0</v>
      </c>
      <c r="K1085" s="1">
        <f t="shared" ref="K1085:K1087" si="885">(IF(F1085="SELL",G1085-H1085,IF(F1085="BUY",H1085-G1085)))*E1085</f>
        <v>2000</v>
      </c>
      <c r="L1085" s="51">
        <f>E1085*4</f>
        <v>2000</v>
      </c>
      <c r="M1085" s="51">
        <v>0</v>
      </c>
      <c r="N1085" s="1">
        <f t="shared" si="870"/>
        <v>8</v>
      </c>
      <c r="O1085" s="1">
        <f t="shared" si="876"/>
        <v>4000</v>
      </c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</row>
    <row r="1086" spans="1:33" s="32" customFormat="1" ht="15" customHeight="1">
      <c r="A1086" s="37">
        <v>43494</v>
      </c>
      <c r="B1086" s="20" t="s">
        <v>72</v>
      </c>
      <c r="C1086" s="20" t="s">
        <v>47</v>
      </c>
      <c r="D1086" s="20">
        <v>350</v>
      </c>
      <c r="E1086" s="38">
        <v>1800</v>
      </c>
      <c r="F1086" s="20" t="s">
        <v>8</v>
      </c>
      <c r="G1086" s="43">
        <v>4.2</v>
      </c>
      <c r="H1086" s="20">
        <v>5.5</v>
      </c>
      <c r="I1086" s="43">
        <v>0</v>
      </c>
      <c r="J1086" s="53">
        <v>0</v>
      </c>
      <c r="K1086" s="1">
        <f t="shared" si="885"/>
        <v>2339.9999999999995</v>
      </c>
      <c r="L1086" s="51">
        <v>0</v>
      </c>
      <c r="M1086" s="51">
        <v>0</v>
      </c>
      <c r="N1086" s="1">
        <f t="shared" si="870"/>
        <v>1.2999999999999998</v>
      </c>
      <c r="O1086" s="1">
        <f t="shared" si="876"/>
        <v>2339.9999999999995</v>
      </c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</row>
    <row r="1087" spans="1:33" s="32" customFormat="1" ht="15" customHeight="1">
      <c r="A1087" s="37">
        <v>43494</v>
      </c>
      <c r="B1087" s="20" t="s">
        <v>63</v>
      </c>
      <c r="C1087" s="20" t="s">
        <v>46</v>
      </c>
      <c r="D1087" s="20">
        <v>235</v>
      </c>
      <c r="E1087" s="38">
        <v>2100</v>
      </c>
      <c r="F1087" s="20" t="s">
        <v>8</v>
      </c>
      <c r="G1087" s="43">
        <v>3</v>
      </c>
      <c r="H1087" s="20">
        <v>1.5</v>
      </c>
      <c r="I1087" s="43">
        <v>0</v>
      </c>
      <c r="J1087" s="53">
        <v>0</v>
      </c>
      <c r="K1087" s="1">
        <f t="shared" si="885"/>
        <v>-3150</v>
      </c>
      <c r="L1087" s="51">
        <v>0</v>
      </c>
      <c r="M1087" s="51">
        <v>0</v>
      </c>
      <c r="N1087" s="1">
        <f t="shared" si="870"/>
        <v>-1.5</v>
      </c>
      <c r="O1087" s="1">
        <f t="shared" si="876"/>
        <v>-3150</v>
      </c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</row>
    <row r="1088" spans="1:33" s="32" customFormat="1" ht="15" customHeight="1">
      <c r="A1088" s="37">
        <v>43490</v>
      </c>
      <c r="B1088" s="20" t="s">
        <v>26</v>
      </c>
      <c r="C1088" s="20" t="s">
        <v>46</v>
      </c>
      <c r="D1088" s="20">
        <v>460</v>
      </c>
      <c r="E1088" s="38">
        <v>1061</v>
      </c>
      <c r="F1088" s="20" t="s">
        <v>8</v>
      </c>
      <c r="G1088" s="43">
        <v>6</v>
      </c>
      <c r="H1088" s="20">
        <v>8</v>
      </c>
      <c r="I1088" s="43">
        <v>10</v>
      </c>
      <c r="J1088" s="53">
        <v>0</v>
      </c>
      <c r="K1088" s="1">
        <f t="shared" ref="K1088" si="886">(IF(F1088="SELL",G1088-H1088,IF(F1088="BUY",H1088-G1088)))*E1088</f>
        <v>2122</v>
      </c>
      <c r="L1088" s="51">
        <f>E1088*2</f>
        <v>2122</v>
      </c>
      <c r="M1088" s="51">
        <v>0</v>
      </c>
      <c r="N1088" s="1">
        <f t="shared" si="870"/>
        <v>4</v>
      </c>
      <c r="O1088" s="1">
        <f t="shared" si="876"/>
        <v>4244</v>
      </c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</row>
    <row r="1089" spans="1:33" s="32" customFormat="1" ht="15" customHeight="1">
      <c r="A1089" s="37">
        <v>43487</v>
      </c>
      <c r="B1089" s="20" t="s">
        <v>98</v>
      </c>
      <c r="C1089" s="20" t="s">
        <v>46</v>
      </c>
      <c r="D1089" s="20">
        <v>660</v>
      </c>
      <c r="E1089" s="38">
        <v>900</v>
      </c>
      <c r="F1089" s="20" t="s">
        <v>8</v>
      </c>
      <c r="G1089" s="43">
        <v>15</v>
      </c>
      <c r="H1089" s="20">
        <v>0</v>
      </c>
      <c r="I1089" s="43">
        <v>0</v>
      </c>
      <c r="J1089" s="53">
        <v>0</v>
      </c>
      <c r="K1089" s="1">
        <v>0</v>
      </c>
      <c r="L1089" s="51">
        <v>0</v>
      </c>
      <c r="M1089" s="51">
        <v>0</v>
      </c>
      <c r="N1089" s="1">
        <f t="shared" si="870"/>
        <v>0</v>
      </c>
      <c r="O1089" s="1">
        <f t="shared" si="876"/>
        <v>0</v>
      </c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</row>
    <row r="1090" spans="1:33" s="32" customFormat="1" ht="15" customHeight="1">
      <c r="A1090" s="37">
        <v>43487</v>
      </c>
      <c r="B1090" s="20" t="s">
        <v>39</v>
      </c>
      <c r="C1090" s="20" t="s">
        <v>46</v>
      </c>
      <c r="D1090" s="20">
        <v>1220</v>
      </c>
      <c r="E1090" s="38">
        <v>500</v>
      </c>
      <c r="F1090" s="20" t="s">
        <v>8</v>
      </c>
      <c r="G1090" s="43">
        <v>18</v>
      </c>
      <c r="H1090" s="20">
        <v>0</v>
      </c>
      <c r="I1090" s="43">
        <v>0</v>
      </c>
      <c r="J1090" s="53">
        <v>0</v>
      </c>
      <c r="K1090" s="1">
        <v>0</v>
      </c>
      <c r="L1090" s="51">
        <v>0</v>
      </c>
      <c r="M1090" s="51">
        <v>0</v>
      </c>
      <c r="N1090" s="1">
        <f t="shared" si="870"/>
        <v>0</v>
      </c>
      <c r="O1090" s="1">
        <f t="shared" si="876"/>
        <v>0</v>
      </c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</row>
    <row r="1091" spans="1:33" s="32" customFormat="1" ht="15" customHeight="1">
      <c r="A1091" s="37">
        <v>43486</v>
      </c>
      <c r="B1091" s="20" t="s">
        <v>39</v>
      </c>
      <c r="C1091" s="20" t="s">
        <v>47</v>
      </c>
      <c r="D1091" s="20">
        <v>1200</v>
      </c>
      <c r="E1091" s="38">
        <v>500</v>
      </c>
      <c r="F1091" s="20" t="s">
        <v>8</v>
      </c>
      <c r="G1091" s="43">
        <v>21</v>
      </c>
      <c r="H1091" s="20">
        <v>25</v>
      </c>
      <c r="I1091" s="43">
        <v>29</v>
      </c>
      <c r="J1091" s="53">
        <v>34</v>
      </c>
      <c r="K1091" s="1">
        <f t="shared" ref="K1091" si="887">(IF(F1091="SELL",G1091-H1091,IF(F1091="BUY",H1091-G1091)))*E1091</f>
        <v>2000</v>
      </c>
      <c r="L1091" s="51">
        <f>E1091*4</f>
        <v>2000</v>
      </c>
      <c r="M1091" s="51">
        <f>E1091*5</f>
        <v>2500</v>
      </c>
      <c r="N1091" s="1">
        <f t="shared" si="870"/>
        <v>13</v>
      </c>
      <c r="O1091" s="1">
        <f t="shared" si="876"/>
        <v>6500</v>
      </c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</row>
    <row r="1092" spans="1:33" s="32" customFormat="1" ht="15" customHeight="1">
      <c r="A1092" s="37">
        <v>43483</v>
      </c>
      <c r="B1092" s="20" t="s">
        <v>39</v>
      </c>
      <c r="C1092" s="20" t="s">
        <v>46</v>
      </c>
      <c r="D1092" s="20">
        <v>1140</v>
      </c>
      <c r="E1092" s="38">
        <v>500</v>
      </c>
      <c r="F1092" s="20" t="s">
        <v>8</v>
      </c>
      <c r="G1092" s="43">
        <v>20</v>
      </c>
      <c r="H1092" s="20">
        <v>24</v>
      </c>
      <c r="I1092" s="43">
        <v>0</v>
      </c>
      <c r="J1092" s="53">
        <v>0</v>
      </c>
      <c r="K1092" s="1">
        <f t="shared" ref="K1092" si="888">(IF(F1092="SELL",G1092-H1092,IF(F1092="BUY",H1092-G1092)))*E1092</f>
        <v>2000</v>
      </c>
      <c r="L1092" s="51">
        <v>0</v>
      </c>
      <c r="M1092" s="51">
        <v>0</v>
      </c>
      <c r="N1092" s="1">
        <f t="shared" si="870"/>
        <v>4</v>
      </c>
      <c r="O1092" s="1">
        <f t="shared" si="876"/>
        <v>2000</v>
      </c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</row>
    <row r="1093" spans="1:33" s="32" customFormat="1" ht="15" customHeight="1">
      <c r="A1093" s="37">
        <v>43482</v>
      </c>
      <c r="B1093" s="20" t="s">
        <v>39</v>
      </c>
      <c r="C1093" s="20" t="s">
        <v>46</v>
      </c>
      <c r="D1093" s="20">
        <v>1140</v>
      </c>
      <c r="E1093" s="38">
        <v>500</v>
      </c>
      <c r="F1093" s="20" t="s">
        <v>8</v>
      </c>
      <c r="G1093" s="43">
        <v>22</v>
      </c>
      <c r="H1093" s="20">
        <v>26</v>
      </c>
      <c r="I1093" s="43">
        <v>0</v>
      </c>
      <c r="J1093" s="53">
        <v>0</v>
      </c>
      <c r="K1093" s="1">
        <f t="shared" ref="K1093" si="889">(IF(F1093="SELL",G1093-H1093,IF(F1093="BUY",H1093-G1093)))*E1093</f>
        <v>2000</v>
      </c>
      <c r="L1093" s="51">
        <v>0</v>
      </c>
      <c r="M1093" s="51">
        <v>0</v>
      </c>
      <c r="N1093" s="1">
        <f t="shared" si="870"/>
        <v>4</v>
      </c>
      <c r="O1093" s="1">
        <f t="shared" si="876"/>
        <v>2000</v>
      </c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</row>
    <row r="1094" spans="1:33" s="32" customFormat="1" ht="15" customHeight="1">
      <c r="A1094" s="37">
        <v>43481</v>
      </c>
      <c r="B1094" s="20" t="s">
        <v>34</v>
      </c>
      <c r="C1094" s="20" t="s">
        <v>47</v>
      </c>
      <c r="D1094" s="20">
        <v>210</v>
      </c>
      <c r="E1094" s="38">
        <v>3500</v>
      </c>
      <c r="F1094" s="20" t="s">
        <v>8</v>
      </c>
      <c r="G1094" s="43">
        <v>6</v>
      </c>
      <c r="H1094" s="20">
        <v>0</v>
      </c>
      <c r="I1094" s="43">
        <v>0</v>
      </c>
      <c r="J1094" s="53">
        <v>0</v>
      </c>
      <c r="K1094" s="1">
        <v>0</v>
      </c>
      <c r="L1094" s="51">
        <v>0</v>
      </c>
      <c r="M1094" s="51">
        <v>0</v>
      </c>
      <c r="N1094" s="1">
        <f t="shared" si="870"/>
        <v>0</v>
      </c>
      <c r="O1094" s="1">
        <f t="shared" si="876"/>
        <v>0</v>
      </c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</row>
    <row r="1095" spans="1:33" s="32" customFormat="1" ht="15" customHeight="1">
      <c r="A1095" s="37">
        <v>43480</v>
      </c>
      <c r="B1095" s="20" t="s">
        <v>39</v>
      </c>
      <c r="C1095" s="20" t="s">
        <v>47</v>
      </c>
      <c r="D1095" s="20">
        <v>1120</v>
      </c>
      <c r="E1095" s="38">
        <v>500</v>
      </c>
      <c r="F1095" s="20" t="s">
        <v>8</v>
      </c>
      <c r="G1095" s="43">
        <v>28.5</v>
      </c>
      <c r="H1095" s="20">
        <v>31</v>
      </c>
      <c r="I1095" s="43">
        <v>34</v>
      </c>
      <c r="J1095" s="53">
        <v>0</v>
      </c>
      <c r="K1095" s="1">
        <f t="shared" ref="K1095" si="890">(IF(F1095="SELL",G1095-H1095,IF(F1095="BUY",H1095-G1095)))*E1095</f>
        <v>1250</v>
      </c>
      <c r="L1095" s="51">
        <f>500*3</f>
        <v>1500</v>
      </c>
      <c r="M1095" s="51">
        <v>0</v>
      </c>
      <c r="N1095" s="1">
        <f t="shared" si="870"/>
        <v>5.5</v>
      </c>
      <c r="O1095" s="1">
        <f t="shared" si="876"/>
        <v>2750</v>
      </c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</row>
    <row r="1096" spans="1:33" s="32" customFormat="1" ht="15" customHeight="1">
      <c r="A1096" s="37">
        <v>43479</v>
      </c>
      <c r="B1096" s="20" t="s">
        <v>313</v>
      </c>
      <c r="C1096" s="20" t="s">
        <v>47</v>
      </c>
      <c r="D1096" s="20">
        <v>125</v>
      </c>
      <c r="E1096" s="38">
        <v>6000</v>
      </c>
      <c r="F1096" s="20" t="s">
        <v>8</v>
      </c>
      <c r="G1096" s="43">
        <v>3.3</v>
      </c>
      <c r="H1096" s="20">
        <v>0</v>
      </c>
      <c r="I1096" s="43">
        <v>0</v>
      </c>
      <c r="J1096" s="53">
        <v>0</v>
      </c>
      <c r="K1096" s="1">
        <v>0</v>
      </c>
      <c r="L1096" s="51">
        <v>0</v>
      </c>
      <c r="M1096" s="51">
        <v>0</v>
      </c>
      <c r="N1096" s="1">
        <f t="shared" si="870"/>
        <v>0</v>
      </c>
      <c r="O1096" s="1">
        <f t="shared" si="876"/>
        <v>0</v>
      </c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</row>
    <row r="1097" spans="1:33" s="32" customFormat="1" ht="15" customHeight="1">
      <c r="A1097" s="37">
        <v>43476</v>
      </c>
      <c r="B1097" s="20" t="s">
        <v>22</v>
      </c>
      <c r="C1097" s="20" t="s">
        <v>46</v>
      </c>
      <c r="D1097" s="20">
        <v>180</v>
      </c>
      <c r="E1097" s="38">
        <v>2600</v>
      </c>
      <c r="F1097" s="20" t="s">
        <v>8</v>
      </c>
      <c r="G1097" s="43">
        <v>6.5</v>
      </c>
      <c r="H1097" s="20">
        <v>0</v>
      </c>
      <c r="I1097" s="43">
        <v>0</v>
      </c>
      <c r="J1097" s="53">
        <v>0</v>
      </c>
      <c r="K1097" s="1">
        <v>0</v>
      </c>
      <c r="L1097" s="51">
        <v>0</v>
      </c>
      <c r="M1097" s="51">
        <v>0</v>
      </c>
      <c r="N1097" s="1">
        <f t="shared" si="870"/>
        <v>0</v>
      </c>
      <c r="O1097" s="1">
        <f t="shared" si="876"/>
        <v>0</v>
      </c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</row>
    <row r="1098" spans="1:33" s="32" customFormat="1" ht="15" customHeight="1">
      <c r="A1098" s="37">
        <v>43475</v>
      </c>
      <c r="B1098" s="20" t="s">
        <v>22</v>
      </c>
      <c r="C1098" s="20" t="s">
        <v>46</v>
      </c>
      <c r="D1098" s="20">
        <v>185</v>
      </c>
      <c r="E1098" s="38">
        <v>2600</v>
      </c>
      <c r="F1098" s="20" t="s">
        <v>8</v>
      </c>
      <c r="G1098" s="43">
        <v>7</v>
      </c>
      <c r="H1098" s="20">
        <v>8</v>
      </c>
      <c r="I1098" s="43">
        <v>9</v>
      </c>
      <c r="J1098" s="53">
        <v>0</v>
      </c>
      <c r="K1098" s="1">
        <f t="shared" ref="K1098:K1099" si="891">(IF(F1098="SELL",G1098-H1098,IF(F1098="BUY",H1098-G1098)))*E1098</f>
        <v>2600</v>
      </c>
      <c r="L1098" s="51">
        <f>2600*1</f>
        <v>2600</v>
      </c>
      <c r="M1098" s="51">
        <v>0</v>
      </c>
      <c r="N1098" s="1">
        <f t="shared" si="870"/>
        <v>2</v>
      </c>
      <c r="O1098" s="1">
        <f t="shared" si="876"/>
        <v>5200</v>
      </c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</row>
    <row r="1099" spans="1:33" s="32" customFormat="1" ht="15" customHeight="1">
      <c r="A1099" s="37">
        <v>43474</v>
      </c>
      <c r="B1099" s="20" t="s">
        <v>332</v>
      </c>
      <c r="C1099" s="20" t="s">
        <v>47</v>
      </c>
      <c r="D1099" s="20">
        <v>700</v>
      </c>
      <c r="E1099" s="38">
        <v>1200</v>
      </c>
      <c r="F1099" s="20" t="s">
        <v>8</v>
      </c>
      <c r="G1099" s="43">
        <v>21</v>
      </c>
      <c r="H1099" s="20">
        <v>18</v>
      </c>
      <c r="I1099" s="43">
        <v>0</v>
      </c>
      <c r="J1099" s="53">
        <v>0</v>
      </c>
      <c r="K1099" s="1">
        <f t="shared" si="891"/>
        <v>-3600</v>
      </c>
      <c r="L1099" s="51">
        <v>0</v>
      </c>
      <c r="M1099" s="51">
        <v>0</v>
      </c>
      <c r="N1099" s="1">
        <f t="shared" si="870"/>
        <v>-3</v>
      </c>
      <c r="O1099" s="1">
        <f t="shared" si="876"/>
        <v>-3600</v>
      </c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</row>
    <row r="1100" spans="1:33" s="32" customFormat="1" ht="15" customHeight="1">
      <c r="A1100" s="37">
        <v>43473</v>
      </c>
      <c r="B1100" s="20" t="s">
        <v>270</v>
      </c>
      <c r="C1100" s="20" t="s">
        <v>47</v>
      </c>
      <c r="D1100" s="20">
        <v>155</v>
      </c>
      <c r="E1100" s="38">
        <v>2250</v>
      </c>
      <c r="F1100" s="20" t="s">
        <v>8</v>
      </c>
      <c r="G1100" s="43">
        <v>7</v>
      </c>
      <c r="H1100" s="20">
        <v>8</v>
      </c>
      <c r="I1100" s="43">
        <v>0</v>
      </c>
      <c r="J1100" s="53">
        <v>0</v>
      </c>
      <c r="K1100" s="1">
        <f t="shared" ref="K1100" si="892">(IF(F1100="SELL",G1100-H1100,IF(F1100="BUY",H1100-G1100)))*E1100</f>
        <v>2250</v>
      </c>
      <c r="L1100" s="51">
        <v>0</v>
      </c>
      <c r="M1100" s="51">
        <v>0</v>
      </c>
      <c r="N1100" s="1">
        <f t="shared" si="870"/>
        <v>1</v>
      </c>
      <c r="O1100" s="1">
        <f t="shared" si="876"/>
        <v>2250</v>
      </c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</row>
    <row r="1101" spans="1:33" s="32" customFormat="1" ht="15" customHeight="1">
      <c r="A1101" s="37">
        <v>43467</v>
      </c>
      <c r="B1101" s="20" t="s">
        <v>397</v>
      </c>
      <c r="C1101" s="20" t="s">
        <v>47</v>
      </c>
      <c r="D1101" s="20">
        <v>365</v>
      </c>
      <c r="E1101" s="38">
        <v>2750</v>
      </c>
      <c r="F1101" s="20" t="s">
        <v>8</v>
      </c>
      <c r="G1101" s="43">
        <v>10.8</v>
      </c>
      <c r="H1101" s="20">
        <v>11.8</v>
      </c>
      <c r="I1101" s="43">
        <v>0</v>
      </c>
      <c r="J1101" s="53">
        <v>0</v>
      </c>
      <c r="K1101" s="1">
        <f t="shared" ref="K1101" si="893">(IF(F1101="SELL",G1101-H1101,IF(F1101="BUY",H1101-G1101)))*E1101</f>
        <v>2750</v>
      </c>
      <c r="L1101" s="51">
        <v>0</v>
      </c>
      <c r="M1101" s="51">
        <v>0</v>
      </c>
      <c r="N1101" s="1">
        <f t="shared" si="870"/>
        <v>1</v>
      </c>
      <c r="O1101" s="1">
        <f t="shared" si="876"/>
        <v>2750</v>
      </c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</row>
    <row r="1102" spans="1:33" s="32" customFormat="1" ht="15" customHeight="1">
      <c r="A1102" s="37">
        <v>43467</v>
      </c>
      <c r="B1102" s="20" t="s">
        <v>396</v>
      </c>
      <c r="C1102" s="20" t="s">
        <v>47</v>
      </c>
      <c r="D1102" s="20">
        <v>90</v>
      </c>
      <c r="E1102" s="38">
        <v>8000</v>
      </c>
      <c r="F1102" s="20" t="s">
        <v>8</v>
      </c>
      <c r="G1102" s="43">
        <v>4.8499999999999996</v>
      </c>
      <c r="H1102" s="20">
        <v>5.15</v>
      </c>
      <c r="I1102" s="43">
        <v>0</v>
      </c>
      <c r="J1102" s="53">
        <v>0</v>
      </c>
      <c r="K1102" s="1">
        <f t="shared" ref="K1102" si="894">(IF(F1102="SELL",G1102-H1102,IF(F1102="BUY",H1102-G1102)))*E1102</f>
        <v>2400.0000000000055</v>
      </c>
      <c r="L1102" s="51">
        <v>0</v>
      </c>
      <c r="M1102" s="51">
        <v>0</v>
      </c>
      <c r="N1102" s="1">
        <f t="shared" si="870"/>
        <v>0.30000000000000066</v>
      </c>
      <c r="O1102" s="1">
        <f t="shared" si="876"/>
        <v>2400.0000000000055</v>
      </c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</row>
    <row r="1103" spans="1:33" s="32" customFormat="1" ht="15" customHeight="1">
      <c r="A1103" s="37">
        <v>43466</v>
      </c>
      <c r="B1103" s="20" t="s">
        <v>395</v>
      </c>
      <c r="C1103" s="20" t="s">
        <v>47</v>
      </c>
      <c r="D1103" s="20">
        <v>360</v>
      </c>
      <c r="E1103" s="38">
        <v>1800</v>
      </c>
      <c r="F1103" s="20" t="s">
        <v>8</v>
      </c>
      <c r="G1103" s="43">
        <v>12.5</v>
      </c>
      <c r="H1103" s="20">
        <v>13.5</v>
      </c>
      <c r="I1103" s="43">
        <v>0</v>
      </c>
      <c r="J1103" s="53">
        <v>0</v>
      </c>
      <c r="K1103" s="1">
        <f t="shared" ref="K1103" si="895">(IF(F1103="SELL",G1103-H1103,IF(F1103="BUY",H1103-G1103)))*E1103</f>
        <v>1800</v>
      </c>
      <c r="L1103" s="51">
        <v>0</v>
      </c>
      <c r="M1103" s="51">
        <v>0</v>
      </c>
      <c r="N1103" s="1">
        <f t="shared" si="870"/>
        <v>1</v>
      </c>
      <c r="O1103" s="1">
        <f t="shared" si="876"/>
        <v>1800</v>
      </c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</row>
    <row r="1104" spans="1:33" s="32" customFormat="1" ht="15" customHeight="1">
      <c r="A1104" s="27">
        <v>43465</v>
      </c>
      <c r="B1104" s="15" t="s">
        <v>195</v>
      </c>
      <c r="C1104" s="15" t="s">
        <v>47</v>
      </c>
      <c r="D1104" s="15">
        <v>530</v>
      </c>
      <c r="E1104" s="28">
        <v>1061</v>
      </c>
      <c r="F1104" s="15" t="s">
        <v>8</v>
      </c>
      <c r="G1104" s="45">
        <v>16.149999999999999</v>
      </c>
      <c r="H1104" s="15">
        <v>17.5</v>
      </c>
      <c r="I1104" s="45">
        <v>0</v>
      </c>
      <c r="J1104" s="54">
        <v>0</v>
      </c>
      <c r="K1104" s="1">
        <f t="shared" ref="K1104" si="896">(IF(F1104="SELL",G1104-H1104,IF(F1104="BUY",H1104-G1104)))*E1104</f>
        <v>1432.3500000000015</v>
      </c>
      <c r="L1104" s="51">
        <v>0</v>
      </c>
      <c r="M1104" s="51">
        <v>0</v>
      </c>
      <c r="N1104" s="1">
        <f t="shared" si="870"/>
        <v>1.3500000000000014</v>
      </c>
      <c r="O1104" s="1">
        <f t="shared" si="876"/>
        <v>1432.3500000000015</v>
      </c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</row>
    <row r="1105" spans="1:33" s="32" customFormat="1" ht="15" customHeight="1">
      <c r="A1105" s="27">
        <v>43465</v>
      </c>
      <c r="B1105" s="15" t="s">
        <v>270</v>
      </c>
      <c r="C1105" s="15" t="s">
        <v>47</v>
      </c>
      <c r="D1105" s="15">
        <v>165</v>
      </c>
      <c r="E1105" s="28">
        <v>2250</v>
      </c>
      <c r="F1105" s="15" t="s">
        <v>8</v>
      </c>
      <c r="G1105" s="45">
        <v>8.6999999999999993</v>
      </c>
      <c r="H1105" s="15">
        <v>9.1999999999999993</v>
      </c>
      <c r="I1105" s="45">
        <v>0</v>
      </c>
      <c r="J1105" s="54">
        <v>0</v>
      </c>
      <c r="K1105" s="1">
        <f t="shared" ref="K1105" si="897">(IF(F1105="SELL",G1105-H1105,IF(F1105="BUY",H1105-G1105)))*E1105</f>
        <v>1125</v>
      </c>
      <c r="L1105" s="51">
        <v>0</v>
      </c>
      <c r="M1105" s="51">
        <v>0</v>
      </c>
      <c r="N1105" s="1">
        <f t="shared" si="870"/>
        <v>0.5</v>
      </c>
      <c r="O1105" s="1">
        <f t="shared" si="876"/>
        <v>1125</v>
      </c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</row>
    <row r="1106" spans="1:33" s="32" customFormat="1" ht="15" customHeight="1">
      <c r="A1106" s="27">
        <v>43462</v>
      </c>
      <c r="B1106" s="15" t="s">
        <v>298</v>
      </c>
      <c r="C1106" s="15" t="s">
        <v>47</v>
      </c>
      <c r="D1106" s="15">
        <v>2700</v>
      </c>
      <c r="E1106" s="28">
        <v>250</v>
      </c>
      <c r="F1106" s="15" t="s">
        <v>8</v>
      </c>
      <c r="G1106" s="45">
        <v>71</v>
      </c>
      <c r="H1106" s="15">
        <v>74</v>
      </c>
      <c r="I1106" s="45">
        <v>0</v>
      </c>
      <c r="J1106" s="54">
        <v>0</v>
      </c>
      <c r="K1106" s="1">
        <f t="shared" ref="K1106" si="898">(IF(F1106="SELL",G1106-H1106,IF(F1106="BUY",H1106-G1106)))*E1106</f>
        <v>750</v>
      </c>
      <c r="L1106" s="51">
        <v>0</v>
      </c>
      <c r="M1106" s="51">
        <v>0</v>
      </c>
      <c r="N1106" s="1">
        <f t="shared" si="870"/>
        <v>3</v>
      </c>
      <c r="O1106" s="1">
        <f t="shared" si="876"/>
        <v>750</v>
      </c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</row>
    <row r="1107" spans="1:33" s="32" customFormat="1" ht="15" customHeight="1">
      <c r="A1107" s="27">
        <v>43462</v>
      </c>
      <c r="B1107" s="15" t="s">
        <v>205</v>
      </c>
      <c r="C1107" s="15" t="s">
        <v>47</v>
      </c>
      <c r="D1107" s="15">
        <v>1520</v>
      </c>
      <c r="E1107" s="28">
        <v>400</v>
      </c>
      <c r="F1107" s="15" t="s">
        <v>8</v>
      </c>
      <c r="G1107" s="45">
        <v>35</v>
      </c>
      <c r="H1107" s="15">
        <v>38</v>
      </c>
      <c r="I1107" s="45">
        <v>0</v>
      </c>
      <c r="J1107" s="54">
        <v>0</v>
      </c>
      <c r="K1107" s="1">
        <f t="shared" ref="K1107" si="899">(IF(F1107="SELL",G1107-H1107,IF(F1107="BUY",H1107-G1107)))*E1107</f>
        <v>1200</v>
      </c>
      <c r="L1107" s="51">
        <v>0</v>
      </c>
      <c r="M1107" s="51">
        <v>0</v>
      </c>
      <c r="N1107" s="1">
        <f t="shared" si="870"/>
        <v>3</v>
      </c>
      <c r="O1107" s="1">
        <f t="shared" si="876"/>
        <v>1200</v>
      </c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</row>
    <row r="1108" spans="1:33" s="32" customFormat="1" ht="15" customHeight="1">
      <c r="A1108" s="27">
        <v>43461</v>
      </c>
      <c r="B1108" s="15" t="s">
        <v>190</v>
      </c>
      <c r="C1108" s="15" t="s">
        <v>47</v>
      </c>
      <c r="D1108" s="15">
        <v>1120</v>
      </c>
      <c r="E1108" s="28">
        <v>550</v>
      </c>
      <c r="F1108" s="15" t="s">
        <v>8</v>
      </c>
      <c r="G1108" s="45">
        <v>9</v>
      </c>
      <c r="H1108" s="15">
        <v>4</v>
      </c>
      <c r="I1108" s="45">
        <v>0</v>
      </c>
      <c r="J1108" s="54">
        <v>0</v>
      </c>
      <c r="K1108" s="1">
        <f t="shared" ref="K1108" si="900">(IF(F1108="SELL",G1108-H1108,IF(F1108="BUY",H1108-G1108)))*E1108</f>
        <v>-2750</v>
      </c>
      <c r="L1108" s="51">
        <v>0</v>
      </c>
      <c r="M1108" s="51">
        <v>0</v>
      </c>
      <c r="N1108" s="1">
        <f t="shared" si="870"/>
        <v>-5</v>
      </c>
      <c r="O1108" s="1">
        <f t="shared" si="876"/>
        <v>-2750</v>
      </c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</row>
    <row r="1109" spans="1:33" s="32" customFormat="1" ht="15" customHeight="1">
      <c r="A1109" s="27">
        <v>43460</v>
      </c>
      <c r="B1109" s="15" t="s">
        <v>157</v>
      </c>
      <c r="C1109" s="15" t="s">
        <v>47</v>
      </c>
      <c r="D1109" s="15">
        <v>880</v>
      </c>
      <c r="E1109" s="28">
        <v>750</v>
      </c>
      <c r="F1109" s="15" t="s">
        <v>8</v>
      </c>
      <c r="G1109" s="45">
        <v>13</v>
      </c>
      <c r="H1109" s="15">
        <v>14.5</v>
      </c>
      <c r="I1109" s="45">
        <v>0</v>
      </c>
      <c r="J1109" s="54">
        <v>0</v>
      </c>
      <c r="K1109" s="1">
        <f t="shared" ref="K1109" si="901">(IF(F1109="SELL",G1109-H1109,IF(F1109="BUY",H1109-G1109)))*E1109</f>
        <v>1125</v>
      </c>
      <c r="L1109" s="51">
        <v>0</v>
      </c>
      <c r="M1109" s="51">
        <v>0</v>
      </c>
      <c r="N1109" s="1">
        <f t="shared" si="870"/>
        <v>1.5</v>
      </c>
      <c r="O1109" s="1">
        <f t="shared" si="876"/>
        <v>1125</v>
      </c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</row>
    <row r="1110" spans="1:33" s="32" customFormat="1" ht="15" customHeight="1">
      <c r="A1110" s="27">
        <v>43458</v>
      </c>
      <c r="B1110" s="15" t="s">
        <v>313</v>
      </c>
      <c r="C1110" s="15" t="s">
        <v>47</v>
      </c>
      <c r="D1110" s="15">
        <v>110</v>
      </c>
      <c r="E1110" s="28">
        <v>6000</v>
      </c>
      <c r="F1110" s="15" t="s">
        <v>8</v>
      </c>
      <c r="G1110" s="45">
        <v>3.25</v>
      </c>
      <c r="H1110" s="15">
        <v>3.75</v>
      </c>
      <c r="I1110" s="45">
        <v>0</v>
      </c>
      <c r="J1110" s="54">
        <v>0</v>
      </c>
      <c r="K1110" s="1">
        <f t="shared" ref="K1110" si="902">(IF(F1110="SELL",G1110-H1110,IF(F1110="BUY",H1110-G1110)))*E1110</f>
        <v>3000</v>
      </c>
      <c r="L1110" s="51">
        <v>0</v>
      </c>
      <c r="M1110" s="51">
        <v>0</v>
      </c>
      <c r="N1110" s="1">
        <f t="shared" si="870"/>
        <v>0.5</v>
      </c>
      <c r="O1110" s="1">
        <f t="shared" si="876"/>
        <v>3000</v>
      </c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</row>
    <row r="1111" spans="1:33" s="32" customFormat="1" ht="15" customHeight="1">
      <c r="A1111" s="27">
        <v>43458</v>
      </c>
      <c r="B1111" s="15" t="s">
        <v>248</v>
      </c>
      <c r="C1111" s="15" t="s">
        <v>47</v>
      </c>
      <c r="D1111" s="15">
        <v>330</v>
      </c>
      <c r="E1111" s="28">
        <v>1300</v>
      </c>
      <c r="F1111" s="15" t="s">
        <v>8</v>
      </c>
      <c r="G1111" s="45">
        <v>4.5</v>
      </c>
      <c r="H1111" s="15">
        <v>0</v>
      </c>
      <c r="I1111" s="45">
        <v>0</v>
      </c>
      <c r="J1111" s="54">
        <v>0</v>
      </c>
      <c r="K1111" s="1">
        <v>0</v>
      </c>
      <c r="L1111" s="51">
        <v>0</v>
      </c>
      <c r="M1111" s="51">
        <v>0</v>
      </c>
      <c r="N1111" s="1">
        <f t="shared" si="870"/>
        <v>0</v>
      </c>
      <c r="O1111" s="1">
        <f t="shared" si="876"/>
        <v>0</v>
      </c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</row>
    <row r="1112" spans="1:33" s="32" customFormat="1" ht="15" customHeight="1">
      <c r="A1112" s="27">
        <v>43455</v>
      </c>
      <c r="B1112" s="15" t="s">
        <v>311</v>
      </c>
      <c r="C1112" s="15" t="s">
        <v>47</v>
      </c>
      <c r="D1112" s="15">
        <v>1500</v>
      </c>
      <c r="E1112" s="28">
        <v>400</v>
      </c>
      <c r="F1112" s="15" t="s">
        <v>8</v>
      </c>
      <c r="G1112" s="45">
        <v>21</v>
      </c>
      <c r="H1112" s="15">
        <v>25</v>
      </c>
      <c r="I1112" s="45">
        <v>0</v>
      </c>
      <c r="J1112" s="54">
        <v>0</v>
      </c>
      <c r="K1112" s="1">
        <f t="shared" ref="K1112" si="903">(IF(F1112="SELL",G1112-H1112,IF(F1112="BUY",H1112-G1112)))*E1112</f>
        <v>1600</v>
      </c>
      <c r="L1112" s="51">
        <v>0</v>
      </c>
      <c r="M1112" s="51">
        <v>0</v>
      </c>
      <c r="N1112" s="1">
        <f t="shared" si="870"/>
        <v>4</v>
      </c>
      <c r="O1112" s="1">
        <f t="shared" si="876"/>
        <v>1600</v>
      </c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</row>
    <row r="1113" spans="1:33" s="32" customFormat="1" ht="15" customHeight="1">
      <c r="A1113" s="27">
        <v>43455</v>
      </c>
      <c r="B1113" s="15" t="s">
        <v>144</v>
      </c>
      <c r="C1113" s="15" t="s">
        <v>47</v>
      </c>
      <c r="D1113" s="15">
        <v>320</v>
      </c>
      <c r="E1113" s="28">
        <v>1700</v>
      </c>
      <c r="F1113" s="15" t="s">
        <v>8</v>
      </c>
      <c r="G1113" s="45">
        <v>5.7</v>
      </c>
      <c r="H1113" s="15">
        <v>3</v>
      </c>
      <c r="I1113" s="45">
        <v>0</v>
      </c>
      <c r="J1113" s="54">
        <v>0</v>
      </c>
      <c r="K1113" s="1">
        <f t="shared" ref="K1113" si="904">(IF(F1113="SELL",G1113-H1113,IF(F1113="BUY",H1113-G1113)))*E1113</f>
        <v>-4590</v>
      </c>
      <c r="L1113" s="51">
        <v>0</v>
      </c>
      <c r="M1113" s="51">
        <v>0</v>
      </c>
      <c r="N1113" s="1">
        <f t="shared" si="870"/>
        <v>-2.7</v>
      </c>
      <c r="O1113" s="1">
        <f t="shared" si="876"/>
        <v>-4590</v>
      </c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</row>
    <row r="1114" spans="1:33" s="32" customFormat="1" ht="15" customHeight="1">
      <c r="A1114" s="27">
        <v>43454</v>
      </c>
      <c r="B1114" s="15" t="s">
        <v>336</v>
      </c>
      <c r="C1114" s="15" t="s">
        <v>47</v>
      </c>
      <c r="D1114" s="15">
        <v>960</v>
      </c>
      <c r="E1114" s="28">
        <v>800</v>
      </c>
      <c r="F1114" s="15" t="s">
        <v>8</v>
      </c>
      <c r="G1114" s="45">
        <v>26</v>
      </c>
      <c r="H1114" s="15">
        <v>28</v>
      </c>
      <c r="I1114" s="45">
        <v>0</v>
      </c>
      <c r="J1114" s="54">
        <v>0</v>
      </c>
      <c r="K1114" s="1">
        <f t="shared" ref="K1114" si="905">(IF(F1114="SELL",G1114-H1114,IF(F1114="BUY",H1114-G1114)))*E1114</f>
        <v>1600</v>
      </c>
      <c r="L1114" s="51">
        <v>0</v>
      </c>
      <c r="M1114" s="51">
        <v>0</v>
      </c>
      <c r="N1114" s="1">
        <f t="shared" si="870"/>
        <v>2</v>
      </c>
      <c r="O1114" s="1">
        <f t="shared" si="876"/>
        <v>1600</v>
      </c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</row>
    <row r="1115" spans="1:33" s="32" customFormat="1" ht="15" customHeight="1">
      <c r="A1115" s="27">
        <v>43454</v>
      </c>
      <c r="B1115" s="15" t="s">
        <v>192</v>
      </c>
      <c r="C1115" s="15" t="s">
        <v>47</v>
      </c>
      <c r="D1115" s="15">
        <v>720</v>
      </c>
      <c r="E1115" s="28">
        <v>550</v>
      </c>
      <c r="F1115" s="15" t="s">
        <v>8</v>
      </c>
      <c r="G1115" s="45">
        <v>11</v>
      </c>
      <c r="H1115" s="15">
        <v>13</v>
      </c>
      <c r="I1115" s="45">
        <v>0</v>
      </c>
      <c r="J1115" s="54">
        <v>0</v>
      </c>
      <c r="K1115" s="1">
        <f t="shared" ref="K1115" si="906">(IF(F1115="SELL",G1115-H1115,IF(F1115="BUY",H1115-G1115)))*E1115</f>
        <v>1100</v>
      </c>
      <c r="L1115" s="51">
        <v>0</v>
      </c>
      <c r="M1115" s="51">
        <v>0</v>
      </c>
      <c r="N1115" s="1">
        <f t="shared" si="870"/>
        <v>2</v>
      </c>
      <c r="O1115" s="1">
        <f t="shared" si="876"/>
        <v>1100</v>
      </c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</row>
    <row r="1116" spans="1:33" s="32" customFormat="1" ht="15" customHeight="1">
      <c r="A1116" s="27">
        <v>43453</v>
      </c>
      <c r="B1116" s="15" t="s">
        <v>394</v>
      </c>
      <c r="C1116" s="15" t="s">
        <v>47</v>
      </c>
      <c r="D1116" s="15">
        <v>160</v>
      </c>
      <c r="E1116" s="28">
        <v>2500</v>
      </c>
      <c r="F1116" s="15" t="s">
        <v>8</v>
      </c>
      <c r="G1116" s="45">
        <v>4.55</v>
      </c>
      <c r="H1116" s="15">
        <v>5.0999999999999996</v>
      </c>
      <c r="I1116" s="45">
        <v>0</v>
      </c>
      <c r="J1116" s="54">
        <v>0</v>
      </c>
      <c r="K1116" s="1">
        <f t="shared" ref="K1116" si="907">(IF(F1116="SELL",G1116-H1116,IF(F1116="BUY",H1116-G1116)))*E1116</f>
        <v>1374.9999999999995</v>
      </c>
      <c r="L1116" s="51">
        <v>0</v>
      </c>
      <c r="M1116" s="51">
        <v>0</v>
      </c>
      <c r="N1116" s="1">
        <f t="shared" si="870"/>
        <v>0.54999999999999982</v>
      </c>
      <c r="O1116" s="1">
        <f t="shared" si="876"/>
        <v>1374.9999999999995</v>
      </c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</row>
    <row r="1117" spans="1:33" s="32" customFormat="1" ht="15" customHeight="1">
      <c r="A1117" s="27">
        <v>43453</v>
      </c>
      <c r="B1117" s="15" t="s">
        <v>393</v>
      </c>
      <c r="C1117" s="15" t="s">
        <v>47</v>
      </c>
      <c r="D1117" s="15">
        <v>1560</v>
      </c>
      <c r="E1117" s="28">
        <v>400</v>
      </c>
      <c r="F1117" s="15" t="s">
        <v>8</v>
      </c>
      <c r="G1117" s="45">
        <v>22</v>
      </c>
      <c r="H1117" s="15">
        <v>25</v>
      </c>
      <c r="I1117" s="45">
        <v>0</v>
      </c>
      <c r="J1117" s="54">
        <v>0</v>
      </c>
      <c r="K1117" s="1">
        <f t="shared" ref="K1117" si="908">(IF(F1117="SELL",G1117-H1117,IF(F1117="BUY",H1117-G1117)))*E1117</f>
        <v>1200</v>
      </c>
      <c r="L1117" s="51">
        <v>0</v>
      </c>
      <c r="M1117" s="51">
        <v>0</v>
      </c>
      <c r="N1117" s="1">
        <f t="shared" si="870"/>
        <v>3</v>
      </c>
      <c r="O1117" s="1">
        <f t="shared" si="876"/>
        <v>1200</v>
      </c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</row>
    <row r="1118" spans="1:33" s="32" customFormat="1" ht="15" customHeight="1">
      <c r="A1118" s="27">
        <v>43453</v>
      </c>
      <c r="B1118" s="15" t="s">
        <v>392</v>
      </c>
      <c r="C1118" s="15" t="s">
        <v>47</v>
      </c>
      <c r="D1118" s="15">
        <v>230</v>
      </c>
      <c r="E1118" s="28">
        <v>2500</v>
      </c>
      <c r="F1118" s="15" t="s">
        <v>8</v>
      </c>
      <c r="G1118" s="45">
        <v>3.5</v>
      </c>
      <c r="H1118" s="15">
        <v>4</v>
      </c>
      <c r="I1118" s="45">
        <v>0</v>
      </c>
      <c r="J1118" s="54">
        <v>0</v>
      </c>
      <c r="K1118" s="1">
        <f t="shared" ref="K1118" si="909">(IF(F1118="SELL",G1118-H1118,IF(F1118="BUY",H1118-G1118)))*E1118</f>
        <v>1250</v>
      </c>
      <c r="L1118" s="51">
        <v>0</v>
      </c>
      <c r="M1118" s="51">
        <v>0</v>
      </c>
      <c r="N1118" s="1">
        <f t="shared" si="870"/>
        <v>0.5</v>
      </c>
      <c r="O1118" s="1">
        <f t="shared" si="876"/>
        <v>1250</v>
      </c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</row>
    <row r="1119" spans="1:33" s="32" customFormat="1" ht="15" customHeight="1">
      <c r="A1119" s="27">
        <v>43452</v>
      </c>
      <c r="B1119" s="15" t="s">
        <v>391</v>
      </c>
      <c r="C1119" s="15" t="s">
        <v>47</v>
      </c>
      <c r="D1119" s="15">
        <v>440</v>
      </c>
      <c r="E1119" s="28">
        <v>1100</v>
      </c>
      <c r="F1119" s="15" t="s">
        <v>8</v>
      </c>
      <c r="G1119" s="45">
        <v>7.6</v>
      </c>
      <c r="H1119" s="15">
        <v>8.85</v>
      </c>
      <c r="I1119" s="45">
        <v>0</v>
      </c>
      <c r="J1119" s="54">
        <v>0</v>
      </c>
      <c r="K1119" s="1">
        <f t="shared" ref="K1119" si="910">(IF(F1119="SELL",G1119-H1119,IF(F1119="BUY",H1119-G1119)))*E1119</f>
        <v>1375</v>
      </c>
      <c r="L1119" s="51">
        <v>0</v>
      </c>
      <c r="M1119" s="51">
        <v>0</v>
      </c>
      <c r="N1119" s="1">
        <f t="shared" si="870"/>
        <v>1.25</v>
      </c>
      <c r="O1119" s="1">
        <f t="shared" si="876"/>
        <v>1375</v>
      </c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</row>
    <row r="1120" spans="1:33" s="32" customFormat="1" ht="15" customHeight="1">
      <c r="A1120" s="27">
        <v>43452</v>
      </c>
      <c r="B1120" s="15" t="s">
        <v>96</v>
      </c>
      <c r="C1120" s="15" t="s">
        <v>47</v>
      </c>
      <c r="D1120" s="15">
        <v>770</v>
      </c>
      <c r="E1120" s="28">
        <v>1000</v>
      </c>
      <c r="F1120" s="15" t="s">
        <v>8</v>
      </c>
      <c r="G1120" s="45">
        <v>13</v>
      </c>
      <c r="H1120" s="15">
        <v>14.35</v>
      </c>
      <c r="I1120" s="45">
        <v>0</v>
      </c>
      <c r="J1120" s="54">
        <v>0</v>
      </c>
      <c r="K1120" s="1">
        <f t="shared" ref="K1120:K1121" si="911">(IF(F1120="SELL",G1120-H1120,IF(F1120="BUY",H1120-G1120)))*E1120</f>
        <v>1349.9999999999995</v>
      </c>
      <c r="L1120" s="51">
        <v>0</v>
      </c>
      <c r="M1120" s="51">
        <v>0</v>
      </c>
      <c r="N1120" s="1">
        <f t="shared" si="870"/>
        <v>1.3499999999999996</v>
      </c>
      <c r="O1120" s="1">
        <f t="shared" si="876"/>
        <v>1349.9999999999995</v>
      </c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</row>
    <row r="1121" spans="1:33" s="32" customFormat="1" ht="15" customHeight="1">
      <c r="A1121" s="27">
        <v>43451</v>
      </c>
      <c r="B1121" s="15" t="s">
        <v>390</v>
      </c>
      <c r="C1121" s="15" t="s">
        <v>47</v>
      </c>
      <c r="D1121" s="15">
        <v>840</v>
      </c>
      <c r="E1121" s="28">
        <v>700</v>
      </c>
      <c r="F1121" s="15" t="s">
        <v>8</v>
      </c>
      <c r="G1121" s="45">
        <v>16.5</v>
      </c>
      <c r="H1121" s="15">
        <v>19</v>
      </c>
      <c r="I1121" s="45">
        <v>23</v>
      </c>
      <c r="J1121" s="54">
        <v>0</v>
      </c>
      <c r="K1121" s="1">
        <f t="shared" si="911"/>
        <v>1750</v>
      </c>
      <c r="L1121" s="51">
        <f>(IF(F1121="SELL",IF(I1121="",0,H1121-I1121),IF(F1121="BUY",IF(I1121="",0,I1121-H1121))))*E1121</f>
        <v>2800</v>
      </c>
      <c r="M1121" s="51">
        <v>0</v>
      </c>
      <c r="N1121" s="1">
        <f t="shared" si="870"/>
        <v>6.5</v>
      </c>
      <c r="O1121" s="1">
        <f t="shared" si="876"/>
        <v>4550</v>
      </c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</row>
    <row r="1122" spans="1:33" s="32" customFormat="1" ht="15" customHeight="1">
      <c r="A1122" s="27">
        <v>43451</v>
      </c>
      <c r="B1122" s="15" t="s">
        <v>390</v>
      </c>
      <c r="C1122" s="15" t="s">
        <v>47</v>
      </c>
      <c r="D1122" s="15">
        <v>840</v>
      </c>
      <c r="E1122" s="28">
        <v>700</v>
      </c>
      <c r="F1122" s="15" t="s">
        <v>8</v>
      </c>
      <c r="G1122" s="45">
        <v>12</v>
      </c>
      <c r="H1122" s="15">
        <v>15</v>
      </c>
      <c r="I1122" s="45">
        <v>0</v>
      </c>
      <c r="J1122" s="54">
        <v>0</v>
      </c>
      <c r="K1122" s="1">
        <f t="shared" ref="K1122" si="912">(IF(F1122="SELL",G1122-H1122,IF(F1122="BUY",H1122-G1122)))*E1122</f>
        <v>2100</v>
      </c>
      <c r="L1122" s="51">
        <v>0</v>
      </c>
      <c r="M1122" s="51">
        <v>0</v>
      </c>
      <c r="N1122" s="1">
        <f t="shared" si="870"/>
        <v>3</v>
      </c>
      <c r="O1122" s="1">
        <f t="shared" si="876"/>
        <v>2100</v>
      </c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</row>
    <row r="1123" spans="1:33" s="32" customFormat="1" ht="15" customHeight="1">
      <c r="A1123" s="27">
        <v>43451</v>
      </c>
      <c r="B1123" s="15" t="s">
        <v>389</v>
      </c>
      <c r="C1123" s="15" t="s">
        <v>47</v>
      </c>
      <c r="D1123" s="15">
        <v>150</v>
      </c>
      <c r="E1123" s="28">
        <v>3750</v>
      </c>
      <c r="F1123" s="15" t="s">
        <v>8</v>
      </c>
      <c r="G1123" s="45">
        <v>2.6</v>
      </c>
      <c r="H1123" s="15">
        <v>3.1</v>
      </c>
      <c r="I1123" s="45">
        <v>0</v>
      </c>
      <c r="J1123" s="54">
        <v>0</v>
      </c>
      <c r="K1123" s="1">
        <f t="shared" ref="K1123" si="913">(IF(F1123="SELL",G1123-H1123,IF(F1123="BUY",H1123-G1123)))*E1123</f>
        <v>1875</v>
      </c>
      <c r="L1123" s="51">
        <v>0</v>
      </c>
      <c r="M1123" s="51">
        <v>0</v>
      </c>
      <c r="N1123" s="1">
        <f t="shared" si="870"/>
        <v>0.5</v>
      </c>
      <c r="O1123" s="1">
        <f t="shared" si="876"/>
        <v>1875</v>
      </c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</row>
    <row r="1124" spans="1:33" s="32" customFormat="1" ht="15" customHeight="1">
      <c r="A1124" s="27">
        <v>43448</v>
      </c>
      <c r="B1124" s="15" t="s">
        <v>388</v>
      </c>
      <c r="C1124" s="15" t="s">
        <v>47</v>
      </c>
      <c r="D1124" s="15">
        <v>320</v>
      </c>
      <c r="E1124" s="28">
        <v>1700</v>
      </c>
      <c r="F1124" s="15" t="s">
        <v>8</v>
      </c>
      <c r="G1124" s="45">
        <v>11</v>
      </c>
      <c r="H1124" s="15">
        <v>12</v>
      </c>
      <c r="I1124" s="45">
        <v>0</v>
      </c>
      <c r="J1124" s="54">
        <v>0</v>
      </c>
      <c r="K1124" s="1">
        <f t="shared" ref="K1124" si="914">(IF(F1124="SELL",G1124-H1124,IF(F1124="BUY",H1124-G1124)))*E1124</f>
        <v>1700</v>
      </c>
      <c r="L1124" s="51">
        <v>0</v>
      </c>
      <c r="M1124" s="51">
        <v>0</v>
      </c>
      <c r="N1124" s="1">
        <f t="shared" si="870"/>
        <v>1</v>
      </c>
      <c r="O1124" s="1">
        <f t="shared" si="876"/>
        <v>1700</v>
      </c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</row>
    <row r="1125" spans="1:33" s="32" customFormat="1" ht="15" customHeight="1">
      <c r="A1125" s="27">
        <v>43448</v>
      </c>
      <c r="B1125" s="15" t="s">
        <v>387</v>
      </c>
      <c r="C1125" s="15" t="s">
        <v>47</v>
      </c>
      <c r="D1125" s="15">
        <v>2250</v>
      </c>
      <c r="E1125" s="28">
        <v>500</v>
      </c>
      <c r="F1125" s="15" t="s">
        <v>8</v>
      </c>
      <c r="G1125" s="45">
        <v>40.299999999999997</v>
      </c>
      <c r="H1125" s="15">
        <v>44</v>
      </c>
      <c r="I1125" s="45">
        <v>49</v>
      </c>
      <c r="J1125" s="54">
        <v>0</v>
      </c>
      <c r="K1125" s="1">
        <f t="shared" ref="K1125" si="915">(IF(F1125="SELL",G1125-H1125,IF(F1125="BUY",H1125-G1125)))*E1125</f>
        <v>1850.0000000000014</v>
      </c>
      <c r="L1125" s="51">
        <f>(IF(F1125="SELL",IF(I1125="",0,H1125-I1125),IF(F1125="BUY",IF(I1125="",0,I1125-H1125))))*E1125</f>
        <v>2500</v>
      </c>
      <c r="M1125" s="51">
        <v>0</v>
      </c>
      <c r="N1125" s="1">
        <f t="shared" si="870"/>
        <v>8.7000000000000028</v>
      </c>
      <c r="O1125" s="1">
        <f t="shared" si="876"/>
        <v>4350.0000000000018</v>
      </c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</row>
    <row r="1126" spans="1:33" s="32" customFormat="1" ht="15" customHeight="1">
      <c r="A1126" s="27">
        <v>43447</v>
      </c>
      <c r="B1126" s="15" t="s">
        <v>386</v>
      </c>
      <c r="C1126" s="15" t="s">
        <v>47</v>
      </c>
      <c r="D1126" s="15">
        <v>960</v>
      </c>
      <c r="E1126" s="28">
        <v>750</v>
      </c>
      <c r="F1126" s="15" t="s">
        <v>8</v>
      </c>
      <c r="G1126" s="45">
        <v>17.350000000000001</v>
      </c>
      <c r="H1126" s="15">
        <v>19.350000000000001</v>
      </c>
      <c r="I1126" s="45">
        <v>23</v>
      </c>
      <c r="J1126" s="54">
        <v>27</v>
      </c>
      <c r="K1126" s="1">
        <f t="shared" ref="K1126" si="916">(IF(F1126="SELL",G1126-H1126,IF(F1126="BUY",H1126-G1126)))*E1126</f>
        <v>1500</v>
      </c>
      <c r="L1126" s="51">
        <f>(IF(F1126="SELL",IF(I1126="",0,H1126-I1126),IF(F1126="BUY",IF(I1126="",0,I1126-H1126))))*E1126</f>
        <v>2737.4999999999991</v>
      </c>
      <c r="M1126" s="51">
        <v>3000</v>
      </c>
      <c r="N1126" s="1">
        <f t="shared" ref="N1126:N1189" si="917">(L1126+K1126+M1126)/E1126</f>
        <v>9.6499999999999986</v>
      </c>
      <c r="O1126" s="1">
        <f t="shared" si="876"/>
        <v>7237.4999999999991</v>
      </c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</row>
    <row r="1127" spans="1:33" s="32" customFormat="1" ht="15" customHeight="1">
      <c r="A1127" s="27">
        <v>43447</v>
      </c>
      <c r="B1127" s="15" t="s">
        <v>385</v>
      </c>
      <c r="C1127" s="15" t="s">
        <v>47</v>
      </c>
      <c r="D1127" s="15">
        <v>900</v>
      </c>
      <c r="E1127" s="28">
        <v>600</v>
      </c>
      <c r="F1127" s="15" t="s">
        <v>8</v>
      </c>
      <c r="G1127" s="45">
        <v>15</v>
      </c>
      <c r="H1127" s="15">
        <v>16.8</v>
      </c>
      <c r="I1127" s="45">
        <v>0</v>
      </c>
      <c r="J1127" s="54">
        <v>0</v>
      </c>
      <c r="K1127" s="1">
        <f t="shared" ref="K1127:K1128" si="918">(IF(F1127="SELL",G1127-H1127,IF(F1127="BUY",H1127-G1127)))*E1127</f>
        <v>1080.0000000000005</v>
      </c>
      <c r="L1127" s="51">
        <v>0</v>
      </c>
      <c r="M1127" s="51">
        <v>0</v>
      </c>
      <c r="N1127" s="1">
        <f t="shared" si="917"/>
        <v>1.8000000000000007</v>
      </c>
      <c r="O1127" s="1">
        <f t="shared" si="876"/>
        <v>1080.0000000000005</v>
      </c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</row>
    <row r="1128" spans="1:33" s="32" customFormat="1" ht="15" customHeight="1">
      <c r="A1128" s="27">
        <v>43446</v>
      </c>
      <c r="B1128" s="15" t="s">
        <v>384</v>
      </c>
      <c r="C1128" s="15" t="s">
        <v>47</v>
      </c>
      <c r="D1128" s="15">
        <v>225</v>
      </c>
      <c r="E1128" s="28">
        <v>3500</v>
      </c>
      <c r="F1128" s="15" t="s">
        <v>8</v>
      </c>
      <c r="G1128" s="45">
        <v>5.5</v>
      </c>
      <c r="H1128" s="15">
        <v>5.8</v>
      </c>
      <c r="I1128" s="45">
        <v>0</v>
      </c>
      <c r="J1128" s="54">
        <v>0</v>
      </c>
      <c r="K1128" s="1">
        <f t="shared" si="918"/>
        <v>1049.9999999999993</v>
      </c>
      <c r="L1128" s="51">
        <v>0</v>
      </c>
      <c r="M1128" s="51">
        <v>0</v>
      </c>
      <c r="N1128" s="1">
        <f t="shared" si="917"/>
        <v>0.29999999999999982</v>
      </c>
      <c r="O1128" s="1">
        <f t="shared" si="876"/>
        <v>1049.9999999999993</v>
      </c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</row>
    <row r="1129" spans="1:33" s="32" customFormat="1" ht="15" customHeight="1">
      <c r="A1129" s="27">
        <v>43445</v>
      </c>
      <c r="B1129" s="15" t="s">
        <v>383</v>
      </c>
      <c r="C1129" s="15" t="s">
        <v>46</v>
      </c>
      <c r="D1129" s="15">
        <v>245</v>
      </c>
      <c r="E1129" s="28">
        <v>2000</v>
      </c>
      <c r="F1129" s="15" t="s">
        <v>8</v>
      </c>
      <c r="G1129" s="45">
        <v>10</v>
      </c>
      <c r="H1129" s="15">
        <v>8</v>
      </c>
      <c r="I1129" s="45">
        <v>0</v>
      </c>
      <c r="J1129" s="54">
        <v>0</v>
      </c>
      <c r="K1129" s="1">
        <f t="shared" ref="K1129" si="919">(IF(F1129="SELL",G1129-H1129,IF(F1129="BUY",H1129-G1129)))*E1129</f>
        <v>-4000</v>
      </c>
      <c r="L1129" s="51">
        <v>0</v>
      </c>
      <c r="M1129" s="51">
        <v>0</v>
      </c>
      <c r="N1129" s="1">
        <f t="shared" si="917"/>
        <v>-2</v>
      </c>
      <c r="O1129" s="1">
        <f t="shared" si="876"/>
        <v>-4000</v>
      </c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</row>
    <row r="1130" spans="1:33" s="32" customFormat="1" ht="15" customHeight="1">
      <c r="A1130" s="27">
        <v>43444</v>
      </c>
      <c r="B1130" s="15" t="s">
        <v>382</v>
      </c>
      <c r="C1130" s="15" t="s">
        <v>47</v>
      </c>
      <c r="D1130" s="15">
        <v>620</v>
      </c>
      <c r="E1130" s="28">
        <v>1100</v>
      </c>
      <c r="F1130" s="15" t="s">
        <v>8</v>
      </c>
      <c r="G1130" s="45">
        <v>24.55</v>
      </c>
      <c r="H1130" s="15">
        <v>20</v>
      </c>
      <c r="I1130" s="45">
        <v>0</v>
      </c>
      <c r="J1130" s="54">
        <v>0</v>
      </c>
      <c r="K1130" s="1">
        <f t="shared" ref="K1130" si="920">(IF(F1130="SELL",G1130-H1130,IF(F1130="BUY",H1130-G1130)))*E1130</f>
        <v>-5005.0000000000009</v>
      </c>
      <c r="L1130" s="51">
        <v>0</v>
      </c>
      <c r="M1130" s="51">
        <v>0</v>
      </c>
      <c r="N1130" s="1">
        <f t="shared" si="917"/>
        <v>-4.5500000000000007</v>
      </c>
      <c r="O1130" s="1">
        <f t="shared" si="876"/>
        <v>-5005.0000000000009</v>
      </c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</row>
    <row r="1131" spans="1:33" s="32" customFormat="1" ht="15" customHeight="1">
      <c r="A1131" s="27">
        <v>43441</v>
      </c>
      <c r="B1131" s="15" t="s">
        <v>381</v>
      </c>
      <c r="C1131" s="15" t="s">
        <v>47</v>
      </c>
      <c r="D1131" s="15">
        <v>1100</v>
      </c>
      <c r="E1131" s="28">
        <v>600</v>
      </c>
      <c r="F1131" s="15" t="s">
        <v>8</v>
      </c>
      <c r="G1131" s="45">
        <v>45</v>
      </c>
      <c r="H1131" s="15">
        <v>48</v>
      </c>
      <c r="I1131" s="45">
        <v>0</v>
      </c>
      <c r="J1131" s="54">
        <v>0</v>
      </c>
      <c r="K1131" s="1">
        <f t="shared" ref="K1131" si="921">(IF(F1131="SELL",G1131-H1131,IF(F1131="BUY",H1131-G1131)))*E1131</f>
        <v>1800</v>
      </c>
      <c r="L1131" s="51">
        <v>0</v>
      </c>
      <c r="M1131" s="51">
        <v>0</v>
      </c>
      <c r="N1131" s="1">
        <f t="shared" si="917"/>
        <v>3</v>
      </c>
      <c r="O1131" s="1">
        <f t="shared" si="876"/>
        <v>1800</v>
      </c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</row>
    <row r="1132" spans="1:33" s="32" customFormat="1" ht="15" customHeight="1">
      <c r="A1132" s="27">
        <v>43441</v>
      </c>
      <c r="B1132" s="15" t="s">
        <v>380</v>
      </c>
      <c r="C1132" s="15" t="s">
        <v>47</v>
      </c>
      <c r="D1132" s="15">
        <v>81</v>
      </c>
      <c r="E1132" s="28">
        <v>9000</v>
      </c>
      <c r="F1132" s="15" t="s">
        <v>8</v>
      </c>
      <c r="G1132" s="45">
        <v>3</v>
      </c>
      <c r="H1132" s="15">
        <v>2.4</v>
      </c>
      <c r="I1132" s="45">
        <v>0</v>
      </c>
      <c r="J1132" s="54">
        <v>0</v>
      </c>
      <c r="K1132" s="1">
        <f t="shared" ref="K1132" si="922">(IF(F1132="SELL",G1132-H1132,IF(F1132="BUY",H1132-G1132)))*E1132</f>
        <v>-5400.0000000000009</v>
      </c>
      <c r="L1132" s="51">
        <v>0</v>
      </c>
      <c r="M1132" s="51">
        <v>0</v>
      </c>
      <c r="N1132" s="1">
        <f t="shared" si="917"/>
        <v>-0.60000000000000009</v>
      </c>
      <c r="O1132" s="1">
        <f t="shared" si="876"/>
        <v>-5400.0000000000009</v>
      </c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</row>
    <row r="1133" spans="1:33" s="32" customFormat="1" ht="15" customHeight="1">
      <c r="A1133" s="27">
        <v>43440</v>
      </c>
      <c r="B1133" s="15" t="s">
        <v>379</v>
      </c>
      <c r="C1133" s="15" t="s">
        <v>47</v>
      </c>
      <c r="D1133" s="15">
        <v>650</v>
      </c>
      <c r="E1133" s="28">
        <v>1250</v>
      </c>
      <c r="F1133" s="15" t="s">
        <v>8</v>
      </c>
      <c r="G1133" s="45">
        <v>21.6</v>
      </c>
      <c r="H1133" s="15">
        <v>24</v>
      </c>
      <c r="I1133" s="45">
        <v>0</v>
      </c>
      <c r="J1133" s="54">
        <v>0</v>
      </c>
      <c r="K1133" s="1">
        <f t="shared" ref="K1133" si="923">(IF(F1133="SELL",G1133-H1133,IF(F1133="BUY",H1133-G1133)))*E1133</f>
        <v>2999.9999999999982</v>
      </c>
      <c r="L1133" s="51">
        <v>0</v>
      </c>
      <c r="M1133" s="51">
        <v>0</v>
      </c>
      <c r="N1133" s="1">
        <f t="shared" si="917"/>
        <v>2.3999999999999986</v>
      </c>
      <c r="O1133" s="1">
        <f t="shared" si="876"/>
        <v>2999.9999999999982</v>
      </c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</row>
    <row r="1134" spans="1:33" s="32" customFormat="1" ht="15" customHeight="1">
      <c r="A1134" s="27">
        <v>43440</v>
      </c>
      <c r="B1134" s="15" t="s">
        <v>198</v>
      </c>
      <c r="C1134" s="15" t="s">
        <v>46</v>
      </c>
      <c r="D1134" s="15">
        <v>275</v>
      </c>
      <c r="E1134" s="28">
        <v>3000</v>
      </c>
      <c r="F1134" s="15" t="s">
        <v>8</v>
      </c>
      <c r="G1134" s="45">
        <v>8.5</v>
      </c>
      <c r="H1134" s="15">
        <v>9</v>
      </c>
      <c r="I1134" s="45">
        <v>0</v>
      </c>
      <c r="J1134" s="54">
        <v>0</v>
      </c>
      <c r="K1134" s="1">
        <f t="shared" ref="K1134" si="924">(IF(F1134="SELL",G1134-H1134,IF(F1134="BUY",H1134-G1134)))*E1134</f>
        <v>1500</v>
      </c>
      <c r="L1134" s="51">
        <v>0</v>
      </c>
      <c r="M1134" s="51">
        <v>0</v>
      </c>
      <c r="N1134" s="1">
        <f t="shared" si="917"/>
        <v>0.5</v>
      </c>
      <c r="O1134" s="1">
        <f t="shared" si="876"/>
        <v>1500</v>
      </c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</row>
    <row r="1135" spans="1:33" s="32" customFormat="1" ht="15" customHeight="1">
      <c r="A1135" s="27">
        <v>43440</v>
      </c>
      <c r="B1135" s="15" t="s">
        <v>378</v>
      </c>
      <c r="C1135" s="15" t="s">
        <v>47</v>
      </c>
      <c r="D1135" s="15">
        <v>280</v>
      </c>
      <c r="E1135" s="28">
        <v>1200</v>
      </c>
      <c r="F1135" s="15" t="s">
        <v>8</v>
      </c>
      <c r="G1135" s="45">
        <v>25</v>
      </c>
      <c r="H1135" s="15">
        <v>26</v>
      </c>
      <c r="I1135" s="45">
        <v>0</v>
      </c>
      <c r="J1135" s="54">
        <v>0</v>
      </c>
      <c r="K1135" s="1">
        <f t="shared" ref="K1135" si="925">(IF(F1135="SELL",G1135-H1135,IF(F1135="BUY",H1135-G1135)))*E1135</f>
        <v>1200</v>
      </c>
      <c r="L1135" s="51">
        <v>0</v>
      </c>
      <c r="M1135" s="51">
        <v>0</v>
      </c>
      <c r="N1135" s="1">
        <f t="shared" si="917"/>
        <v>1</v>
      </c>
      <c r="O1135" s="1">
        <f t="shared" si="876"/>
        <v>1200</v>
      </c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</row>
    <row r="1136" spans="1:33" s="32" customFormat="1" ht="15" customHeight="1">
      <c r="A1136" s="27">
        <v>43439</v>
      </c>
      <c r="B1136" s="15" t="s">
        <v>116</v>
      </c>
      <c r="C1136" s="15" t="s">
        <v>47</v>
      </c>
      <c r="D1136" s="15">
        <v>171</v>
      </c>
      <c r="E1136" s="28">
        <v>4000</v>
      </c>
      <c r="F1136" s="15" t="s">
        <v>8</v>
      </c>
      <c r="G1136" s="45">
        <v>4.55</v>
      </c>
      <c r="H1136" s="15">
        <v>5</v>
      </c>
      <c r="I1136" s="45">
        <v>0</v>
      </c>
      <c r="J1136" s="54">
        <v>0</v>
      </c>
      <c r="K1136" s="1">
        <f t="shared" ref="K1136" si="926">(IF(F1136="SELL",G1136-H1136,IF(F1136="BUY",H1136-G1136)))*E1136</f>
        <v>1800.0000000000007</v>
      </c>
      <c r="L1136" s="51">
        <v>0</v>
      </c>
      <c r="M1136" s="51">
        <v>0</v>
      </c>
      <c r="N1136" s="1">
        <f t="shared" si="917"/>
        <v>0.45000000000000018</v>
      </c>
      <c r="O1136" s="1">
        <f t="shared" si="876"/>
        <v>1800.0000000000007</v>
      </c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</row>
    <row r="1137" spans="1:33" s="32" customFormat="1" ht="15" customHeight="1">
      <c r="A1137" s="27">
        <v>43439</v>
      </c>
      <c r="B1137" s="15" t="s">
        <v>377</v>
      </c>
      <c r="C1137" s="15" t="s">
        <v>46</v>
      </c>
      <c r="D1137" s="15">
        <v>1200</v>
      </c>
      <c r="E1137" s="28">
        <v>700</v>
      </c>
      <c r="F1137" s="15" t="s">
        <v>8</v>
      </c>
      <c r="G1137" s="45">
        <v>42.05</v>
      </c>
      <c r="H1137" s="15">
        <v>45</v>
      </c>
      <c r="I1137" s="45">
        <v>0</v>
      </c>
      <c r="J1137" s="54">
        <v>0</v>
      </c>
      <c r="K1137" s="1">
        <f t="shared" ref="K1137" si="927">(IF(F1137="SELL",G1137-H1137,IF(F1137="BUY",H1137-G1137)))*E1137</f>
        <v>2065.0000000000018</v>
      </c>
      <c r="L1137" s="51">
        <v>0</v>
      </c>
      <c r="M1137" s="51">
        <v>0</v>
      </c>
      <c r="N1137" s="1">
        <f t="shared" si="917"/>
        <v>2.9500000000000024</v>
      </c>
      <c r="O1137" s="1">
        <f t="shared" ref="O1137:O1200" si="928">N1137*E1137</f>
        <v>2065.0000000000018</v>
      </c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</row>
    <row r="1138" spans="1:33" s="32" customFormat="1" ht="15" customHeight="1">
      <c r="A1138" s="27">
        <v>43438</v>
      </c>
      <c r="B1138" s="15" t="s">
        <v>314</v>
      </c>
      <c r="C1138" s="15" t="s">
        <v>46</v>
      </c>
      <c r="D1138" s="15">
        <v>1920</v>
      </c>
      <c r="E1138" s="28">
        <v>500</v>
      </c>
      <c r="F1138" s="15" t="s">
        <v>8</v>
      </c>
      <c r="G1138" s="45">
        <v>32.049999999999997</v>
      </c>
      <c r="H1138" s="15">
        <v>36</v>
      </c>
      <c r="I1138" s="45">
        <v>42</v>
      </c>
      <c r="J1138" s="54">
        <v>0</v>
      </c>
      <c r="K1138" s="1">
        <f t="shared" ref="K1138" si="929">(IF(F1138="SELL",G1138-H1138,IF(F1138="BUY",H1138-G1138)))*E1138</f>
        <v>1975.0000000000014</v>
      </c>
      <c r="L1138" s="51">
        <f>(IF(F1138="SELL",IF(I1138="",0,H1138-I1138),IF(F1138="BUY",IF(I1138="",0,I1138-H1138))))*E1138</f>
        <v>3000</v>
      </c>
      <c r="M1138" s="51">
        <v>0</v>
      </c>
      <c r="N1138" s="1">
        <f t="shared" si="917"/>
        <v>9.9500000000000028</v>
      </c>
      <c r="O1138" s="1">
        <f t="shared" si="928"/>
        <v>4975.0000000000018</v>
      </c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</row>
    <row r="1139" spans="1:33" s="32" customFormat="1" ht="15" customHeight="1">
      <c r="A1139" s="27">
        <v>43437</v>
      </c>
      <c r="B1139" s="15" t="s">
        <v>376</v>
      </c>
      <c r="C1139" s="15" t="s">
        <v>47</v>
      </c>
      <c r="D1139" s="15">
        <v>160</v>
      </c>
      <c r="E1139" s="28">
        <v>4500</v>
      </c>
      <c r="F1139" s="15" t="s">
        <v>8</v>
      </c>
      <c r="G1139" s="45">
        <v>6.65</v>
      </c>
      <c r="H1139" s="15">
        <v>7</v>
      </c>
      <c r="I1139" s="45">
        <v>7.5</v>
      </c>
      <c r="J1139" s="54">
        <v>0</v>
      </c>
      <c r="K1139" s="1">
        <f t="shared" ref="K1139" si="930">(IF(F1139="SELL",G1139-H1139,IF(F1139="BUY",H1139-G1139)))*E1139</f>
        <v>1574.9999999999984</v>
      </c>
      <c r="L1139" s="51">
        <f>(IF(F1139="SELL",IF(I1139="",0,H1139-I1139),IF(F1139="BUY",IF(I1139="",0,I1139-H1139))))*E1139</f>
        <v>2250</v>
      </c>
      <c r="M1139" s="51">
        <v>0</v>
      </c>
      <c r="N1139" s="1">
        <f t="shared" si="917"/>
        <v>0.84999999999999964</v>
      </c>
      <c r="O1139" s="1">
        <f t="shared" si="928"/>
        <v>3824.9999999999982</v>
      </c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</row>
    <row r="1140" spans="1:33" s="32" customFormat="1" ht="15" customHeight="1">
      <c r="A1140" s="27">
        <v>43437</v>
      </c>
      <c r="B1140" s="15" t="s">
        <v>198</v>
      </c>
      <c r="C1140" s="15" t="s">
        <v>47</v>
      </c>
      <c r="D1140" s="15">
        <v>290</v>
      </c>
      <c r="E1140" s="28">
        <v>3000</v>
      </c>
      <c r="F1140" s="15" t="s">
        <v>8</v>
      </c>
      <c r="G1140" s="45">
        <v>8.6</v>
      </c>
      <c r="H1140" s="15">
        <v>9</v>
      </c>
      <c r="I1140" s="45">
        <v>9.5</v>
      </c>
      <c r="J1140" s="54">
        <v>0</v>
      </c>
      <c r="K1140" s="1">
        <f t="shared" ref="K1140" si="931">(IF(F1140="SELL",G1140-H1140,IF(F1140="BUY",H1140-G1140)))*E1140</f>
        <v>1200.0000000000011</v>
      </c>
      <c r="L1140" s="51">
        <f>(IF(F1140="SELL",IF(I1140="",0,H1140-I1140),IF(F1140="BUY",IF(I1140="",0,I1140-H1140))))*E1140</f>
        <v>1500</v>
      </c>
      <c r="M1140" s="51">
        <v>0</v>
      </c>
      <c r="N1140" s="1">
        <f t="shared" si="917"/>
        <v>0.90000000000000036</v>
      </c>
      <c r="O1140" s="1">
        <f t="shared" si="928"/>
        <v>2700.0000000000009</v>
      </c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</row>
    <row r="1141" spans="1:33" s="32" customFormat="1" ht="15" customHeight="1">
      <c r="A1141" s="27">
        <v>43437</v>
      </c>
      <c r="B1141" s="15" t="s">
        <v>375</v>
      </c>
      <c r="C1141" s="15" t="s">
        <v>47</v>
      </c>
      <c r="D1141" s="15">
        <v>70</v>
      </c>
      <c r="E1141" s="28">
        <v>5500</v>
      </c>
      <c r="F1141" s="15" t="s">
        <v>8</v>
      </c>
      <c r="G1141" s="45">
        <v>4.25</v>
      </c>
      <c r="H1141" s="15">
        <v>4.7</v>
      </c>
      <c r="I1141" s="45">
        <v>0</v>
      </c>
      <c r="J1141" s="54">
        <v>0</v>
      </c>
      <c r="K1141" s="1">
        <f t="shared" ref="K1141" si="932">(IF(F1141="SELL",G1141-H1141,IF(F1141="BUY",H1141-G1141)))*E1141</f>
        <v>2475.0000000000009</v>
      </c>
      <c r="L1141" s="51">
        <v>0</v>
      </c>
      <c r="M1141" s="51">
        <v>0</v>
      </c>
      <c r="N1141" s="1">
        <f t="shared" si="917"/>
        <v>0.45000000000000018</v>
      </c>
      <c r="O1141" s="1">
        <f t="shared" si="928"/>
        <v>2475.0000000000009</v>
      </c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</row>
    <row r="1142" spans="1:33" s="32" customFormat="1" ht="15" customHeight="1">
      <c r="A1142" s="27">
        <v>43437</v>
      </c>
      <c r="B1142" s="15" t="s">
        <v>208</v>
      </c>
      <c r="C1142" s="15" t="s">
        <v>47</v>
      </c>
      <c r="D1142" s="15">
        <v>1460</v>
      </c>
      <c r="E1142" s="28">
        <v>400</v>
      </c>
      <c r="F1142" s="15" t="s">
        <v>8</v>
      </c>
      <c r="G1142" s="45">
        <v>51</v>
      </c>
      <c r="H1142" s="15">
        <v>55</v>
      </c>
      <c r="I1142" s="45">
        <v>0</v>
      </c>
      <c r="J1142" s="54">
        <v>0</v>
      </c>
      <c r="K1142" s="1">
        <f t="shared" ref="K1142" si="933">(IF(F1142="SELL",G1142-H1142,IF(F1142="BUY",H1142-G1142)))*E1142</f>
        <v>1600</v>
      </c>
      <c r="L1142" s="51">
        <v>0</v>
      </c>
      <c r="M1142" s="51">
        <v>0</v>
      </c>
      <c r="N1142" s="1">
        <f t="shared" si="917"/>
        <v>4</v>
      </c>
      <c r="O1142" s="1">
        <f t="shared" si="928"/>
        <v>1600</v>
      </c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</row>
    <row r="1143" spans="1:33" s="32" customFormat="1" ht="15" customHeight="1">
      <c r="A1143" s="27">
        <v>43437</v>
      </c>
      <c r="B1143" s="15" t="s">
        <v>195</v>
      </c>
      <c r="C1143" s="15" t="s">
        <v>47</v>
      </c>
      <c r="D1143" s="15">
        <v>550</v>
      </c>
      <c r="E1143" s="28">
        <v>1061</v>
      </c>
      <c r="F1143" s="15" t="s">
        <v>8</v>
      </c>
      <c r="G1143" s="45">
        <v>16.2</v>
      </c>
      <c r="H1143" s="15">
        <v>17.2</v>
      </c>
      <c r="I1143" s="45">
        <v>0</v>
      </c>
      <c r="J1143" s="54">
        <v>0</v>
      </c>
      <c r="K1143" s="1">
        <f t="shared" ref="K1143" si="934">(IF(F1143="SELL",G1143-H1143,IF(F1143="BUY",H1143-G1143)))*E1143</f>
        <v>1061</v>
      </c>
      <c r="L1143" s="51">
        <v>0</v>
      </c>
      <c r="M1143" s="51">
        <v>0</v>
      </c>
      <c r="N1143" s="1">
        <f t="shared" si="917"/>
        <v>1</v>
      </c>
      <c r="O1143" s="1">
        <f t="shared" si="928"/>
        <v>1061</v>
      </c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</row>
    <row r="1144" spans="1:33" s="32" customFormat="1" ht="15" customHeight="1">
      <c r="A1144" s="27">
        <v>43437</v>
      </c>
      <c r="B1144" s="15" t="s">
        <v>192</v>
      </c>
      <c r="C1144" s="15" t="s">
        <v>47</v>
      </c>
      <c r="D1144" s="15">
        <v>720</v>
      </c>
      <c r="E1144" s="28">
        <v>550</v>
      </c>
      <c r="F1144" s="15" t="s">
        <v>8</v>
      </c>
      <c r="G1144" s="45">
        <v>21</v>
      </c>
      <c r="H1144" s="15">
        <v>15</v>
      </c>
      <c r="I1144" s="45">
        <v>0</v>
      </c>
      <c r="J1144" s="54">
        <v>0</v>
      </c>
      <c r="K1144" s="1">
        <f t="shared" ref="K1144" si="935">(IF(F1144="SELL",G1144-H1144,IF(F1144="BUY",H1144-G1144)))*E1144</f>
        <v>-3300</v>
      </c>
      <c r="L1144" s="51">
        <v>0</v>
      </c>
      <c r="M1144" s="51">
        <v>0</v>
      </c>
      <c r="N1144" s="1">
        <f t="shared" si="917"/>
        <v>-6</v>
      </c>
      <c r="O1144" s="1">
        <f t="shared" si="928"/>
        <v>-3300</v>
      </c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</row>
    <row r="1145" spans="1:33" s="32" customFormat="1" ht="15" customHeight="1">
      <c r="A1145" s="27">
        <v>43434</v>
      </c>
      <c r="B1145" s="15" t="s">
        <v>267</v>
      </c>
      <c r="C1145" s="15" t="s">
        <v>47</v>
      </c>
      <c r="D1145" s="15">
        <v>65</v>
      </c>
      <c r="E1145" s="28">
        <v>7500</v>
      </c>
      <c r="F1145" s="15" t="s">
        <v>8</v>
      </c>
      <c r="G1145" s="45">
        <v>3.5</v>
      </c>
      <c r="H1145" s="15">
        <v>3.8</v>
      </c>
      <c r="I1145" s="45">
        <v>4.2</v>
      </c>
      <c r="J1145" s="54">
        <v>0</v>
      </c>
      <c r="K1145" s="1">
        <f t="shared" ref="K1145" si="936">(IF(F1145="SELL",G1145-H1145,IF(F1145="BUY",H1145-G1145)))*E1145</f>
        <v>2249.9999999999986</v>
      </c>
      <c r="L1145" s="51">
        <f>(IF(F1145="SELL",IF(I1145="",0,H1145-I1145),IF(F1145="BUY",IF(I1145="",0,I1145-H1145))))*E1145</f>
        <v>3000.0000000000027</v>
      </c>
      <c r="M1145" s="51">
        <v>0</v>
      </c>
      <c r="N1145" s="1">
        <f t="shared" si="917"/>
        <v>0.70000000000000029</v>
      </c>
      <c r="O1145" s="1">
        <f t="shared" si="928"/>
        <v>5250.0000000000018</v>
      </c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</row>
    <row r="1146" spans="1:33" s="32" customFormat="1" ht="15" customHeight="1">
      <c r="A1146" s="27">
        <v>43434</v>
      </c>
      <c r="B1146" s="15" t="s">
        <v>224</v>
      </c>
      <c r="C1146" s="15" t="s">
        <v>47</v>
      </c>
      <c r="D1146" s="15">
        <v>340</v>
      </c>
      <c r="E1146" s="28">
        <v>1500</v>
      </c>
      <c r="F1146" s="15" t="s">
        <v>8</v>
      </c>
      <c r="G1146" s="45">
        <v>12</v>
      </c>
      <c r="H1146" s="15">
        <v>13</v>
      </c>
      <c r="I1146" s="45">
        <v>0</v>
      </c>
      <c r="J1146" s="54">
        <v>0</v>
      </c>
      <c r="K1146" s="1">
        <f t="shared" ref="K1146" si="937">(IF(F1146="SELL",G1146-H1146,IF(F1146="BUY",H1146-G1146)))*E1146</f>
        <v>1500</v>
      </c>
      <c r="L1146" s="51">
        <v>0</v>
      </c>
      <c r="M1146" s="51">
        <v>0</v>
      </c>
      <c r="N1146" s="1">
        <f t="shared" si="917"/>
        <v>1</v>
      </c>
      <c r="O1146" s="1">
        <f t="shared" si="928"/>
        <v>1500</v>
      </c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</row>
    <row r="1147" spans="1:33" s="32" customFormat="1" ht="15" customHeight="1">
      <c r="A1147" s="27">
        <v>43433</v>
      </c>
      <c r="B1147" s="15" t="s">
        <v>335</v>
      </c>
      <c r="C1147" s="15" t="s">
        <v>47</v>
      </c>
      <c r="D1147" s="15">
        <v>2250</v>
      </c>
      <c r="E1147" s="28">
        <v>250</v>
      </c>
      <c r="F1147" s="15" t="s">
        <v>8</v>
      </c>
      <c r="G1147" s="45">
        <v>65</v>
      </c>
      <c r="H1147" s="15">
        <v>70</v>
      </c>
      <c r="I1147" s="45">
        <v>0</v>
      </c>
      <c r="J1147" s="54">
        <v>0</v>
      </c>
      <c r="K1147" s="1">
        <f t="shared" ref="K1147" si="938">(IF(F1147="SELL",G1147-H1147,IF(F1147="BUY",H1147-G1147)))*E1147</f>
        <v>1250</v>
      </c>
      <c r="L1147" s="51">
        <v>0</v>
      </c>
      <c r="M1147" s="51">
        <v>0</v>
      </c>
      <c r="N1147" s="1">
        <f t="shared" si="917"/>
        <v>5</v>
      </c>
      <c r="O1147" s="1">
        <f t="shared" si="928"/>
        <v>1250</v>
      </c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</row>
    <row r="1148" spans="1:33" s="32" customFormat="1" ht="15" customHeight="1">
      <c r="A1148" s="27">
        <v>43433</v>
      </c>
      <c r="B1148" s="15" t="s">
        <v>293</v>
      </c>
      <c r="C1148" s="15" t="s">
        <v>46</v>
      </c>
      <c r="D1148" s="15">
        <v>630</v>
      </c>
      <c r="E1148" s="28">
        <v>1200</v>
      </c>
      <c r="F1148" s="15" t="s">
        <v>8</v>
      </c>
      <c r="G1148" s="45">
        <v>6.7</v>
      </c>
      <c r="H1148" s="15">
        <v>8</v>
      </c>
      <c r="I1148" s="45">
        <v>0</v>
      </c>
      <c r="J1148" s="54">
        <v>0</v>
      </c>
      <c r="K1148" s="1">
        <f t="shared" ref="K1148" si="939">(IF(F1148="SELL",G1148-H1148,IF(F1148="BUY",H1148-G1148)))*E1148</f>
        <v>1559.9999999999998</v>
      </c>
      <c r="L1148" s="51">
        <v>0</v>
      </c>
      <c r="M1148" s="51">
        <v>0</v>
      </c>
      <c r="N1148" s="1">
        <f t="shared" si="917"/>
        <v>1.2999999999999998</v>
      </c>
      <c r="O1148" s="1">
        <f t="shared" si="928"/>
        <v>1559.9999999999998</v>
      </c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</row>
    <row r="1149" spans="1:33" s="32" customFormat="1" ht="15" customHeight="1">
      <c r="A1149" s="27">
        <v>43431</v>
      </c>
      <c r="B1149" s="15" t="s">
        <v>335</v>
      </c>
      <c r="C1149" s="15" t="s">
        <v>47</v>
      </c>
      <c r="D1149" s="15">
        <v>1400</v>
      </c>
      <c r="E1149" s="28">
        <v>250</v>
      </c>
      <c r="F1149" s="15" t="s">
        <v>8</v>
      </c>
      <c r="G1149" s="45">
        <v>33</v>
      </c>
      <c r="H1149" s="15">
        <v>36</v>
      </c>
      <c r="I1149" s="45">
        <v>41</v>
      </c>
      <c r="J1149" s="54">
        <v>47</v>
      </c>
      <c r="K1149" s="1">
        <f t="shared" ref="K1149:K1150" si="940">(IF(F1149="SELL",G1149-H1149,IF(F1149="BUY",H1149-G1149)))*E1149</f>
        <v>750</v>
      </c>
      <c r="L1149" s="51">
        <f>(IF(F1149="SELL",IF(I1149="",0,H1149-I1149),IF(F1149="BUY",IF(I1149="",0,I1149-H1149))))*E1149</f>
        <v>1250</v>
      </c>
      <c r="M1149" s="51">
        <v>1500</v>
      </c>
      <c r="N1149" s="1">
        <f t="shared" si="917"/>
        <v>14</v>
      </c>
      <c r="O1149" s="1">
        <f t="shared" si="928"/>
        <v>3500</v>
      </c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</row>
    <row r="1150" spans="1:33" s="32" customFormat="1" ht="15" customHeight="1">
      <c r="A1150" s="27">
        <v>43431</v>
      </c>
      <c r="B1150" s="15" t="s">
        <v>374</v>
      </c>
      <c r="C1150" s="15" t="s">
        <v>47</v>
      </c>
      <c r="D1150" s="15">
        <v>560</v>
      </c>
      <c r="E1150" s="28">
        <v>1200</v>
      </c>
      <c r="F1150" s="15" t="s">
        <v>8</v>
      </c>
      <c r="G1150" s="45">
        <v>11</v>
      </c>
      <c r="H1150" s="15">
        <v>12</v>
      </c>
      <c r="I1150" s="45">
        <v>14</v>
      </c>
      <c r="J1150" s="54">
        <v>16</v>
      </c>
      <c r="K1150" s="1">
        <f t="shared" si="940"/>
        <v>1200</v>
      </c>
      <c r="L1150" s="51">
        <f t="shared" ref="L1150" si="941">(IF(F1150="SELL",IF(I1150="",0,H1150-I1150),IF(F1150="BUY",IF(I1150="",0,I1150-H1150))))*E1150</f>
        <v>2400</v>
      </c>
      <c r="M1150" s="51">
        <v>2400</v>
      </c>
      <c r="N1150" s="1">
        <f t="shared" si="917"/>
        <v>5</v>
      </c>
      <c r="O1150" s="1">
        <f t="shared" si="928"/>
        <v>6000</v>
      </c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</row>
    <row r="1151" spans="1:33" s="32" customFormat="1" ht="15" customHeight="1">
      <c r="A1151" s="27">
        <v>43430</v>
      </c>
      <c r="B1151" s="15" t="s">
        <v>373</v>
      </c>
      <c r="C1151" s="15" t="s">
        <v>47</v>
      </c>
      <c r="D1151" s="15">
        <v>1240</v>
      </c>
      <c r="E1151" s="28">
        <v>500</v>
      </c>
      <c r="F1151" s="15" t="s">
        <v>8</v>
      </c>
      <c r="G1151" s="45">
        <v>19</v>
      </c>
      <c r="H1151" s="15">
        <v>23</v>
      </c>
      <c r="I1151" s="45">
        <v>27</v>
      </c>
      <c r="J1151" s="54">
        <v>0</v>
      </c>
      <c r="K1151" s="1">
        <f t="shared" ref="K1151:K1152" si="942">(IF(F1151="SELL",G1151-H1151,IF(F1151="BUY",H1151-G1151)))*E1151</f>
        <v>2000</v>
      </c>
      <c r="L1151" s="51">
        <f t="shared" ref="L1151" si="943">(IF(F1151="SELL",IF(I1151="",0,H1151-I1151),IF(F1151="BUY",IF(I1151="",0,I1151-H1151))))*E1151</f>
        <v>2000</v>
      </c>
      <c r="M1151" s="51">
        <v>0</v>
      </c>
      <c r="N1151" s="1">
        <f t="shared" si="917"/>
        <v>8</v>
      </c>
      <c r="O1151" s="1">
        <f t="shared" si="928"/>
        <v>4000</v>
      </c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</row>
    <row r="1152" spans="1:33" s="32" customFormat="1" ht="15" customHeight="1">
      <c r="A1152" s="27">
        <v>43426</v>
      </c>
      <c r="B1152" s="15" t="s">
        <v>166</v>
      </c>
      <c r="C1152" s="15" t="s">
        <v>47</v>
      </c>
      <c r="D1152" s="15">
        <v>225</v>
      </c>
      <c r="E1152" s="28">
        <v>3500</v>
      </c>
      <c r="F1152" s="15" t="s">
        <v>8</v>
      </c>
      <c r="G1152" s="45">
        <v>4.95</v>
      </c>
      <c r="H1152" s="15">
        <v>3.5</v>
      </c>
      <c r="I1152" s="45">
        <v>0</v>
      </c>
      <c r="J1152" s="54">
        <v>0</v>
      </c>
      <c r="K1152" s="1">
        <f t="shared" si="942"/>
        <v>-5075.0000000000009</v>
      </c>
      <c r="L1152" s="51">
        <v>0</v>
      </c>
      <c r="M1152" s="51">
        <v>0</v>
      </c>
      <c r="N1152" s="1">
        <f t="shared" si="917"/>
        <v>-1.4500000000000002</v>
      </c>
      <c r="O1152" s="1">
        <f t="shared" si="928"/>
        <v>-5075.0000000000009</v>
      </c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</row>
    <row r="1153" spans="1:33" s="32" customFormat="1" ht="15" customHeight="1">
      <c r="A1153" s="27">
        <v>43426</v>
      </c>
      <c r="B1153" s="15" t="s">
        <v>269</v>
      </c>
      <c r="C1153" s="15" t="s">
        <v>47</v>
      </c>
      <c r="D1153" s="15">
        <v>65</v>
      </c>
      <c r="E1153" s="28">
        <v>12000</v>
      </c>
      <c r="F1153" s="15" t="s">
        <v>8</v>
      </c>
      <c r="G1153" s="45">
        <v>0.5</v>
      </c>
      <c r="H1153" s="15">
        <v>0.3</v>
      </c>
      <c r="I1153" s="45">
        <v>0</v>
      </c>
      <c r="J1153" s="54">
        <v>0</v>
      </c>
      <c r="K1153" s="1">
        <f t="shared" ref="K1153:K1154" si="944">(IF(F1153="SELL",G1153-H1153,IF(F1153="BUY",H1153-G1153)))*E1153</f>
        <v>-2400</v>
      </c>
      <c r="L1153" s="51">
        <v>0</v>
      </c>
      <c r="M1153" s="51">
        <v>0</v>
      </c>
      <c r="N1153" s="1">
        <f t="shared" si="917"/>
        <v>-0.2</v>
      </c>
      <c r="O1153" s="1">
        <f t="shared" si="928"/>
        <v>-2400</v>
      </c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</row>
    <row r="1154" spans="1:33" s="32" customFormat="1" ht="15" customHeight="1">
      <c r="A1154" s="27">
        <v>43425</v>
      </c>
      <c r="B1154" s="15" t="s">
        <v>169</v>
      </c>
      <c r="C1154" s="15" t="s">
        <v>47</v>
      </c>
      <c r="D1154" s="15">
        <v>620</v>
      </c>
      <c r="E1154" s="28">
        <v>1000</v>
      </c>
      <c r="F1154" s="15" t="s">
        <v>8</v>
      </c>
      <c r="G1154" s="45">
        <v>13.5</v>
      </c>
      <c r="H1154" s="15">
        <v>15</v>
      </c>
      <c r="I1154" s="45">
        <v>18</v>
      </c>
      <c r="J1154" s="54">
        <v>0</v>
      </c>
      <c r="K1154" s="1">
        <f t="shared" si="944"/>
        <v>1500</v>
      </c>
      <c r="L1154" s="51">
        <f t="shared" ref="L1154" si="945">(IF(F1154="SELL",IF(I1154="",0,H1154-I1154),IF(F1154="BUY",IF(I1154="",0,I1154-H1154))))*E1154</f>
        <v>3000</v>
      </c>
      <c r="M1154" s="51">
        <v>0</v>
      </c>
      <c r="N1154" s="1">
        <f t="shared" si="917"/>
        <v>4.5</v>
      </c>
      <c r="O1154" s="1">
        <f t="shared" si="928"/>
        <v>4500</v>
      </c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</row>
    <row r="1155" spans="1:33" s="32" customFormat="1" ht="15" customHeight="1">
      <c r="A1155" s="27">
        <v>43425</v>
      </c>
      <c r="B1155" s="15" t="s">
        <v>372</v>
      </c>
      <c r="C1155" s="15" t="s">
        <v>47</v>
      </c>
      <c r="D1155" s="15">
        <v>700</v>
      </c>
      <c r="E1155" s="28">
        <v>550</v>
      </c>
      <c r="F1155" s="15" t="s">
        <v>8</v>
      </c>
      <c r="G1155" s="45">
        <v>8.6999999999999993</v>
      </c>
      <c r="H1155" s="15">
        <v>10.4</v>
      </c>
      <c r="I1155" s="45">
        <v>0</v>
      </c>
      <c r="J1155" s="54">
        <v>0</v>
      </c>
      <c r="K1155" s="1">
        <f t="shared" ref="K1155" si="946">(IF(F1155="SELL",G1155-H1155,IF(F1155="BUY",H1155-G1155)))*E1155</f>
        <v>935.00000000000057</v>
      </c>
      <c r="L1155" s="51">
        <v>0</v>
      </c>
      <c r="M1155" s="51">
        <v>0</v>
      </c>
      <c r="N1155" s="1">
        <f t="shared" si="917"/>
        <v>1.7000000000000011</v>
      </c>
      <c r="O1155" s="1">
        <f t="shared" si="928"/>
        <v>935.00000000000057</v>
      </c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</row>
    <row r="1156" spans="1:33" s="32" customFormat="1" ht="15" customHeight="1">
      <c r="A1156" s="27">
        <v>43424</v>
      </c>
      <c r="B1156" s="15" t="s">
        <v>198</v>
      </c>
      <c r="C1156" s="15" t="s">
        <v>47</v>
      </c>
      <c r="D1156" s="15">
        <v>285</v>
      </c>
      <c r="E1156" s="28">
        <v>3000</v>
      </c>
      <c r="F1156" s="15" t="s">
        <v>8</v>
      </c>
      <c r="G1156" s="45">
        <v>5</v>
      </c>
      <c r="H1156" s="15">
        <v>5.4</v>
      </c>
      <c r="I1156" s="45">
        <v>0</v>
      </c>
      <c r="J1156" s="54">
        <v>0</v>
      </c>
      <c r="K1156" s="1">
        <f t="shared" ref="K1156" si="947">(IF(F1156="SELL",G1156-H1156,IF(F1156="BUY",H1156-G1156)))*E1156</f>
        <v>1200.0000000000011</v>
      </c>
      <c r="L1156" s="51">
        <v>0</v>
      </c>
      <c r="M1156" s="51">
        <v>0</v>
      </c>
      <c r="N1156" s="1">
        <f t="shared" si="917"/>
        <v>0.40000000000000036</v>
      </c>
      <c r="O1156" s="1">
        <f t="shared" si="928"/>
        <v>1200.0000000000011</v>
      </c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</row>
    <row r="1157" spans="1:33" s="32" customFormat="1" ht="15" customHeight="1">
      <c r="A1157" s="27">
        <v>43423</v>
      </c>
      <c r="B1157" s="15" t="s">
        <v>272</v>
      </c>
      <c r="C1157" s="15" t="s">
        <v>47</v>
      </c>
      <c r="D1157" s="15">
        <v>75</v>
      </c>
      <c r="E1157" s="28">
        <v>9000</v>
      </c>
      <c r="F1157" s="15" t="s">
        <v>8</v>
      </c>
      <c r="G1157" s="45">
        <v>1.7</v>
      </c>
      <c r="H1157" s="15">
        <v>2</v>
      </c>
      <c r="I1157" s="45">
        <v>0</v>
      </c>
      <c r="J1157" s="54">
        <v>0</v>
      </c>
      <c r="K1157" s="1">
        <f t="shared" ref="K1157" si="948">(IF(F1157="SELL",G1157-H1157,IF(F1157="BUY",H1157-G1157)))*E1157</f>
        <v>2700.0000000000005</v>
      </c>
      <c r="L1157" s="51">
        <v>0</v>
      </c>
      <c r="M1157" s="51">
        <v>0</v>
      </c>
      <c r="N1157" s="1">
        <f t="shared" si="917"/>
        <v>0.30000000000000004</v>
      </c>
      <c r="O1157" s="1">
        <f t="shared" si="928"/>
        <v>2700.0000000000005</v>
      </c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</row>
    <row r="1158" spans="1:33" s="32" customFormat="1" ht="15" customHeight="1">
      <c r="A1158" s="27">
        <v>43420</v>
      </c>
      <c r="B1158" s="15" t="s">
        <v>198</v>
      </c>
      <c r="C1158" s="15" t="s">
        <v>47</v>
      </c>
      <c r="D1158" s="15">
        <v>295</v>
      </c>
      <c r="E1158" s="28">
        <v>3000</v>
      </c>
      <c r="F1158" s="15" t="s">
        <v>8</v>
      </c>
      <c r="G1158" s="45">
        <v>5.3</v>
      </c>
      <c r="H1158" s="15">
        <v>5.7</v>
      </c>
      <c r="I1158" s="45">
        <v>0</v>
      </c>
      <c r="J1158" s="54">
        <v>0</v>
      </c>
      <c r="K1158" s="1">
        <f t="shared" ref="K1158" si="949">(IF(F1158="SELL",G1158-H1158,IF(F1158="BUY",H1158-G1158)))*E1158</f>
        <v>1200.0000000000011</v>
      </c>
      <c r="L1158" s="51">
        <v>0</v>
      </c>
      <c r="M1158" s="51">
        <v>0</v>
      </c>
      <c r="N1158" s="1">
        <f t="shared" si="917"/>
        <v>0.40000000000000036</v>
      </c>
      <c r="O1158" s="1">
        <f t="shared" si="928"/>
        <v>1200.0000000000011</v>
      </c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</row>
    <row r="1159" spans="1:33" s="32" customFormat="1" ht="15" customHeight="1">
      <c r="A1159" s="27">
        <v>43420</v>
      </c>
      <c r="B1159" s="15" t="s">
        <v>166</v>
      </c>
      <c r="C1159" s="15" t="s">
        <v>47</v>
      </c>
      <c r="D1159" s="15">
        <v>235</v>
      </c>
      <c r="E1159" s="28">
        <v>3500</v>
      </c>
      <c r="F1159" s="15" t="s">
        <v>8</v>
      </c>
      <c r="G1159" s="45">
        <v>6.1</v>
      </c>
      <c r="H1159" s="15">
        <v>4.7</v>
      </c>
      <c r="I1159" s="45">
        <v>0</v>
      </c>
      <c r="J1159" s="54">
        <v>0</v>
      </c>
      <c r="K1159" s="1">
        <f t="shared" ref="K1159" si="950">(IF(F1159="SELL",G1159-H1159,IF(F1159="BUY",H1159-G1159)))*E1159</f>
        <v>-4899.9999999999982</v>
      </c>
      <c r="L1159" s="51">
        <v>0</v>
      </c>
      <c r="M1159" s="51">
        <v>0</v>
      </c>
      <c r="N1159" s="1">
        <f t="shared" si="917"/>
        <v>-1.3999999999999995</v>
      </c>
      <c r="O1159" s="1">
        <f t="shared" si="928"/>
        <v>-4899.9999999999982</v>
      </c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</row>
    <row r="1160" spans="1:33" s="32" customFormat="1" ht="15" customHeight="1">
      <c r="A1160" s="27">
        <v>43419</v>
      </c>
      <c r="B1160" s="15" t="s">
        <v>198</v>
      </c>
      <c r="C1160" s="15" t="s">
        <v>47</v>
      </c>
      <c r="D1160" s="15">
        <v>290</v>
      </c>
      <c r="E1160" s="28">
        <v>3000</v>
      </c>
      <c r="F1160" s="15" t="s">
        <v>8</v>
      </c>
      <c r="G1160" s="45">
        <v>5.5</v>
      </c>
      <c r="H1160" s="15">
        <v>6.2</v>
      </c>
      <c r="I1160" s="45">
        <v>0</v>
      </c>
      <c r="J1160" s="54">
        <v>0</v>
      </c>
      <c r="K1160" s="1">
        <f t="shared" ref="K1160" si="951">(IF(F1160="SELL",G1160-H1160,IF(F1160="BUY",H1160-G1160)))*E1160</f>
        <v>2100.0000000000005</v>
      </c>
      <c r="L1160" s="51">
        <v>0</v>
      </c>
      <c r="M1160" s="51">
        <v>0</v>
      </c>
      <c r="N1160" s="1">
        <f t="shared" si="917"/>
        <v>0.70000000000000018</v>
      </c>
      <c r="O1160" s="1">
        <f t="shared" si="928"/>
        <v>2100.0000000000005</v>
      </c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</row>
    <row r="1161" spans="1:33" s="32" customFormat="1" ht="15" customHeight="1">
      <c r="A1161" s="27">
        <v>43419</v>
      </c>
      <c r="B1161" s="15" t="s">
        <v>257</v>
      </c>
      <c r="C1161" s="15" t="s">
        <v>47</v>
      </c>
      <c r="D1161" s="15">
        <v>260</v>
      </c>
      <c r="E1161" s="28">
        <v>2000</v>
      </c>
      <c r="F1161" s="15" t="s">
        <v>8</v>
      </c>
      <c r="G1161" s="45">
        <v>7.7</v>
      </c>
      <c r="H1161" s="15">
        <v>8.5</v>
      </c>
      <c r="I1161" s="45">
        <v>10</v>
      </c>
      <c r="J1161" s="54">
        <v>0</v>
      </c>
      <c r="K1161" s="1">
        <f t="shared" ref="K1161" si="952">(IF(F1161="SELL",G1161-H1161,IF(F1161="BUY",H1161-G1161)))*E1161</f>
        <v>1599.9999999999995</v>
      </c>
      <c r="L1161" s="51">
        <f t="shared" ref="L1161" si="953">(IF(F1161="SELL",IF(I1161="",0,H1161-I1161),IF(F1161="BUY",IF(I1161="",0,I1161-H1161))))*E1161</f>
        <v>3000</v>
      </c>
      <c r="M1161" s="51">
        <v>0</v>
      </c>
      <c r="N1161" s="1">
        <f t="shared" si="917"/>
        <v>2.2999999999999998</v>
      </c>
      <c r="O1161" s="1">
        <f t="shared" si="928"/>
        <v>4600</v>
      </c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</row>
    <row r="1162" spans="1:33" s="32" customFormat="1" ht="15" customHeight="1">
      <c r="A1162" s="27">
        <v>43418</v>
      </c>
      <c r="B1162" s="15" t="s">
        <v>198</v>
      </c>
      <c r="C1162" s="15" t="s">
        <v>47</v>
      </c>
      <c r="D1162" s="15">
        <v>285</v>
      </c>
      <c r="E1162" s="28">
        <v>3000</v>
      </c>
      <c r="F1162" s="15" t="s">
        <v>8</v>
      </c>
      <c r="G1162" s="45">
        <v>6</v>
      </c>
      <c r="H1162" s="15">
        <v>6.5</v>
      </c>
      <c r="I1162" s="45">
        <v>7.5</v>
      </c>
      <c r="J1162" s="54">
        <v>8.5</v>
      </c>
      <c r="K1162" s="1">
        <f t="shared" ref="K1162" si="954">(IF(F1162="SELL",G1162-H1162,IF(F1162="BUY",H1162-G1162)))*E1162</f>
        <v>1500</v>
      </c>
      <c r="L1162" s="51">
        <f t="shared" ref="L1162:L1163" si="955">(IF(F1162="SELL",IF(I1162="",0,H1162-I1162),IF(F1162="BUY",IF(I1162="",0,I1162-H1162))))*E1162</f>
        <v>3000</v>
      </c>
      <c r="M1162" s="51">
        <v>3000</v>
      </c>
      <c r="N1162" s="1">
        <f t="shared" si="917"/>
        <v>2.5</v>
      </c>
      <c r="O1162" s="1">
        <f t="shared" si="928"/>
        <v>7500</v>
      </c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</row>
    <row r="1163" spans="1:33" s="32" customFormat="1" ht="15" customHeight="1">
      <c r="A1163" s="27">
        <v>43418</v>
      </c>
      <c r="B1163" s="15" t="s">
        <v>169</v>
      </c>
      <c r="C1163" s="15" t="s">
        <v>47</v>
      </c>
      <c r="D1163" s="15">
        <v>620</v>
      </c>
      <c r="E1163" s="28">
        <v>1000</v>
      </c>
      <c r="F1163" s="15" t="s">
        <v>8</v>
      </c>
      <c r="G1163" s="45">
        <v>23</v>
      </c>
      <c r="H1163" s="15">
        <v>26</v>
      </c>
      <c r="I1163" s="45">
        <v>29</v>
      </c>
      <c r="J1163" s="54">
        <v>0</v>
      </c>
      <c r="K1163" s="1">
        <f t="shared" ref="K1163:K1164" si="956">(IF(F1163="SELL",G1163-H1163,IF(F1163="BUY",H1163-G1163)))*E1163</f>
        <v>3000</v>
      </c>
      <c r="L1163" s="51">
        <f t="shared" si="955"/>
        <v>3000</v>
      </c>
      <c r="M1163" s="51">
        <v>0</v>
      </c>
      <c r="N1163" s="1">
        <f t="shared" si="917"/>
        <v>6</v>
      </c>
      <c r="O1163" s="1">
        <f t="shared" si="928"/>
        <v>6000</v>
      </c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</row>
    <row r="1164" spans="1:33" s="32" customFormat="1" ht="15" customHeight="1">
      <c r="A1164" s="27">
        <v>43417</v>
      </c>
      <c r="B1164" s="15" t="s">
        <v>364</v>
      </c>
      <c r="C1164" s="15" t="s">
        <v>46</v>
      </c>
      <c r="D1164" s="15">
        <v>130</v>
      </c>
      <c r="E1164" s="28">
        <v>4500</v>
      </c>
      <c r="F1164" s="15" t="s">
        <v>8</v>
      </c>
      <c r="G1164" s="45">
        <v>4</v>
      </c>
      <c r="H1164" s="15">
        <v>4.5</v>
      </c>
      <c r="I1164" s="45">
        <v>0</v>
      </c>
      <c r="J1164" s="54">
        <v>0</v>
      </c>
      <c r="K1164" s="1">
        <f t="shared" si="956"/>
        <v>2250</v>
      </c>
      <c r="L1164" s="51">
        <v>0</v>
      </c>
      <c r="M1164" s="51">
        <v>0</v>
      </c>
      <c r="N1164" s="1">
        <f t="shared" si="917"/>
        <v>0.5</v>
      </c>
      <c r="O1164" s="1">
        <f t="shared" si="928"/>
        <v>2250</v>
      </c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</row>
    <row r="1165" spans="1:33" s="32" customFormat="1" ht="15" customHeight="1">
      <c r="A1165" s="27">
        <v>43416</v>
      </c>
      <c r="B1165" s="15" t="s">
        <v>255</v>
      </c>
      <c r="C1165" s="15" t="s">
        <v>47</v>
      </c>
      <c r="D1165" s="15">
        <v>90</v>
      </c>
      <c r="E1165" s="28">
        <v>6000</v>
      </c>
      <c r="F1165" s="15" t="s">
        <v>8</v>
      </c>
      <c r="G1165" s="45">
        <v>3.8</v>
      </c>
      <c r="H1165" s="15">
        <v>0</v>
      </c>
      <c r="I1165" s="45">
        <v>0</v>
      </c>
      <c r="J1165" s="54">
        <v>0</v>
      </c>
      <c r="K1165" s="1">
        <v>0</v>
      </c>
      <c r="L1165" s="51">
        <v>0</v>
      </c>
      <c r="M1165" s="51">
        <v>0</v>
      </c>
      <c r="N1165" s="1">
        <f t="shared" si="917"/>
        <v>0</v>
      </c>
      <c r="O1165" s="1">
        <f t="shared" si="928"/>
        <v>0</v>
      </c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</row>
    <row r="1166" spans="1:33" s="32" customFormat="1" ht="15" customHeight="1">
      <c r="A1166" s="27">
        <v>43413</v>
      </c>
      <c r="B1166" s="15" t="s">
        <v>185</v>
      </c>
      <c r="C1166" s="15" t="s">
        <v>47</v>
      </c>
      <c r="D1166" s="15">
        <v>125</v>
      </c>
      <c r="E1166" s="28">
        <v>3500</v>
      </c>
      <c r="F1166" s="15" t="s">
        <v>8</v>
      </c>
      <c r="G1166" s="45">
        <v>4.05</v>
      </c>
      <c r="H1166" s="15">
        <v>4.5</v>
      </c>
      <c r="I1166" s="45">
        <v>0</v>
      </c>
      <c r="J1166" s="54">
        <v>0</v>
      </c>
      <c r="K1166" s="1">
        <f t="shared" ref="K1166" si="957">(IF(F1166="SELL",G1166-H1166,IF(F1166="BUY",H1166-G1166)))*E1166</f>
        <v>1575.0000000000007</v>
      </c>
      <c r="L1166" s="51">
        <v>0</v>
      </c>
      <c r="M1166" s="51">
        <v>0</v>
      </c>
      <c r="N1166" s="1">
        <f t="shared" si="917"/>
        <v>0.45000000000000018</v>
      </c>
      <c r="O1166" s="1">
        <f t="shared" si="928"/>
        <v>1575.0000000000007</v>
      </c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</row>
    <row r="1167" spans="1:33" s="32" customFormat="1" ht="15" customHeight="1">
      <c r="A1167" s="27">
        <v>43413</v>
      </c>
      <c r="B1167" s="15" t="s">
        <v>257</v>
      </c>
      <c r="C1167" s="15" t="s">
        <v>47</v>
      </c>
      <c r="D1167" s="15">
        <v>250</v>
      </c>
      <c r="E1167" s="28">
        <v>2000</v>
      </c>
      <c r="F1167" s="15" t="s">
        <v>8</v>
      </c>
      <c r="G1167" s="45">
        <v>10.1</v>
      </c>
      <c r="H1167" s="15">
        <v>10.8</v>
      </c>
      <c r="I1167" s="45">
        <v>0</v>
      </c>
      <c r="J1167" s="54">
        <v>0</v>
      </c>
      <c r="K1167" s="1">
        <f t="shared" ref="K1167" si="958">(IF(F1167="SELL",G1167-H1167,IF(F1167="BUY",H1167-G1167)))*E1167</f>
        <v>1400.000000000002</v>
      </c>
      <c r="L1167" s="51">
        <v>0</v>
      </c>
      <c r="M1167" s="51">
        <v>0</v>
      </c>
      <c r="N1167" s="1">
        <f t="shared" si="917"/>
        <v>0.70000000000000107</v>
      </c>
      <c r="O1167" s="1">
        <f t="shared" si="928"/>
        <v>1400.000000000002</v>
      </c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</row>
    <row r="1168" spans="1:33" s="32" customFormat="1" ht="15" customHeight="1">
      <c r="A1168" s="27">
        <v>43410</v>
      </c>
      <c r="B1168" s="15" t="s">
        <v>148</v>
      </c>
      <c r="C1168" s="15" t="s">
        <v>47</v>
      </c>
      <c r="D1168" s="15">
        <v>610</v>
      </c>
      <c r="E1168" s="28">
        <v>1200</v>
      </c>
      <c r="F1168" s="15" t="s">
        <v>8</v>
      </c>
      <c r="G1168" s="45">
        <v>19.5</v>
      </c>
      <c r="H1168" s="15">
        <v>17</v>
      </c>
      <c r="I1168" s="45">
        <v>0</v>
      </c>
      <c r="J1168" s="54">
        <v>0</v>
      </c>
      <c r="K1168" s="1">
        <f t="shared" ref="K1168" si="959">(IF(F1168="SELL",G1168-H1168,IF(F1168="BUY",H1168-G1168)))*E1168</f>
        <v>-3000</v>
      </c>
      <c r="L1168" s="51">
        <v>0</v>
      </c>
      <c r="M1168" s="51">
        <v>0</v>
      </c>
      <c r="N1168" s="1">
        <f t="shared" si="917"/>
        <v>-2.5</v>
      </c>
      <c r="O1168" s="1">
        <f t="shared" si="928"/>
        <v>-3000</v>
      </c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</row>
    <row r="1169" spans="1:33" s="32" customFormat="1" ht="15" customHeight="1">
      <c r="A1169" s="27">
        <v>43409</v>
      </c>
      <c r="B1169" s="15" t="s">
        <v>252</v>
      </c>
      <c r="C1169" s="15" t="s">
        <v>46</v>
      </c>
      <c r="D1169" s="15">
        <v>170</v>
      </c>
      <c r="E1169" s="28">
        <v>4000</v>
      </c>
      <c r="F1169" s="15" t="s">
        <v>8</v>
      </c>
      <c r="G1169" s="45">
        <v>9.0500000000000007</v>
      </c>
      <c r="H1169" s="15">
        <v>10</v>
      </c>
      <c r="I1169" s="45">
        <v>11.5</v>
      </c>
      <c r="J1169" s="54">
        <v>0</v>
      </c>
      <c r="K1169" s="1">
        <f t="shared" ref="K1169" si="960">(IF(F1169="SELL",G1169-H1169,IF(F1169="BUY",H1169-G1169)))*E1169</f>
        <v>3799.9999999999973</v>
      </c>
      <c r="L1169" s="51">
        <f t="shared" ref="L1169" si="961">(IF(F1169="SELL",IF(I1169="",0,H1169-I1169),IF(F1169="BUY",IF(I1169="",0,I1169-H1169))))*E1169</f>
        <v>6000</v>
      </c>
      <c r="M1169" s="51">
        <v>0</v>
      </c>
      <c r="N1169" s="1">
        <f t="shared" si="917"/>
        <v>2.4499999999999993</v>
      </c>
      <c r="O1169" s="1">
        <f t="shared" si="928"/>
        <v>9799.9999999999964</v>
      </c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</row>
    <row r="1170" spans="1:33" s="32" customFormat="1" ht="15" customHeight="1">
      <c r="A1170" s="27">
        <v>43406</v>
      </c>
      <c r="B1170" s="15" t="s">
        <v>253</v>
      </c>
      <c r="C1170" s="15" t="s">
        <v>46</v>
      </c>
      <c r="D1170" s="15">
        <v>820</v>
      </c>
      <c r="E1170" s="28">
        <v>600</v>
      </c>
      <c r="F1170" s="15" t="s">
        <v>8</v>
      </c>
      <c r="G1170" s="45">
        <v>30.5</v>
      </c>
      <c r="H1170" s="15">
        <v>32.5</v>
      </c>
      <c r="I1170" s="45">
        <v>35.5</v>
      </c>
      <c r="J1170" s="54">
        <v>0</v>
      </c>
      <c r="K1170" s="1">
        <f t="shared" ref="K1170" si="962">(IF(F1170="SELL",G1170-H1170,IF(F1170="BUY",H1170-G1170)))*E1170</f>
        <v>1200</v>
      </c>
      <c r="L1170" s="51">
        <f t="shared" ref="L1170" si="963">(IF(F1170="SELL",IF(I1170="",0,H1170-I1170),IF(F1170="BUY",IF(I1170="",0,I1170-H1170))))*E1170</f>
        <v>1800</v>
      </c>
      <c r="M1170" s="51">
        <v>0</v>
      </c>
      <c r="N1170" s="1">
        <f t="shared" si="917"/>
        <v>5</v>
      </c>
      <c r="O1170" s="1">
        <f t="shared" si="928"/>
        <v>3000</v>
      </c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</row>
    <row r="1171" spans="1:33" s="32" customFormat="1" ht="15" customHeight="1">
      <c r="A1171" s="27">
        <v>43406</v>
      </c>
      <c r="B1171" s="15" t="s">
        <v>321</v>
      </c>
      <c r="C1171" s="15" t="s">
        <v>46</v>
      </c>
      <c r="D1171" s="15">
        <v>800</v>
      </c>
      <c r="E1171" s="28">
        <v>750</v>
      </c>
      <c r="F1171" s="15" t="s">
        <v>8</v>
      </c>
      <c r="G1171" s="45">
        <v>24</v>
      </c>
      <c r="H1171" s="15">
        <v>26</v>
      </c>
      <c r="I1171" s="45">
        <v>0</v>
      </c>
      <c r="J1171" s="54">
        <v>0</v>
      </c>
      <c r="K1171" s="1">
        <f t="shared" ref="K1171" si="964">(IF(F1171="SELL",G1171-H1171,IF(F1171="BUY",H1171-G1171)))*E1171</f>
        <v>1500</v>
      </c>
      <c r="L1171" s="51">
        <v>0</v>
      </c>
      <c r="M1171" s="51">
        <v>0</v>
      </c>
      <c r="N1171" s="1">
        <f t="shared" si="917"/>
        <v>2</v>
      </c>
      <c r="O1171" s="1">
        <f t="shared" si="928"/>
        <v>1500</v>
      </c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</row>
    <row r="1172" spans="1:33" s="32" customFormat="1" ht="15" customHeight="1">
      <c r="A1172" s="27">
        <v>43406</v>
      </c>
      <c r="B1172" s="15" t="s">
        <v>139</v>
      </c>
      <c r="C1172" s="15" t="s">
        <v>46</v>
      </c>
      <c r="D1172" s="15">
        <v>1100</v>
      </c>
      <c r="E1172" s="28">
        <v>500</v>
      </c>
      <c r="F1172" s="15" t="s">
        <v>8</v>
      </c>
      <c r="G1172" s="45">
        <v>48</v>
      </c>
      <c r="H1172" s="15">
        <v>51</v>
      </c>
      <c r="I1172" s="45">
        <v>0</v>
      </c>
      <c r="J1172" s="54">
        <v>0</v>
      </c>
      <c r="K1172" s="1">
        <f t="shared" ref="K1172" si="965">(IF(F1172="SELL",G1172-H1172,IF(F1172="BUY",H1172-G1172)))*E1172</f>
        <v>1500</v>
      </c>
      <c r="L1172" s="51">
        <v>0</v>
      </c>
      <c r="M1172" s="51">
        <v>0</v>
      </c>
      <c r="N1172" s="1">
        <f t="shared" si="917"/>
        <v>3</v>
      </c>
      <c r="O1172" s="1">
        <f t="shared" si="928"/>
        <v>1500</v>
      </c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</row>
    <row r="1173" spans="1:33" s="32" customFormat="1" ht="15" customHeight="1">
      <c r="A1173" s="27">
        <v>43406</v>
      </c>
      <c r="B1173" s="15" t="s">
        <v>331</v>
      </c>
      <c r="C1173" s="15" t="s">
        <v>47</v>
      </c>
      <c r="D1173" s="15">
        <v>570</v>
      </c>
      <c r="E1173" s="28">
        <v>750</v>
      </c>
      <c r="F1173" s="15" t="s">
        <v>8</v>
      </c>
      <c r="G1173" s="45">
        <v>17.5</v>
      </c>
      <c r="H1173" s="15">
        <v>19</v>
      </c>
      <c r="I1173" s="45">
        <v>0</v>
      </c>
      <c r="J1173" s="54">
        <v>0</v>
      </c>
      <c r="K1173" s="1">
        <f t="shared" ref="K1173" si="966">(IF(F1173="SELL",G1173-H1173,IF(F1173="BUY",H1173-G1173)))*E1173</f>
        <v>1125</v>
      </c>
      <c r="L1173" s="51">
        <v>0</v>
      </c>
      <c r="M1173" s="51">
        <v>0</v>
      </c>
      <c r="N1173" s="1">
        <f t="shared" si="917"/>
        <v>1.5</v>
      </c>
      <c r="O1173" s="1">
        <f t="shared" si="928"/>
        <v>1125</v>
      </c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</row>
    <row r="1174" spans="1:33" s="32" customFormat="1" ht="15" customHeight="1">
      <c r="A1174" s="27">
        <v>43405</v>
      </c>
      <c r="B1174" s="15" t="s">
        <v>249</v>
      </c>
      <c r="C1174" s="15" t="s">
        <v>47</v>
      </c>
      <c r="D1174" s="15">
        <v>285</v>
      </c>
      <c r="E1174" s="28">
        <v>2750</v>
      </c>
      <c r="F1174" s="15" t="s">
        <v>8</v>
      </c>
      <c r="G1174" s="45">
        <v>10.65</v>
      </c>
      <c r="H1174" s="15">
        <v>11.65</v>
      </c>
      <c r="I1174" s="45">
        <v>0</v>
      </c>
      <c r="J1174" s="54">
        <v>0</v>
      </c>
      <c r="K1174" s="1">
        <f t="shared" ref="K1174" si="967">(IF(F1174="SELL",G1174-H1174,IF(F1174="BUY",H1174-G1174)))*E1174</f>
        <v>2750</v>
      </c>
      <c r="L1174" s="51">
        <v>0</v>
      </c>
      <c r="M1174" s="51">
        <v>0</v>
      </c>
      <c r="N1174" s="1">
        <f t="shared" si="917"/>
        <v>1</v>
      </c>
      <c r="O1174" s="1">
        <f t="shared" si="928"/>
        <v>2750</v>
      </c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</row>
    <row r="1175" spans="1:33" s="14" customFormat="1">
      <c r="A1175" s="27">
        <v>43404</v>
      </c>
      <c r="B1175" s="15" t="s">
        <v>224</v>
      </c>
      <c r="C1175" s="15" t="s">
        <v>47</v>
      </c>
      <c r="D1175" s="15">
        <v>340</v>
      </c>
      <c r="E1175" s="28">
        <v>1500</v>
      </c>
      <c r="F1175" s="15" t="s">
        <v>8</v>
      </c>
      <c r="G1175" s="45">
        <v>17</v>
      </c>
      <c r="H1175" s="15">
        <v>19</v>
      </c>
      <c r="I1175" s="45">
        <v>0</v>
      </c>
      <c r="J1175" s="54">
        <v>0</v>
      </c>
      <c r="K1175" s="1">
        <f t="shared" ref="K1175" si="968">(IF(F1175="SELL",G1175-H1175,IF(F1175="BUY",H1175-G1175)))*E1175</f>
        <v>3000</v>
      </c>
      <c r="L1175" s="51">
        <v>0</v>
      </c>
      <c r="M1175" s="51">
        <v>0</v>
      </c>
      <c r="N1175" s="1">
        <f t="shared" si="917"/>
        <v>2</v>
      </c>
      <c r="O1175" s="1">
        <f t="shared" si="928"/>
        <v>3000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</row>
    <row r="1176" spans="1:33" s="14" customFormat="1">
      <c r="A1176" s="27">
        <v>43404</v>
      </c>
      <c r="B1176" s="15" t="s">
        <v>266</v>
      </c>
      <c r="C1176" s="15" t="s">
        <v>47</v>
      </c>
      <c r="D1176" s="15">
        <v>1040</v>
      </c>
      <c r="E1176" s="28">
        <v>400</v>
      </c>
      <c r="F1176" s="15" t="s">
        <v>8</v>
      </c>
      <c r="G1176" s="45">
        <v>37.049999999999997</v>
      </c>
      <c r="H1176" s="15">
        <v>40.049999999999997</v>
      </c>
      <c r="I1176" s="45">
        <v>0</v>
      </c>
      <c r="J1176" s="54">
        <v>0</v>
      </c>
      <c r="K1176" s="1">
        <f t="shared" ref="K1176" si="969">(IF(F1176="SELL",G1176-H1176,IF(F1176="BUY",H1176-G1176)))*E1176</f>
        <v>1200</v>
      </c>
      <c r="L1176" s="51">
        <v>0</v>
      </c>
      <c r="M1176" s="51">
        <v>0</v>
      </c>
      <c r="N1176" s="1">
        <f t="shared" si="917"/>
        <v>3</v>
      </c>
      <c r="O1176" s="1">
        <f t="shared" si="928"/>
        <v>1200</v>
      </c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</row>
    <row r="1177" spans="1:33" s="14" customFormat="1">
      <c r="A1177" s="27">
        <v>43403</v>
      </c>
      <c r="B1177" s="15" t="s">
        <v>371</v>
      </c>
      <c r="C1177" s="15" t="s">
        <v>47</v>
      </c>
      <c r="D1177" s="15">
        <v>820</v>
      </c>
      <c r="E1177" s="28">
        <v>750</v>
      </c>
      <c r="F1177" s="15" t="s">
        <v>8</v>
      </c>
      <c r="G1177" s="45">
        <v>27.5</v>
      </c>
      <c r="H1177" s="15">
        <v>30.5</v>
      </c>
      <c r="I1177" s="45">
        <v>0</v>
      </c>
      <c r="J1177" s="54">
        <v>0</v>
      </c>
      <c r="K1177" s="1">
        <f t="shared" ref="K1177" si="970">(IF(F1177="SELL",G1177-H1177,IF(F1177="BUY",H1177-G1177)))*E1177</f>
        <v>2250</v>
      </c>
      <c r="L1177" s="51">
        <v>0</v>
      </c>
      <c r="M1177" s="51">
        <v>0</v>
      </c>
      <c r="N1177" s="1">
        <f t="shared" si="917"/>
        <v>3</v>
      </c>
      <c r="O1177" s="1">
        <f t="shared" si="928"/>
        <v>2250</v>
      </c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</row>
    <row r="1178" spans="1:33" s="14" customFormat="1">
      <c r="A1178" s="27">
        <v>43403</v>
      </c>
      <c r="B1178" s="15" t="s">
        <v>131</v>
      </c>
      <c r="C1178" s="15" t="s">
        <v>47</v>
      </c>
      <c r="D1178" s="15">
        <v>195</v>
      </c>
      <c r="E1178" s="28">
        <v>2500</v>
      </c>
      <c r="F1178" s="15" t="s">
        <v>8</v>
      </c>
      <c r="G1178" s="45">
        <v>8.8000000000000007</v>
      </c>
      <c r="H1178" s="15">
        <v>7</v>
      </c>
      <c r="I1178" s="45">
        <v>0</v>
      </c>
      <c r="J1178" s="54">
        <v>0</v>
      </c>
      <c r="K1178" s="1">
        <f t="shared" ref="K1178" si="971">(IF(F1178="SELL",G1178-H1178,IF(F1178="BUY",H1178-G1178)))*E1178</f>
        <v>-4500.0000000000018</v>
      </c>
      <c r="L1178" s="51">
        <v>0</v>
      </c>
      <c r="M1178" s="51">
        <v>0</v>
      </c>
      <c r="N1178" s="1">
        <f t="shared" si="917"/>
        <v>-1.8000000000000007</v>
      </c>
      <c r="O1178" s="1">
        <f t="shared" si="928"/>
        <v>-4500.0000000000018</v>
      </c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</row>
    <row r="1179" spans="1:33" s="14" customFormat="1">
      <c r="A1179" s="27">
        <v>43402</v>
      </c>
      <c r="B1179" s="15" t="s">
        <v>232</v>
      </c>
      <c r="C1179" s="15" t="s">
        <v>47</v>
      </c>
      <c r="D1179" s="15">
        <v>350</v>
      </c>
      <c r="E1179" s="28">
        <v>1300</v>
      </c>
      <c r="F1179" s="15" t="s">
        <v>8</v>
      </c>
      <c r="G1179" s="45">
        <v>22</v>
      </c>
      <c r="H1179" s="15">
        <v>24</v>
      </c>
      <c r="I1179" s="45">
        <v>0</v>
      </c>
      <c r="J1179" s="54">
        <v>0</v>
      </c>
      <c r="K1179" s="1">
        <f t="shared" ref="K1179" si="972">(IF(F1179="SELL",G1179-H1179,IF(F1179="BUY",H1179-G1179)))*E1179</f>
        <v>2600</v>
      </c>
      <c r="L1179" s="51">
        <v>0</v>
      </c>
      <c r="M1179" s="51">
        <v>0</v>
      </c>
      <c r="N1179" s="1">
        <f t="shared" si="917"/>
        <v>2</v>
      </c>
      <c r="O1179" s="1">
        <f t="shared" si="928"/>
        <v>2600</v>
      </c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</row>
    <row r="1180" spans="1:33" s="14" customFormat="1">
      <c r="A1180" s="27">
        <v>43399</v>
      </c>
      <c r="B1180" s="15" t="s">
        <v>370</v>
      </c>
      <c r="C1180" s="15" t="s">
        <v>47</v>
      </c>
      <c r="D1180" s="15">
        <v>230</v>
      </c>
      <c r="E1180" s="28">
        <v>2000</v>
      </c>
      <c r="F1180" s="15" t="s">
        <v>8</v>
      </c>
      <c r="G1180" s="45">
        <v>15</v>
      </c>
      <c r="H1180" s="15">
        <v>16</v>
      </c>
      <c r="I1180" s="45">
        <v>0</v>
      </c>
      <c r="J1180" s="54">
        <v>0</v>
      </c>
      <c r="K1180" s="1">
        <f t="shared" ref="K1180" si="973">(IF(F1180="SELL",G1180-H1180,IF(F1180="BUY",H1180-G1180)))*E1180</f>
        <v>2000</v>
      </c>
      <c r="L1180" s="51">
        <v>0</v>
      </c>
      <c r="M1180" s="51">
        <v>0</v>
      </c>
      <c r="N1180" s="1">
        <f t="shared" si="917"/>
        <v>1</v>
      </c>
      <c r="O1180" s="1">
        <f t="shared" si="928"/>
        <v>2000</v>
      </c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</row>
    <row r="1181" spans="1:33" s="14" customFormat="1">
      <c r="A1181" s="27">
        <v>43399</v>
      </c>
      <c r="B1181" s="15" t="s">
        <v>195</v>
      </c>
      <c r="C1181" s="15" t="s">
        <v>47</v>
      </c>
      <c r="D1181" s="15">
        <v>570</v>
      </c>
      <c r="E1181" s="28">
        <v>1061</v>
      </c>
      <c r="F1181" s="15" t="s">
        <v>8</v>
      </c>
      <c r="G1181" s="45">
        <v>20.5</v>
      </c>
      <c r="H1181" s="15">
        <v>22.1</v>
      </c>
      <c r="I1181" s="45">
        <v>0</v>
      </c>
      <c r="J1181" s="54">
        <v>0</v>
      </c>
      <c r="K1181" s="1">
        <f t="shared" ref="K1181" si="974">(IF(F1181="SELL",G1181-H1181,IF(F1181="BUY",H1181-G1181)))*E1181</f>
        <v>1697.6000000000015</v>
      </c>
      <c r="L1181" s="51">
        <v>0</v>
      </c>
      <c r="M1181" s="51">
        <v>0</v>
      </c>
      <c r="N1181" s="1">
        <f t="shared" si="917"/>
        <v>1.6000000000000014</v>
      </c>
      <c r="O1181" s="1">
        <f t="shared" si="928"/>
        <v>1697.6000000000015</v>
      </c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</row>
    <row r="1182" spans="1:33" s="14" customFormat="1">
      <c r="A1182" s="27">
        <v>43398</v>
      </c>
      <c r="B1182" s="15" t="s">
        <v>28</v>
      </c>
      <c r="C1182" s="15" t="s">
        <v>46</v>
      </c>
      <c r="D1182" s="15">
        <v>300</v>
      </c>
      <c r="E1182" s="28">
        <v>1700</v>
      </c>
      <c r="F1182" s="15" t="s">
        <v>8</v>
      </c>
      <c r="G1182" s="45">
        <v>5.5</v>
      </c>
      <c r="H1182" s="15">
        <v>2.75</v>
      </c>
      <c r="I1182" s="45">
        <v>0</v>
      </c>
      <c r="J1182" s="54">
        <v>0</v>
      </c>
      <c r="K1182" s="1">
        <f t="shared" ref="K1182" si="975">(IF(F1182="SELL",G1182-H1182,IF(F1182="BUY",H1182-G1182)))*E1182</f>
        <v>-4675</v>
      </c>
      <c r="L1182" s="51">
        <v>0</v>
      </c>
      <c r="M1182" s="51">
        <v>0</v>
      </c>
      <c r="N1182" s="1">
        <f t="shared" si="917"/>
        <v>-2.75</v>
      </c>
      <c r="O1182" s="1">
        <f t="shared" si="928"/>
        <v>-4675</v>
      </c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</row>
    <row r="1183" spans="1:33" s="14" customFormat="1">
      <c r="A1183" s="10">
        <v>43398</v>
      </c>
      <c r="B1183" s="3" t="s">
        <v>122</v>
      </c>
      <c r="C1183" s="15" t="s">
        <v>46</v>
      </c>
      <c r="D1183" s="15">
        <v>1720</v>
      </c>
      <c r="E1183" s="11">
        <v>500</v>
      </c>
      <c r="F1183" s="3" t="s">
        <v>8</v>
      </c>
      <c r="G1183" s="46">
        <v>15.5</v>
      </c>
      <c r="H1183" s="3">
        <v>18.5</v>
      </c>
      <c r="I1183" s="46">
        <v>21.5</v>
      </c>
      <c r="J1183" s="55">
        <v>24.5</v>
      </c>
      <c r="K1183" s="1">
        <f t="shared" ref="K1183" si="976">(IF(F1183="SELL",G1183-H1183,IF(F1183="BUY",H1183-G1183)))*E1183</f>
        <v>1500</v>
      </c>
      <c r="L1183" s="51">
        <f t="shared" ref="L1183" si="977">(IF(F1183="SELL",IF(I1183="",0,H1183-I1183),IF(F1183="BUY",IF(I1183="",0,I1183-H1183))))*E1183</f>
        <v>1500</v>
      </c>
      <c r="M1183" s="52">
        <v>1500</v>
      </c>
      <c r="N1183" s="2">
        <f t="shared" si="917"/>
        <v>9</v>
      </c>
      <c r="O1183" s="2">
        <f t="shared" si="928"/>
        <v>4500</v>
      </c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</row>
    <row r="1184" spans="1:33" s="14" customFormat="1">
      <c r="A1184" s="10">
        <v>43397</v>
      </c>
      <c r="B1184" s="3" t="s">
        <v>107</v>
      </c>
      <c r="C1184" s="15" t="s">
        <v>46</v>
      </c>
      <c r="D1184" s="15">
        <v>560</v>
      </c>
      <c r="E1184" s="11">
        <v>1100</v>
      </c>
      <c r="F1184" s="3" t="s">
        <v>8</v>
      </c>
      <c r="G1184" s="46">
        <v>3.75</v>
      </c>
      <c r="H1184" s="3">
        <v>5.25</v>
      </c>
      <c r="I1184" s="46">
        <v>0</v>
      </c>
      <c r="J1184" s="55">
        <v>0</v>
      </c>
      <c r="K1184" s="1">
        <f t="shared" ref="K1184" si="978">(IF(F1184="SELL",G1184-H1184,IF(F1184="BUY",H1184-G1184)))*E1184</f>
        <v>1650</v>
      </c>
      <c r="L1184" s="51">
        <v>0</v>
      </c>
      <c r="M1184" s="52">
        <v>0</v>
      </c>
      <c r="N1184" s="2">
        <f t="shared" si="917"/>
        <v>1.5</v>
      </c>
      <c r="O1184" s="2">
        <f t="shared" si="928"/>
        <v>1650</v>
      </c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</row>
    <row r="1185" spans="1:33" s="14" customFormat="1">
      <c r="A1185" s="10">
        <v>43397</v>
      </c>
      <c r="B1185" s="3" t="s">
        <v>104</v>
      </c>
      <c r="C1185" s="15" t="s">
        <v>46</v>
      </c>
      <c r="D1185" s="15">
        <v>840</v>
      </c>
      <c r="E1185" s="11">
        <v>700</v>
      </c>
      <c r="F1185" s="3" t="s">
        <v>8</v>
      </c>
      <c r="G1185" s="46">
        <v>7.5</v>
      </c>
      <c r="H1185" s="3">
        <v>9.5</v>
      </c>
      <c r="I1185" s="46">
        <v>0</v>
      </c>
      <c r="J1185" s="55">
        <v>0</v>
      </c>
      <c r="K1185" s="1">
        <f t="shared" ref="K1185" si="979">(IF(F1185="SELL",G1185-H1185,IF(F1185="BUY",H1185-G1185)))*E1185</f>
        <v>1400</v>
      </c>
      <c r="L1185" s="51">
        <v>0</v>
      </c>
      <c r="M1185" s="52">
        <v>0</v>
      </c>
      <c r="N1185" s="2">
        <f t="shared" si="917"/>
        <v>2</v>
      </c>
      <c r="O1185" s="2">
        <f t="shared" si="928"/>
        <v>1400</v>
      </c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</row>
    <row r="1186" spans="1:33" s="14" customFormat="1">
      <c r="A1186" s="10">
        <v>43396</v>
      </c>
      <c r="B1186" s="3" t="s">
        <v>369</v>
      </c>
      <c r="C1186" s="15" t="s">
        <v>46</v>
      </c>
      <c r="D1186" s="15">
        <v>210</v>
      </c>
      <c r="E1186" s="11">
        <v>2000</v>
      </c>
      <c r="F1186" s="3" t="s">
        <v>8</v>
      </c>
      <c r="G1186" s="46">
        <v>6.85</v>
      </c>
      <c r="H1186" s="3">
        <v>7.75</v>
      </c>
      <c r="I1186" s="46">
        <v>0</v>
      </c>
      <c r="J1186" s="55">
        <v>0</v>
      </c>
      <c r="K1186" s="1">
        <f t="shared" ref="K1186" si="980">(IF(F1186="SELL",G1186-H1186,IF(F1186="BUY",H1186-G1186)))*E1186</f>
        <v>1800.0000000000007</v>
      </c>
      <c r="L1186" s="51">
        <v>0</v>
      </c>
      <c r="M1186" s="52">
        <v>0</v>
      </c>
      <c r="N1186" s="2">
        <f t="shared" si="917"/>
        <v>0.90000000000000036</v>
      </c>
      <c r="O1186" s="2">
        <f t="shared" si="928"/>
        <v>1800.0000000000007</v>
      </c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</row>
    <row r="1187" spans="1:33" s="14" customFormat="1">
      <c r="A1187" s="10">
        <v>43396</v>
      </c>
      <c r="B1187" s="3" t="s">
        <v>107</v>
      </c>
      <c r="C1187" s="15" t="s">
        <v>46</v>
      </c>
      <c r="D1187" s="15">
        <v>600</v>
      </c>
      <c r="E1187" s="11">
        <v>1100</v>
      </c>
      <c r="F1187" s="3" t="s">
        <v>8</v>
      </c>
      <c r="G1187" s="46">
        <v>8.5500000000000007</v>
      </c>
      <c r="H1187" s="3">
        <v>10</v>
      </c>
      <c r="I1187" s="46">
        <v>12</v>
      </c>
      <c r="J1187" s="55">
        <v>14</v>
      </c>
      <c r="K1187" s="1">
        <f t="shared" ref="K1187" si="981">(IF(F1187="SELL",G1187-H1187,IF(F1187="BUY",H1187-G1187)))*E1187</f>
        <v>1594.9999999999993</v>
      </c>
      <c r="L1187" s="51">
        <f t="shared" ref="L1187" si="982">(IF(F1187="SELL",IF(I1187="",0,H1187-I1187),IF(F1187="BUY",IF(I1187="",0,I1187-H1187))))*E1187</f>
        <v>2200</v>
      </c>
      <c r="M1187" s="52">
        <v>2200</v>
      </c>
      <c r="N1187" s="2">
        <f t="shared" si="917"/>
        <v>5.4499999999999993</v>
      </c>
      <c r="O1187" s="2">
        <f t="shared" si="928"/>
        <v>5994.9999999999991</v>
      </c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</row>
    <row r="1188" spans="1:33" s="14" customFormat="1">
      <c r="A1188" s="10">
        <v>43395</v>
      </c>
      <c r="B1188" s="3" t="s">
        <v>26</v>
      </c>
      <c r="C1188" s="15" t="s">
        <v>46</v>
      </c>
      <c r="D1188" s="15">
        <v>540</v>
      </c>
      <c r="E1188" s="11">
        <v>1061</v>
      </c>
      <c r="F1188" s="3" t="s">
        <v>8</v>
      </c>
      <c r="G1188" s="46">
        <v>9.75</v>
      </c>
      <c r="H1188" s="3">
        <v>11.3</v>
      </c>
      <c r="I1188" s="46">
        <v>0</v>
      </c>
      <c r="J1188" s="55">
        <v>0</v>
      </c>
      <c r="K1188" s="1">
        <f t="shared" ref="K1188" si="983">(IF(F1188="SELL",G1188-H1188,IF(F1188="BUY",H1188-G1188)))*E1188</f>
        <v>1644.5500000000009</v>
      </c>
      <c r="L1188" s="51">
        <v>0</v>
      </c>
      <c r="M1188" s="52">
        <v>0</v>
      </c>
      <c r="N1188" s="2">
        <f t="shared" si="917"/>
        <v>1.5500000000000007</v>
      </c>
      <c r="O1188" s="2">
        <f t="shared" si="928"/>
        <v>1644.5500000000009</v>
      </c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</row>
    <row r="1189" spans="1:33" s="14" customFormat="1">
      <c r="A1189" s="10">
        <v>43395</v>
      </c>
      <c r="B1189" s="3" t="s">
        <v>181</v>
      </c>
      <c r="C1189" s="15" t="s">
        <v>47</v>
      </c>
      <c r="D1189" s="15">
        <v>700</v>
      </c>
      <c r="E1189" s="11">
        <v>500</v>
      </c>
      <c r="F1189" s="3" t="s">
        <v>8</v>
      </c>
      <c r="G1189" s="46">
        <v>32.75</v>
      </c>
      <c r="H1189" s="3">
        <v>35.75</v>
      </c>
      <c r="I1189" s="46">
        <v>38.75</v>
      </c>
      <c r="J1189" s="55">
        <v>41.75</v>
      </c>
      <c r="K1189" s="1">
        <f t="shared" ref="K1189" si="984">(IF(F1189="SELL",G1189-H1189,IF(F1189="BUY",H1189-G1189)))*E1189</f>
        <v>1500</v>
      </c>
      <c r="L1189" s="51">
        <f t="shared" ref="L1189" si="985">(IF(F1189="SELL",IF(I1189="",0,H1189-I1189),IF(F1189="BUY",IF(I1189="",0,I1189-H1189))))*E1189</f>
        <v>1500</v>
      </c>
      <c r="M1189" s="52">
        <v>1500</v>
      </c>
      <c r="N1189" s="2">
        <f t="shared" si="917"/>
        <v>9</v>
      </c>
      <c r="O1189" s="2">
        <f t="shared" si="928"/>
        <v>4500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</row>
    <row r="1190" spans="1:33" s="14" customFormat="1">
      <c r="A1190" s="10">
        <v>43392</v>
      </c>
      <c r="B1190" s="3" t="s">
        <v>157</v>
      </c>
      <c r="C1190" s="15" t="s">
        <v>46</v>
      </c>
      <c r="D1190" s="15">
        <v>780</v>
      </c>
      <c r="E1190" s="11">
        <v>700</v>
      </c>
      <c r="F1190" s="3" t="s">
        <v>8</v>
      </c>
      <c r="G1190" s="46">
        <v>14.5</v>
      </c>
      <c r="H1190" s="3">
        <v>16.75</v>
      </c>
      <c r="I1190" s="46">
        <v>0</v>
      </c>
      <c r="J1190" s="55">
        <v>0</v>
      </c>
      <c r="K1190" s="1">
        <f t="shared" ref="K1190" si="986">(IF(F1190="SELL",G1190-H1190,IF(F1190="BUY",H1190-G1190)))*E1190</f>
        <v>1575</v>
      </c>
      <c r="L1190" s="51">
        <v>0</v>
      </c>
      <c r="M1190" s="52">
        <v>0</v>
      </c>
      <c r="N1190" s="2">
        <f t="shared" ref="N1190:N1253" si="987">(L1190+K1190+M1190)/E1190</f>
        <v>2.25</v>
      </c>
      <c r="O1190" s="2">
        <f t="shared" si="928"/>
        <v>1575</v>
      </c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</row>
    <row r="1191" spans="1:33" s="14" customFormat="1">
      <c r="A1191" s="10">
        <v>43392</v>
      </c>
      <c r="B1191" s="3" t="s">
        <v>332</v>
      </c>
      <c r="C1191" s="15" t="s">
        <v>46</v>
      </c>
      <c r="D1191" s="15">
        <v>700</v>
      </c>
      <c r="E1191" s="11">
        <v>1200</v>
      </c>
      <c r="F1191" s="3" t="s">
        <v>8</v>
      </c>
      <c r="G1191" s="46">
        <v>15.5</v>
      </c>
      <c r="H1191" s="3">
        <v>17</v>
      </c>
      <c r="I1191" s="46">
        <v>0</v>
      </c>
      <c r="J1191" s="55">
        <v>0</v>
      </c>
      <c r="K1191" s="1">
        <f t="shared" ref="K1191" si="988">(IF(F1191="SELL",G1191-H1191,IF(F1191="BUY",H1191-G1191)))*E1191</f>
        <v>1800</v>
      </c>
      <c r="L1191" s="51">
        <v>0</v>
      </c>
      <c r="M1191" s="52">
        <v>0</v>
      </c>
      <c r="N1191" s="2">
        <f t="shared" si="987"/>
        <v>1.5</v>
      </c>
      <c r="O1191" s="2">
        <f t="shared" si="928"/>
        <v>1800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</row>
    <row r="1192" spans="1:33" s="14" customFormat="1">
      <c r="A1192" s="10">
        <v>43390</v>
      </c>
      <c r="B1192" s="3" t="s">
        <v>10</v>
      </c>
      <c r="C1192" s="15" t="s">
        <v>46</v>
      </c>
      <c r="D1192" s="15">
        <v>590</v>
      </c>
      <c r="E1192" s="11">
        <v>1000</v>
      </c>
      <c r="F1192" s="3" t="s">
        <v>8</v>
      </c>
      <c r="G1192" s="46">
        <v>18.25</v>
      </c>
      <c r="H1192" s="3">
        <v>20</v>
      </c>
      <c r="I1192" s="46">
        <v>22</v>
      </c>
      <c r="J1192" s="55">
        <v>24</v>
      </c>
      <c r="K1192" s="1">
        <f t="shared" ref="K1192" si="989">(IF(F1192="SELL",G1192-H1192,IF(F1192="BUY",H1192-G1192)))*E1192</f>
        <v>1750</v>
      </c>
      <c r="L1192" s="51">
        <f t="shared" ref="L1192" si="990">(IF(F1192="SELL",IF(I1192="",0,H1192-I1192),IF(F1192="BUY",IF(I1192="",0,I1192-H1192))))*E1192</f>
        <v>2000</v>
      </c>
      <c r="M1192" s="52">
        <v>2000</v>
      </c>
      <c r="N1192" s="2">
        <f t="shared" si="987"/>
        <v>5.75</v>
      </c>
      <c r="O1192" s="2">
        <f t="shared" si="928"/>
        <v>5750</v>
      </c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</row>
    <row r="1193" spans="1:33" s="14" customFormat="1">
      <c r="A1193" s="10">
        <v>43390</v>
      </c>
      <c r="B1193" s="3" t="s">
        <v>17</v>
      </c>
      <c r="C1193" s="15" t="s">
        <v>46</v>
      </c>
      <c r="D1193" s="15">
        <v>580</v>
      </c>
      <c r="E1193" s="11">
        <v>1200</v>
      </c>
      <c r="F1193" s="3" t="s">
        <v>8</v>
      </c>
      <c r="G1193" s="46">
        <v>11.75</v>
      </c>
      <c r="H1193" s="3">
        <v>13</v>
      </c>
      <c r="I1193" s="46">
        <v>14.5</v>
      </c>
      <c r="J1193" s="55">
        <v>16</v>
      </c>
      <c r="K1193" s="1">
        <f t="shared" ref="K1193" si="991">(IF(F1193="SELL",G1193-H1193,IF(F1193="BUY",H1193-G1193)))*E1193</f>
        <v>1500</v>
      </c>
      <c r="L1193" s="51">
        <v>1800</v>
      </c>
      <c r="M1193" s="52">
        <v>1800</v>
      </c>
      <c r="N1193" s="2">
        <f t="shared" si="987"/>
        <v>4.25</v>
      </c>
      <c r="O1193" s="2">
        <f t="shared" si="928"/>
        <v>5100</v>
      </c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</row>
    <row r="1194" spans="1:33" s="14" customFormat="1">
      <c r="A1194" s="10">
        <v>43389</v>
      </c>
      <c r="B1194" s="3" t="s">
        <v>26</v>
      </c>
      <c r="C1194" s="15" t="s">
        <v>47</v>
      </c>
      <c r="D1194" s="15">
        <v>580</v>
      </c>
      <c r="E1194" s="11">
        <v>1061</v>
      </c>
      <c r="F1194" s="3" t="s">
        <v>8</v>
      </c>
      <c r="G1194" s="46">
        <v>16.45</v>
      </c>
      <c r="H1194" s="3">
        <v>17.649999999999999</v>
      </c>
      <c r="I1194" s="46">
        <v>0</v>
      </c>
      <c r="J1194" s="55">
        <v>0</v>
      </c>
      <c r="K1194" s="1">
        <f t="shared" ref="K1194" si="992">(IF(F1194="SELL",G1194-H1194,IF(F1194="BUY",H1194-G1194)))*E1194</f>
        <v>1273.1999999999991</v>
      </c>
      <c r="L1194" s="51">
        <v>0</v>
      </c>
      <c r="M1194" s="52">
        <v>0</v>
      </c>
      <c r="N1194" s="2">
        <f t="shared" si="987"/>
        <v>1.1999999999999993</v>
      </c>
      <c r="O1194" s="2">
        <f t="shared" si="928"/>
        <v>1273.1999999999991</v>
      </c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</row>
    <row r="1195" spans="1:33" s="14" customFormat="1">
      <c r="A1195" s="10">
        <v>43389</v>
      </c>
      <c r="B1195" s="3" t="s">
        <v>26</v>
      </c>
      <c r="C1195" s="15" t="s">
        <v>47</v>
      </c>
      <c r="D1195" s="15">
        <v>580</v>
      </c>
      <c r="E1195" s="11">
        <v>1061</v>
      </c>
      <c r="F1195" s="3" t="s">
        <v>8</v>
      </c>
      <c r="G1195" s="46">
        <v>16.45</v>
      </c>
      <c r="H1195" s="3">
        <v>17.649999999999999</v>
      </c>
      <c r="I1195" s="46">
        <v>0</v>
      </c>
      <c r="J1195" s="55">
        <v>0</v>
      </c>
      <c r="K1195" s="1">
        <f t="shared" ref="K1195" si="993">(IF(F1195="SELL",G1195-H1195,IF(F1195="BUY",H1195-G1195)))*E1195</f>
        <v>1273.1999999999991</v>
      </c>
      <c r="L1195" s="51">
        <v>0</v>
      </c>
      <c r="M1195" s="52">
        <v>0</v>
      </c>
      <c r="N1195" s="2">
        <f t="shared" si="987"/>
        <v>1.1999999999999993</v>
      </c>
      <c r="O1195" s="2">
        <f t="shared" si="928"/>
        <v>1273.1999999999991</v>
      </c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</row>
    <row r="1196" spans="1:33" s="14" customFormat="1">
      <c r="A1196" s="10">
        <v>43389</v>
      </c>
      <c r="B1196" s="3" t="s">
        <v>107</v>
      </c>
      <c r="C1196" s="15" t="s">
        <v>47</v>
      </c>
      <c r="D1196" s="15">
        <v>600</v>
      </c>
      <c r="E1196" s="11">
        <v>1100</v>
      </c>
      <c r="F1196" s="3" t="s">
        <v>8</v>
      </c>
      <c r="G1196" s="46">
        <v>19</v>
      </c>
      <c r="H1196" s="3">
        <v>16</v>
      </c>
      <c r="I1196" s="46">
        <v>0</v>
      </c>
      <c r="J1196" s="55">
        <v>0</v>
      </c>
      <c r="K1196" s="1">
        <f t="shared" ref="K1196" si="994">(IF(F1196="SELL",G1196-H1196,IF(F1196="BUY",H1196-G1196)))*E1196</f>
        <v>-3300</v>
      </c>
      <c r="L1196" s="51">
        <v>0</v>
      </c>
      <c r="M1196" s="52">
        <v>0</v>
      </c>
      <c r="N1196" s="2">
        <f t="shared" si="987"/>
        <v>-3</v>
      </c>
      <c r="O1196" s="2">
        <f t="shared" si="928"/>
        <v>-3300</v>
      </c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</row>
    <row r="1197" spans="1:33" s="14" customFormat="1">
      <c r="A1197" s="10">
        <v>43385</v>
      </c>
      <c r="B1197" s="3" t="s">
        <v>17</v>
      </c>
      <c r="C1197" s="15" t="s">
        <v>47</v>
      </c>
      <c r="D1197" s="15">
        <v>580</v>
      </c>
      <c r="E1197" s="11">
        <v>1200</v>
      </c>
      <c r="F1197" s="3" t="s">
        <v>8</v>
      </c>
      <c r="G1197" s="46">
        <v>21.25</v>
      </c>
      <c r="H1197" s="3">
        <v>22.75</v>
      </c>
      <c r="I1197" s="46">
        <v>24</v>
      </c>
      <c r="J1197" s="55">
        <v>0</v>
      </c>
      <c r="K1197" s="1">
        <f t="shared" ref="K1197" si="995">(IF(F1197="SELL",G1197-H1197,IF(F1197="BUY",H1197-G1197)))*E1197</f>
        <v>1800</v>
      </c>
      <c r="L1197" s="51">
        <f t="shared" ref="L1197:L1198" si="996">(IF(F1197="SELL",IF(I1197="",0,H1197-I1197),IF(F1197="BUY",IF(I1197="",0,I1197-H1197))))*E1197</f>
        <v>1500</v>
      </c>
      <c r="M1197" s="52">
        <v>0</v>
      </c>
      <c r="N1197" s="2">
        <f t="shared" si="987"/>
        <v>2.75</v>
      </c>
      <c r="O1197" s="2">
        <f t="shared" si="928"/>
        <v>3300</v>
      </c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</row>
    <row r="1198" spans="1:33" s="14" customFormat="1">
      <c r="A1198" s="10">
        <v>43385</v>
      </c>
      <c r="B1198" s="3" t="s">
        <v>189</v>
      </c>
      <c r="C1198" s="15" t="s">
        <v>47</v>
      </c>
      <c r="D1198" s="15">
        <v>260</v>
      </c>
      <c r="E1198" s="11">
        <v>1500</v>
      </c>
      <c r="F1198" s="3" t="s">
        <v>8</v>
      </c>
      <c r="G1198" s="46">
        <v>14.15</v>
      </c>
      <c r="H1198" s="3">
        <v>15.5</v>
      </c>
      <c r="I1198" s="46">
        <v>17</v>
      </c>
      <c r="J1198" s="55">
        <v>19</v>
      </c>
      <c r="K1198" s="1">
        <f t="shared" ref="K1198" si="997">(IF(F1198="SELL",G1198-H1198,IF(F1198="BUY",H1198-G1198)))*E1198</f>
        <v>2024.9999999999995</v>
      </c>
      <c r="L1198" s="51">
        <f t="shared" si="996"/>
        <v>2250</v>
      </c>
      <c r="M1198" s="52">
        <v>3000</v>
      </c>
      <c r="N1198" s="2">
        <f t="shared" si="987"/>
        <v>4.8499999999999996</v>
      </c>
      <c r="O1198" s="2">
        <f t="shared" si="928"/>
        <v>7274.9999999999991</v>
      </c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</row>
    <row r="1199" spans="1:33" s="14" customFormat="1">
      <c r="A1199" s="10">
        <v>43384</v>
      </c>
      <c r="B1199" s="3" t="s">
        <v>157</v>
      </c>
      <c r="C1199" s="15" t="s">
        <v>46</v>
      </c>
      <c r="D1199" s="15">
        <v>760</v>
      </c>
      <c r="E1199" s="11">
        <v>700</v>
      </c>
      <c r="F1199" s="3" t="s">
        <v>8</v>
      </c>
      <c r="G1199" s="46">
        <v>25.75</v>
      </c>
      <c r="H1199" s="3">
        <v>27.25</v>
      </c>
      <c r="I1199" s="46">
        <v>0</v>
      </c>
      <c r="J1199" s="55">
        <v>0</v>
      </c>
      <c r="K1199" s="1">
        <f t="shared" ref="K1199" si="998">(IF(F1199="SELL",G1199-H1199,IF(F1199="BUY",H1199-G1199)))*E1199</f>
        <v>1050</v>
      </c>
      <c r="L1199" s="51">
        <v>0</v>
      </c>
      <c r="M1199" s="52">
        <v>0</v>
      </c>
      <c r="N1199" s="2">
        <f t="shared" si="987"/>
        <v>1.5</v>
      </c>
      <c r="O1199" s="2">
        <f t="shared" si="928"/>
        <v>1050</v>
      </c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</row>
    <row r="1200" spans="1:33" s="14" customFormat="1">
      <c r="A1200" s="10">
        <v>43383</v>
      </c>
      <c r="B1200" s="3" t="s">
        <v>368</v>
      </c>
      <c r="C1200" s="15" t="s">
        <v>47</v>
      </c>
      <c r="D1200" s="15">
        <v>460</v>
      </c>
      <c r="E1200" s="11">
        <v>1300</v>
      </c>
      <c r="F1200" s="3" t="s">
        <v>8</v>
      </c>
      <c r="G1200" s="46">
        <v>14.25</v>
      </c>
      <c r="H1200" s="3">
        <v>15.5</v>
      </c>
      <c r="I1200" s="46">
        <v>17</v>
      </c>
      <c r="J1200" s="55">
        <v>18.95</v>
      </c>
      <c r="K1200" s="1">
        <f t="shared" ref="K1200" si="999">(IF(F1200="SELL",G1200-H1200,IF(F1200="BUY",H1200-G1200)))*E1200</f>
        <v>1625</v>
      </c>
      <c r="L1200" s="51">
        <f t="shared" ref="L1200" si="1000">(IF(F1200="SELL",IF(I1200="",0,H1200-I1200),IF(F1200="BUY",IF(I1200="",0,I1200-H1200))))*E1200</f>
        <v>1950</v>
      </c>
      <c r="M1200" s="52">
        <v>2535</v>
      </c>
      <c r="N1200" s="2">
        <f t="shared" si="987"/>
        <v>4.7</v>
      </c>
      <c r="O1200" s="2">
        <f t="shared" si="928"/>
        <v>6110</v>
      </c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</row>
    <row r="1201" spans="1:33" s="14" customFormat="1">
      <c r="A1201" s="10">
        <v>43382</v>
      </c>
      <c r="B1201" s="3" t="s">
        <v>167</v>
      </c>
      <c r="C1201" s="15" t="s">
        <v>47</v>
      </c>
      <c r="D1201" s="15">
        <v>1000</v>
      </c>
      <c r="E1201" s="11">
        <v>500</v>
      </c>
      <c r="F1201" s="3" t="s">
        <v>8</v>
      </c>
      <c r="G1201" s="46">
        <v>37.15</v>
      </c>
      <c r="H1201" s="3">
        <v>40.15</v>
      </c>
      <c r="I1201" s="46">
        <v>0</v>
      </c>
      <c r="J1201" s="55">
        <v>0</v>
      </c>
      <c r="K1201" s="1">
        <f t="shared" ref="K1201" si="1001">(IF(F1201="SELL",G1201-H1201,IF(F1201="BUY",H1201-G1201)))*E1201</f>
        <v>1500</v>
      </c>
      <c r="L1201" s="51">
        <v>0</v>
      </c>
      <c r="M1201" s="52">
        <v>0</v>
      </c>
      <c r="N1201" s="2">
        <f t="shared" si="987"/>
        <v>3</v>
      </c>
      <c r="O1201" s="2">
        <f t="shared" ref="O1201:O1264" si="1002">N1201*E1201</f>
        <v>1500</v>
      </c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</row>
    <row r="1202" spans="1:33" s="14" customFormat="1">
      <c r="A1202" s="10">
        <v>43382</v>
      </c>
      <c r="B1202" s="3" t="s">
        <v>122</v>
      </c>
      <c r="C1202" s="15" t="s">
        <v>46</v>
      </c>
      <c r="D1202" s="15">
        <v>1720</v>
      </c>
      <c r="E1202" s="11">
        <v>500</v>
      </c>
      <c r="F1202" s="3" t="s">
        <v>8</v>
      </c>
      <c r="G1202" s="46">
        <v>44</v>
      </c>
      <c r="H1202" s="3">
        <v>48.95</v>
      </c>
      <c r="I1202" s="46">
        <v>0</v>
      </c>
      <c r="J1202" s="55">
        <v>0</v>
      </c>
      <c r="K1202" s="1">
        <f t="shared" ref="K1202" si="1003">(IF(F1202="SELL",G1202-H1202,IF(F1202="BUY",H1202-G1202)))*E1202</f>
        <v>2475.0000000000014</v>
      </c>
      <c r="L1202" s="51">
        <v>0</v>
      </c>
      <c r="M1202" s="52">
        <v>0</v>
      </c>
      <c r="N1202" s="2">
        <f t="shared" si="987"/>
        <v>4.9500000000000028</v>
      </c>
      <c r="O1202" s="2">
        <f t="shared" si="1002"/>
        <v>2475.0000000000014</v>
      </c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</row>
    <row r="1203" spans="1:33" s="14" customFormat="1">
      <c r="A1203" s="10">
        <v>43381</v>
      </c>
      <c r="B1203" s="3" t="s">
        <v>20</v>
      </c>
      <c r="C1203" s="15" t="s">
        <v>46</v>
      </c>
      <c r="D1203" s="15">
        <v>700</v>
      </c>
      <c r="E1203" s="11">
        <v>1200</v>
      </c>
      <c r="F1203" s="3" t="s">
        <v>8</v>
      </c>
      <c r="G1203" s="46">
        <v>22</v>
      </c>
      <c r="H1203" s="3">
        <v>24</v>
      </c>
      <c r="I1203" s="46">
        <v>26</v>
      </c>
      <c r="J1203" s="55">
        <v>28</v>
      </c>
      <c r="K1203" s="1">
        <f t="shared" ref="K1203" si="1004">(IF(F1203="SELL",G1203-H1203,IF(F1203="BUY",H1203-G1203)))*E1203</f>
        <v>2400</v>
      </c>
      <c r="L1203" s="51">
        <f t="shared" ref="L1203" si="1005">(IF(F1203="SELL",IF(I1203="",0,H1203-I1203),IF(F1203="BUY",IF(I1203="",0,I1203-H1203))))*E1203</f>
        <v>2400</v>
      </c>
      <c r="M1203" s="52">
        <v>2400</v>
      </c>
      <c r="N1203" s="2">
        <f t="shared" si="987"/>
        <v>6</v>
      </c>
      <c r="O1203" s="2">
        <f t="shared" si="1002"/>
        <v>7200</v>
      </c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</row>
    <row r="1204" spans="1:33" s="14" customFormat="1">
      <c r="A1204" s="10">
        <v>43381</v>
      </c>
      <c r="B1204" s="3" t="s">
        <v>189</v>
      </c>
      <c r="C1204" s="15" t="s">
        <v>46</v>
      </c>
      <c r="D1204" s="15">
        <v>220</v>
      </c>
      <c r="E1204" s="11">
        <v>1500</v>
      </c>
      <c r="F1204" s="3" t="s">
        <v>8</v>
      </c>
      <c r="G1204" s="46">
        <v>17.5</v>
      </c>
      <c r="H1204" s="3">
        <v>19</v>
      </c>
      <c r="I1204" s="46">
        <v>21</v>
      </c>
      <c r="J1204" s="55">
        <v>0</v>
      </c>
      <c r="K1204" s="1">
        <f t="shared" ref="K1204" si="1006">(IF(F1204="SELL",G1204-H1204,IF(F1204="BUY",H1204-G1204)))*E1204</f>
        <v>2250</v>
      </c>
      <c r="L1204" s="51">
        <f t="shared" ref="L1204" si="1007">(IF(F1204="SELL",IF(I1204="",0,H1204-I1204),IF(F1204="BUY",IF(I1204="",0,I1204-H1204))))*E1204</f>
        <v>3000</v>
      </c>
      <c r="M1204" s="52">
        <v>0</v>
      </c>
      <c r="N1204" s="2">
        <f t="shared" si="987"/>
        <v>3.5</v>
      </c>
      <c r="O1204" s="2">
        <f t="shared" si="1002"/>
        <v>5250</v>
      </c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</row>
    <row r="1205" spans="1:33" s="14" customFormat="1">
      <c r="A1205" s="10">
        <v>43377</v>
      </c>
      <c r="B1205" s="3" t="s">
        <v>154</v>
      </c>
      <c r="C1205" s="15" t="s">
        <v>46</v>
      </c>
      <c r="D1205" s="15">
        <v>390</v>
      </c>
      <c r="E1205" s="11">
        <v>1800</v>
      </c>
      <c r="F1205" s="3" t="s">
        <v>8</v>
      </c>
      <c r="G1205" s="46">
        <v>13</v>
      </c>
      <c r="H1205" s="3">
        <v>14</v>
      </c>
      <c r="I1205" s="46">
        <v>0</v>
      </c>
      <c r="J1205" s="55">
        <v>0</v>
      </c>
      <c r="K1205" s="1">
        <f t="shared" ref="K1205" si="1008">(IF(F1205="SELL",G1205-H1205,IF(F1205="BUY",H1205-G1205)))*E1205</f>
        <v>1800</v>
      </c>
      <c r="L1205" s="51">
        <v>0</v>
      </c>
      <c r="M1205" s="52">
        <v>0</v>
      </c>
      <c r="N1205" s="2">
        <f t="shared" si="987"/>
        <v>1</v>
      </c>
      <c r="O1205" s="2">
        <f t="shared" si="1002"/>
        <v>1800</v>
      </c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</row>
    <row r="1206" spans="1:33" s="14" customFormat="1">
      <c r="A1206" s="10">
        <v>43376</v>
      </c>
      <c r="B1206" s="3" t="s">
        <v>213</v>
      </c>
      <c r="C1206" s="15" t="s">
        <v>46</v>
      </c>
      <c r="D1206" s="15">
        <v>320</v>
      </c>
      <c r="E1206" s="11">
        <v>2000</v>
      </c>
      <c r="F1206" s="3" t="s">
        <v>8</v>
      </c>
      <c r="G1206" s="46">
        <v>13.75</v>
      </c>
      <c r="H1206" s="3">
        <v>15</v>
      </c>
      <c r="I1206" s="46">
        <v>17</v>
      </c>
      <c r="J1206" s="55">
        <v>0</v>
      </c>
      <c r="K1206" s="1">
        <f t="shared" ref="K1206" si="1009">(IF(F1206="SELL",G1206-H1206,IF(F1206="BUY",H1206-G1206)))*E1206</f>
        <v>2500</v>
      </c>
      <c r="L1206" s="51">
        <f t="shared" ref="L1206:L1209" si="1010">(IF(F1206="SELL",IF(I1206="",0,H1206-I1206),IF(F1206="BUY",IF(I1206="",0,I1206-H1206))))*E1206</f>
        <v>4000</v>
      </c>
      <c r="M1206" s="52">
        <v>0</v>
      </c>
      <c r="N1206" s="2">
        <f t="shared" si="987"/>
        <v>3.25</v>
      </c>
      <c r="O1206" s="2">
        <f t="shared" si="1002"/>
        <v>6500</v>
      </c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</row>
    <row r="1207" spans="1:33" s="14" customFormat="1">
      <c r="A1207" s="10">
        <v>43374</v>
      </c>
      <c r="B1207" s="3" t="s">
        <v>367</v>
      </c>
      <c r="C1207" s="15" t="s">
        <v>46</v>
      </c>
      <c r="D1207" s="15">
        <v>200</v>
      </c>
      <c r="E1207" s="11">
        <v>3000</v>
      </c>
      <c r="F1207" s="3" t="s">
        <v>8</v>
      </c>
      <c r="G1207" s="46">
        <v>7.25</v>
      </c>
      <c r="H1207" s="3">
        <v>8</v>
      </c>
      <c r="I1207" s="46">
        <v>8.75</v>
      </c>
      <c r="J1207" s="55">
        <v>0</v>
      </c>
      <c r="K1207" s="1">
        <f t="shared" ref="K1207" si="1011">(IF(F1207="SELL",G1207-H1207,IF(F1207="BUY",H1207-G1207)))*E1207</f>
        <v>2250</v>
      </c>
      <c r="L1207" s="51">
        <f t="shared" si="1010"/>
        <v>2250</v>
      </c>
      <c r="M1207" s="52">
        <v>0</v>
      </c>
      <c r="N1207" s="2">
        <f t="shared" si="987"/>
        <v>1.5</v>
      </c>
      <c r="O1207" s="2">
        <f t="shared" si="1002"/>
        <v>4500</v>
      </c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</row>
    <row r="1208" spans="1:33" s="14" customFormat="1">
      <c r="A1208" s="10">
        <v>43371</v>
      </c>
      <c r="B1208" s="3" t="s">
        <v>175</v>
      </c>
      <c r="C1208" s="15" t="s">
        <v>46</v>
      </c>
      <c r="D1208" s="15">
        <v>2000</v>
      </c>
      <c r="E1208" s="11">
        <v>500</v>
      </c>
      <c r="F1208" s="3" t="s">
        <v>8</v>
      </c>
      <c r="G1208" s="46">
        <v>62</v>
      </c>
      <c r="H1208" s="3">
        <v>66</v>
      </c>
      <c r="I1208" s="46">
        <v>70</v>
      </c>
      <c r="J1208" s="55">
        <v>0</v>
      </c>
      <c r="K1208" s="1">
        <f t="shared" ref="K1208" si="1012">(IF(F1208="SELL",G1208-H1208,IF(F1208="BUY",H1208-G1208)))*E1208</f>
        <v>2000</v>
      </c>
      <c r="L1208" s="51">
        <f t="shared" si="1010"/>
        <v>2000</v>
      </c>
      <c r="M1208" s="52">
        <v>0</v>
      </c>
      <c r="N1208" s="2">
        <f t="shared" si="987"/>
        <v>8</v>
      </c>
      <c r="O1208" s="2">
        <f t="shared" si="1002"/>
        <v>4000</v>
      </c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</row>
    <row r="1209" spans="1:33" s="14" customFormat="1">
      <c r="A1209" s="10">
        <v>43370</v>
      </c>
      <c r="B1209" s="3" t="s">
        <v>366</v>
      </c>
      <c r="C1209" s="15" t="s">
        <v>46</v>
      </c>
      <c r="D1209" s="15">
        <v>210</v>
      </c>
      <c r="E1209" s="11">
        <v>4000</v>
      </c>
      <c r="F1209" s="3" t="s">
        <v>8</v>
      </c>
      <c r="G1209" s="46">
        <v>4</v>
      </c>
      <c r="H1209" s="3">
        <v>5</v>
      </c>
      <c r="I1209" s="46">
        <v>6</v>
      </c>
      <c r="J1209" s="55">
        <v>7</v>
      </c>
      <c r="K1209" s="1">
        <f t="shared" ref="K1209" si="1013">(IF(F1209="SELL",G1209-H1209,IF(F1209="BUY",H1209-G1209)))*E1209</f>
        <v>4000</v>
      </c>
      <c r="L1209" s="51">
        <f t="shared" si="1010"/>
        <v>4000</v>
      </c>
      <c r="M1209" s="52">
        <v>4000</v>
      </c>
      <c r="N1209" s="2">
        <f t="shared" si="987"/>
        <v>3</v>
      </c>
      <c r="O1209" s="2">
        <f t="shared" si="1002"/>
        <v>12000</v>
      </c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</row>
    <row r="1210" spans="1:33" s="14" customFormat="1">
      <c r="A1210" s="10">
        <v>43370</v>
      </c>
      <c r="B1210" s="3" t="s">
        <v>362</v>
      </c>
      <c r="C1210" s="15" t="s">
        <v>47</v>
      </c>
      <c r="D1210" s="15">
        <v>4100</v>
      </c>
      <c r="E1210" s="11">
        <v>200</v>
      </c>
      <c r="F1210" s="3" t="s">
        <v>8</v>
      </c>
      <c r="G1210" s="46">
        <v>10</v>
      </c>
      <c r="H1210" s="3">
        <v>15</v>
      </c>
      <c r="I1210" s="46">
        <v>19.95</v>
      </c>
      <c r="J1210" s="55">
        <v>0</v>
      </c>
      <c r="K1210" s="1">
        <f t="shared" ref="K1210" si="1014">(IF(F1210="SELL",G1210-H1210,IF(F1210="BUY",H1210-G1210)))*E1210</f>
        <v>1000</v>
      </c>
      <c r="L1210" s="51">
        <f t="shared" ref="L1210:L1215" si="1015">(IF(F1210="SELL",IF(I1210="",0,H1210-I1210),IF(F1210="BUY",IF(I1210="",0,I1210-H1210))))*E1210</f>
        <v>989.99999999999989</v>
      </c>
      <c r="M1210" s="52">
        <v>0</v>
      </c>
      <c r="N1210" s="2">
        <f t="shared" si="987"/>
        <v>9.9499999999999993</v>
      </c>
      <c r="O1210" s="2">
        <f t="shared" si="1002"/>
        <v>1989.9999999999998</v>
      </c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</row>
    <row r="1211" spans="1:33" s="14" customFormat="1">
      <c r="A1211" s="10">
        <v>43370</v>
      </c>
      <c r="B1211" s="3" t="s">
        <v>164</v>
      </c>
      <c r="C1211" s="15" t="s">
        <v>47</v>
      </c>
      <c r="D1211" s="15">
        <v>240</v>
      </c>
      <c r="E1211" s="11">
        <v>1750</v>
      </c>
      <c r="F1211" s="3" t="s">
        <v>8</v>
      </c>
      <c r="G1211" s="46">
        <v>3.15</v>
      </c>
      <c r="H1211" s="3">
        <v>1</v>
      </c>
      <c r="I1211" s="46">
        <v>0</v>
      </c>
      <c r="J1211" s="55">
        <v>0</v>
      </c>
      <c r="K1211" s="1">
        <f t="shared" ref="K1211:K1212" si="1016">(IF(F1211="SELL",G1211-H1211,IF(F1211="BUY",H1211-G1211)))*E1211</f>
        <v>-3762.5</v>
      </c>
      <c r="L1211" s="51">
        <v>0</v>
      </c>
      <c r="M1211" s="52">
        <v>0</v>
      </c>
      <c r="N1211" s="2">
        <f t="shared" si="987"/>
        <v>-2.15</v>
      </c>
      <c r="O1211" s="2">
        <f t="shared" si="1002"/>
        <v>-3762.5</v>
      </c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</row>
    <row r="1212" spans="1:33" s="14" customFormat="1">
      <c r="A1212" s="10">
        <v>43370</v>
      </c>
      <c r="B1212" s="3" t="s">
        <v>209</v>
      </c>
      <c r="C1212" s="15" t="s">
        <v>46</v>
      </c>
      <c r="D1212" s="15">
        <v>550</v>
      </c>
      <c r="E1212" s="11">
        <v>1000</v>
      </c>
      <c r="F1212" s="3" t="s">
        <v>8</v>
      </c>
      <c r="G1212" s="46">
        <v>5</v>
      </c>
      <c r="H1212" s="3">
        <v>2</v>
      </c>
      <c r="I1212" s="46">
        <v>0</v>
      </c>
      <c r="J1212" s="55">
        <v>0</v>
      </c>
      <c r="K1212" s="1">
        <f t="shared" si="1016"/>
        <v>-3000</v>
      </c>
      <c r="L1212" s="51">
        <v>0</v>
      </c>
      <c r="M1212" s="52">
        <v>0</v>
      </c>
      <c r="N1212" s="2">
        <f t="shared" si="987"/>
        <v>-3</v>
      </c>
      <c r="O1212" s="2">
        <f t="shared" si="1002"/>
        <v>-3000</v>
      </c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</row>
    <row r="1213" spans="1:33" s="14" customFormat="1">
      <c r="A1213" s="10">
        <v>43369</v>
      </c>
      <c r="B1213" s="3" t="s">
        <v>164</v>
      </c>
      <c r="C1213" s="15" t="s">
        <v>47</v>
      </c>
      <c r="D1213" s="15">
        <v>240</v>
      </c>
      <c r="E1213" s="11">
        <v>1750</v>
      </c>
      <c r="F1213" s="3" t="s">
        <v>8</v>
      </c>
      <c r="G1213" s="46">
        <v>5</v>
      </c>
      <c r="H1213" s="3">
        <v>5.75</v>
      </c>
      <c r="I1213" s="46">
        <v>6.75</v>
      </c>
      <c r="J1213" s="55">
        <v>0</v>
      </c>
      <c r="K1213" s="1">
        <f t="shared" ref="K1213" si="1017">(IF(F1213="SELL",G1213-H1213,IF(F1213="BUY",H1213-G1213)))*E1213</f>
        <v>1312.5</v>
      </c>
      <c r="L1213" s="51">
        <f t="shared" ref="L1213" si="1018">(IF(F1213="SELL",IF(I1213="",0,H1213-I1213),IF(F1213="BUY",IF(I1213="",0,I1213-H1213))))*E1213</f>
        <v>1750</v>
      </c>
      <c r="M1213" s="52">
        <v>0</v>
      </c>
      <c r="N1213" s="2">
        <f t="shared" si="987"/>
        <v>1.75</v>
      </c>
      <c r="O1213" s="2">
        <f t="shared" si="1002"/>
        <v>3062.5</v>
      </c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</row>
    <row r="1214" spans="1:33" s="14" customFormat="1">
      <c r="A1214" s="10">
        <v>43369</v>
      </c>
      <c r="B1214" s="3" t="s">
        <v>219</v>
      </c>
      <c r="C1214" s="15" t="s">
        <v>47</v>
      </c>
      <c r="D1214" s="15">
        <v>340</v>
      </c>
      <c r="E1214" s="11">
        <v>1500</v>
      </c>
      <c r="F1214" s="3" t="s">
        <v>8</v>
      </c>
      <c r="G1214" s="46">
        <v>7</v>
      </c>
      <c r="H1214" s="3">
        <v>9</v>
      </c>
      <c r="I1214" s="46">
        <v>11</v>
      </c>
      <c r="J1214" s="55">
        <v>0</v>
      </c>
      <c r="K1214" s="1">
        <f t="shared" ref="K1214" si="1019">(IF(F1214="SELL",G1214-H1214,IF(F1214="BUY",H1214-G1214)))*E1214</f>
        <v>3000</v>
      </c>
      <c r="L1214" s="51">
        <f t="shared" si="1015"/>
        <v>3000</v>
      </c>
      <c r="M1214" s="52">
        <v>0</v>
      </c>
      <c r="N1214" s="2">
        <f t="shared" si="987"/>
        <v>4</v>
      </c>
      <c r="O1214" s="2">
        <f t="shared" si="1002"/>
        <v>6000</v>
      </c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</row>
    <row r="1215" spans="1:33" s="14" customFormat="1">
      <c r="A1215" s="10">
        <v>43368</v>
      </c>
      <c r="B1215" s="3" t="s">
        <v>365</v>
      </c>
      <c r="C1215" s="15" t="s">
        <v>47</v>
      </c>
      <c r="D1215" s="15">
        <v>80</v>
      </c>
      <c r="E1215" s="11">
        <v>7000</v>
      </c>
      <c r="F1215" s="3" t="s">
        <v>8</v>
      </c>
      <c r="G1215" s="46">
        <v>2.5</v>
      </c>
      <c r="H1215" s="3">
        <v>3</v>
      </c>
      <c r="I1215" s="46">
        <v>3.95</v>
      </c>
      <c r="J1215" s="55">
        <v>0</v>
      </c>
      <c r="K1215" s="1">
        <f t="shared" ref="K1215" si="1020">(IF(F1215="SELL",G1215-H1215,IF(F1215="BUY",H1215-G1215)))*E1215</f>
        <v>3500</v>
      </c>
      <c r="L1215" s="51">
        <f t="shared" si="1015"/>
        <v>6650.0000000000009</v>
      </c>
      <c r="M1215" s="52">
        <v>0</v>
      </c>
      <c r="N1215" s="2">
        <f t="shared" si="987"/>
        <v>1.45</v>
      </c>
      <c r="O1215" s="2">
        <f t="shared" si="1002"/>
        <v>10150</v>
      </c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</row>
    <row r="1216" spans="1:33" s="14" customFormat="1">
      <c r="A1216" s="10">
        <v>43367</v>
      </c>
      <c r="B1216" s="3" t="s">
        <v>365</v>
      </c>
      <c r="C1216" s="15" t="s">
        <v>47</v>
      </c>
      <c r="D1216" s="15">
        <v>80</v>
      </c>
      <c r="E1216" s="11">
        <v>7000</v>
      </c>
      <c r="F1216" s="3" t="s">
        <v>8</v>
      </c>
      <c r="G1216" s="46">
        <v>1</v>
      </c>
      <c r="H1216" s="3">
        <v>1.3</v>
      </c>
      <c r="I1216" s="46">
        <v>0</v>
      </c>
      <c r="J1216" s="55">
        <v>0</v>
      </c>
      <c r="K1216" s="1">
        <f t="shared" ref="K1216:K1218" si="1021">(IF(F1216="SELL",G1216-H1216,IF(F1216="BUY",H1216-G1216)))*E1216</f>
        <v>2100.0000000000005</v>
      </c>
      <c r="L1216" s="51">
        <v>0</v>
      </c>
      <c r="M1216" s="52">
        <v>0</v>
      </c>
      <c r="N1216" s="2">
        <f t="shared" si="987"/>
        <v>0.30000000000000004</v>
      </c>
      <c r="O1216" s="2">
        <f t="shared" si="1002"/>
        <v>2100.0000000000005</v>
      </c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</row>
    <row r="1217" spans="1:33" s="14" customFormat="1">
      <c r="A1217" s="10">
        <v>43364</v>
      </c>
      <c r="B1217" s="3" t="s">
        <v>293</v>
      </c>
      <c r="C1217" s="15" t="s">
        <v>46</v>
      </c>
      <c r="D1217" s="15">
        <v>610</v>
      </c>
      <c r="E1217" s="11">
        <v>1200</v>
      </c>
      <c r="F1217" s="3" t="s">
        <v>8</v>
      </c>
      <c r="G1217" s="46">
        <v>12.5</v>
      </c>
      <c r="H1217" s="3">
        <v>15</v>
      </c>
      <c r="I1217" s="46">
        <v>18</v>
      </c>
      <c r="J1217" s="55">
        <v>0</v>
      </c>
      <c r="K1217" s="1">
        <f t="shared" si="1021"/>
        <v>3000</v>
      </c>
      <c r="L1217" s="51">
        <f t="shared" ref="L1217" si="1022">(IF(F1217="SELL",IF(I1217="",0,H1217-I1217),IF(F1217="BUY",IF(I1217="",0,I1217-H1217))))*E1217</f>
        <v>3600</v>
      </c>
      <c r="M1217" s="52">
        <v>0</v>
      </c>
      <c r="N1217" s="2">
        <f t="shared" si="987"/>
        <v>5.5</v>
      </c>
      <c r="O1217" s="2">
        <f t="shared" si="1002"/>
        <v>6600</v>
      </c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</row>
    <row r="1218" spans="1:33" s="14" customFormat="1">
      <c r="A1218" s="10">
        <v>43364</v>
      </c>
      <c r="B1218" s="3" t="s">
        <v>298</v>
      </c>
      <c r="C1218" s="15" t="s">
        <v>46</v>
      </c>
      <c r="D1218" s="15">
        <v>2400</v>
      </c>
      <c r="E1218" s="11">
        <v>500</v>
      </c>
      <c r="F1218" s="3" t="s">
        <v>8</v>
      </c>
      <c r="G1218" s="46">
        <v>50</v>
      </c>
      <c r="H1218" s="3">
        <v>60</v>
      </c>
      <c r="I1218" s="46">
        <v>80</v>
      </c>
      <c r="J1218" s="55">
        <v>100</v>
      </c>
      <c r="K1218" s="1">
        <f t="shared" si="1021"/>
        <v>5000</v>
      </c>
      <c r="L1218" s="51">
        <f t="shared" ref="L1218" si="1023">(IF(F1218="SELL",IF(I1218="",0,H1218-I1218),IF(F1218="BUY",IF(I1218="",0,I1218-H1218))))*E1218</f>
        <v>10000</v>
      </c>
      <c r="M1218" s="52">
        <v>10000</v>
      </c>
      <c r="N1218" s="2">
        <f t="shared" si="987"/>
        <v>50</v>
      </c>
      <c r="O1218" s="2">
        <f t="shared" si="1002"/>
        <v>25000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</row>
    <row r="1219" spans="1:33" s="14" customFormat="1">
      <c r="A1219" s="10">
        <v>43364</v>
      </c>
      <c r="B1219" s="3" t="s">
        <v>364</v>
      </c>
      <c r="C1219" s="15" t="s">
        <v>46</v>
      </c>
      <c r="D1219" s="15">
        <v>130</v>
      </c>
      <c r="E1219" s="11">
        <v>4500</v>
      </c>
      <c r="F1219" s="3" t="s">
        <v>8</v>
      </c>
      <c r="G1219" s="46">
        <v>2.5</v>
      </c>
      <c r="H1219" s="3">
        <v>3.5</v>
      </c>
      <c r="I1219" s="46">
        <v>4.5</v>
      </c>
      <c r="J1219" s="55">
        <v>0</v>
      </c>
      <c r="K1219" s="1">
        <f t="shared" ref="K1219" si="1024">(IF(F1219="SELL",G1219-H1219,IF(F1219="BUY",H1219-G1219)))*E1219</f>
        <v>4500</v>
      </c>
      <c r="L1219" s="51">
        <f t="shared" ref="L1219" si="1025">(IF(F1219="SELL",IF(I1219="",0,H1219-I1219),IF(F1219="BUY",IF(I1219="",0,I1219-H1219))))*E1219</f>
        <v>4500</v>
      </c>
      <c r="M1219" s="52">
        <v>0</v>
      </c>
      <c r="N1219" s="2">
        <f t="shared" si="987"/>
        <v>2</v>
      </c>
      <c r="O1219" s="2">
        <f t="shared" si="1002"/>
        <v>9000</v>
      </c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</row>
    <row r="1220" spans="1:33" s="14" customFormat="1">
      <c r="A1220" s="10">
        <v>43364</v>
      </c>
      <c r="B1220" s="3" t="s">
        <v>156</v>
      </c>
      <c r="C1220" s="15" t="s">
        <v>47</v>
      </c>
      <c r="D1220" s="15">
        <v>660</v>
      </c>
      <c r="E1220" s="11">
        <v>1000</v>
      </c>
      <c r="F1220" s="3" t="s">
        <v>8</v>
      </c>
      <c r="G1220" s="46">
        <v>8.6999999999999993</v>
      </c>
      <c r="H1220" s="3">
        <v>5</v>
      </c>
      <c r="I1220" s="46">
        <v>0</v>
      </c>
      <c r="J1220" s="55">
        <v>0</v>
      </c>
      <c r="K1220" s="1">
        <f>(IF(F1220="SELL",G1220-H1220,IF(F1220="BUY",H1220-G1220)))*E1220</f>
        <v>-3699.9999999999991</v>
      </c>
      <c r="L1220" s="51">
        <v>0</v>
      </c>
      <c r="M1220" s="52">
        <v>0</v>
      </c>
      <c r="N1220" s="2">
        <f t="shared" si="987"/>
        <v>-3.6999999999999993</v>
      </c>
      <c r="O1220" s="2">
        <f t="shared" si="1002"/>
        <v>-3699.9999999999991</v>
      </c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</row>
    <row r="1221" spans="1:33" s="14" customFormat="1">
      <c r="A1221" s="10">
        <v>43364</v>
      </c>
      <c r="B1221" s="3" t="s">
        <v>272</v>
      </c>
      <c r="C1221" s="15" t="s">
        <v>47</v>
      </c>
      <c r="D1221" s="15">
        <v>80</v>
      </c>
      <c r="E1221" s="11">
        <v>9000</v>
      </c>
      <c r="F1221" s="3" t="s">
        <v>8</v>
      </c>
      <c r="G1221" s="46">
        <v>2.5</v>
      </c>
      <c r="H1221" s="3">
        <v>1.8</v>
      </c>
      <c r="I1221" s="46">
        <v>0</v>
      </c>
      <c r="J1221" s="55">
        <v>0</v>
      </c>
      <c r="K1221" s="1">
        <f>(IF(F1221="SELL",G1221-H1221,IF(F1221="BUY",H1221-G1221)))*E1221</f>
        <v>-6300</v>
      </c>
      <c r="L1221" s="51">
        <v>0</v>
      </c>
      <c r="M1221" s="52">
        <v>0</v>
      </c>
      <c r="N1221" s="2">
        <f t="shared" si="987"/>
        <v>-0.7</v>
      </c>
      <c r="O1221" s="2">
        <f t="shared" si="1002"/>
        <v>-6300</v>
      </c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</row>
    <row r="1222" spans="1:33" s="14" customFormat="1">
      <c r="A1222" s="10">
        <v>43362</v>
      </c>
      <c r="B1222" s="3" t="s">
        <v>342</v>
      </c>
      <c r="C1222" s="15" t="s">
        <v>47</v>
      </c>
      <c r="D1222" s="15">
        <v>3200</v>
      </c>
      <c r="E1222" s="11">
        <v>200</v>
      </c>
      <c r="F1222" s="3" t="s">
        <v>8</v>
      </c>
      <c r="G1222" s="46">
        <v>28</v>
      </c>
      <c r="H1222" s="3">
        <v>33</v>
      </c>
      <c r="I1222" s="46">
        <v>0</v>
      </c>
      <c r="J1222" s="55">
        <v>0</v>
      </c>
      <c r="K1222" s="1">
        <f t="shared" ref="K1222" si="1026">(IF(F1222="SELL",G1222-H1222,IF(F1222="BUY",H1222-G1222)))*E1222</f>
        <v>1000</v>
      </c>
      <c r="L1222" s="51">
        <v>0</v>
      </c>
      <c r="M1222" s="52">
        <v>0</v>
      </c>
      <c r="N1222" s="2">
        <f t="shared" si="987"/>
        <v>5</v>
      </c>
      <c r="O1222" s="2">
        <f t="shared" si="1002"/>
        <v>1000</v>
      </c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</row>
    <row r="1223" spans="1:33" s="14" customFormat="1">
      <c r="A1223" s="10">
        <v>43362</v>
      </c>
      <c r="B1223" s="3" t="s">
        <v>363</v>
      </c>
      <c r="C1223" s="15" t="s">
        <v>47</v>
      </c>
      <c r="D1223" s="15">
        <v>470</v>
      </c>
      <c r="E1223" s="11">
        <v>1500</v>
      </c>
      <c r="F1223" s="3" t="s">
        <v>8</v>
      </c>
      <c r="G1223" s="46">
        <v>9.35</v>
      </c>
      <c r="H1223" s="3">
        <v>10.35</v>
      </c>
      <c r="I1223" s="46">
        <v>0</v>
      </c>
      <c r="J1223" s="55">
        <v>0</v>
      </c>
      <c r="K1223" s="1">
        <f t="shared" ref="K1223" si="1027">(IF(F1223="SELL",G1223-H1223,IF(F1223="BUY",H1223-G1223)))*E1223</f>
        <v>1500</v>
      </c>
      <c r="L1223" s="51">
        <v>0</v>
      </c>
      <c r="M1223" s="52">
        <v>0</v>
      </c>
      <c r="N1223" s="2">
        <f t="shared" si="987"/>
        <v>1</v>
      </c>
      <c r="O1223" s="2">
        <f t="shared" si="1002"/>
        <v>1500</v>
      </c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</row>
    <row r="1224" spans="1:33" s="14" customFormat="1">
      <c r="A1224" s="10">
        <v>43361</v>
      </c>
      <c r="B1224" s="3" t="s">
        <v>232</v>
      </c>
      <c r="C1224" s="15" t="s">
        <v>47</v>
      </c>
      <c r="D1224" s="15">
        <v>450</v>
      </c>
      <c r="E1224" s="11">
        <v>1300</v>
      </c>
      <c r="F1224" s="3" t="s">
        <v>8</v>
      </c>
      <c r="G1224" s="46"/>
      <c r="H1224" s="3">
        <v>7.6</v>
      </c>
      <c r="I1224" s="46">
        <v>0</v>
      </c>
      <c r="J1224" s="55">
        <v>0</v>
      </c>
      <c r="K1224" s="1">
        <f t="shared" ref="K1224" si="1028">(IF(F1224="SELL",G1224-H1224,IF(F1224="BUY",H1224-G1224)))*E1224</f>
        <v>9880</v>
      </c>
      <c r="L1224" s="51">
        <v>0</v>
      </c>
      <c r="M1224" s="52">
        <v>0</v>
      </c>
      <c r="N1224" s="2">
        <f t="shared" si="987"/>
        <v>7.6</v>
      </c>
      <c r="O1224" s="2">
        <f t="shared" si="1002"/>
        <v>9880</v>
      </c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</row>
    <row r="1225" spans="1:33" s="14" customFormat="1">
      <c r="A1225" s="10">
        <v>43360</v>
      </c>
      <c r="B1225" s="3" t="s">
        <v>252</v>
      </c>
      <c r="C1225" s="15" t="s">
        <v>47</v>
      </c>
      <c r="D1225" s="15">
        <v>155</v>
      </c>
      <c r="E1225" s="11">
        <v>4000</v>
      </c>
      <c r="F1225" s="3" t="s">
        <v>8</v>
      </c>
      <c r="G1225" s="46">
        <v>5.85</v>
      </c>
      <c r="H1225" s="3">
        <v>6.5</v>
      </c>
      <c r="I1225" s="46">
        <v>0</v>
      </c>
      <c r="J1225" s="55">
        <v>0</v>
      </c>
      <c r="K1225" s="1">
        <f t="shared" ref="K1225" si="1029">(IF(F1225="SELL",G1225-H1225,IF(F1225="BUY",H1225-G1225)))*E1225</f>
        <v>2600.0000000000014</v>
      </c>
      <c r="L1225" s="51">
        <v>0</v>
      </c>
      <c r="M1225" s="52">
        <v>0</v>
      </c>
      <c r="N1225" s="2">
        <f t="shared" si="987"/>
        <v>0.65000000000000036</v>
      </c>
      <c r="O1225" s="2">
        <f t="shared" si="1002"/>
        <v>2600.0000000000014</v>
      </c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</row>
    <row r="1226" spans="1:33" s="14" customFormat="1">
      <c r="A1226" s="10">
        <v>43360</v>
      </c>
      <c r="B1226" s="3" t="s">
        <v>220</v>
      </c>
      <c r="C1226" s="15" t="s">
        <v>47</v>
      </c>
      <c r="D1226" s="15">
        <v>1250</v>
      </c>
      <c r="E1226" s="11">
        <v>250</v>
      </c>
      <c r="F1226" s="3" t="s">
        <v>8</v>
      </c>
      <c r="G1226" s="46">
        <v>58</v>
      </c>
      <c r="H1226" s="3">
        <v>45</v>
      </c>
      <c r="I1226" s="46">
        <v>0</v>
      </c>
      <c r="J1226" s="55">
        <v>0</v>
      </c>
      <c r="K1226" s="1">
        <f t="shared" ref="K1226" si="1030">(IF(F1226="SELL",G1226-H1226,IF(F1226="BUY",H1226-G1226)))*E1226</f>
        <v>-3250</v>
      </c>
      <c r="L1226" s="51">
        <v>0</v>
      </c>
      <c r="M1226" s="52">
        <v>0</v>
      </c>
      <c r="N1226" s="2">
        <f t="shared" si="987"/>
        <v>-13</v>
      </c>
      <c r="O1226" s="2">
        <f t="shared" si="1002"/>
        <v>-3250</v>
      </c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</row>
    <row r="1227" spans="1:33" s="14" customFormat="1">
      <c r="A1227" s="10">
        <v>43357</v>
      </c>
      <c r="B1227" s="3" t="s">
        <v>362</v>
      </c>
      <c r="C1227" s="15" t="s">
        <v>47</v>
      </c>
      <c r="D1227" s="15">
        <v>4200</v>
      </c>
      <c r="E1227" s="11">
        <v>200</v>
      </c>
      <c r="F1227" s="3" t="s">
        <v>8</v>
      </c>
      <c r="G1227" s="46">
        <v>75</v>
      </c>
      <c r="H1227" s="3">
        <v>80</v>
      </c>
      <c r="I1227" s="46">
        <v>90</v>
      </c>
      <c r="J1227" s="55">
        <v>0</v>
      </c>
      <c r="K1227" s="1">
        <f t="shared" ref="K1227" si="1031">(IF(F1227="SELL",G1227-H1227,IF(F1227="BUY",H1227-G1227)))*E1227</f>
        <v>1000</v>
      </c>
      <c r="L1227" s="51">
        <f t="shared" ref="L1227" si="1032">(IF(F1227="SELL",IF(I1227="",0,H1227-I1227),IF(F1227="BUY",IF(I1227="",0,I1227-H1227))))*E1227</f>
        <v>2000</v>
      </c>
      <c r="M1227" s="52">
        <v>0</v>
      </c>
      <c r="N1227" s="2">
        <f t="shared" si="987"/>
        <v>15</v>
      </c>
      <c r="O1227" s="2">
        <f t="shared" si="1002"/>
        <v>3000</v>
      </c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</row>
    <row r="1228" spans="1:33" s="14" customFormat="1">
      <c r="A1228" s="10">
        <v>43357</v>
      </c>
      <c r="B1228" s="3" t="s">
        <v>205</v>
      </c>
      <c r="C1228" s="15" t="s">
        <v>47</v>
      </c>
      <c r="D1228" s="15">
        <v>1620</v>
      </c>
      <c r="E1228" s="11">
        <v>400</v>
      </c>
      <c r="F1228" s="3" t="s">
        <v>8</v>
      </c>
      <c r="G1228" s="46">
        <v>22</v>
      </c>
      <c r="H1228" s="3">
        <v>25</v>
      </c>
      <c r="I1228" s="46">
        <v>0</v>
      </c>
      <c r="J1228" s="55">
        <v>0</v>
      </c>
      <c r="K1228" s="1">
        <f t="shared" ref="K1228" si="1033">(IF(F1228="SELL",G1228-H1228,IF(F1228="BUY",H1228-G1228)))*E1228</f>
        <v>1200</v>
      </c>
      <c r="L1228" s="51">
        <v>0</v>
      </c>
      <c r="M1228" s="52">
        <v>0</v>
      </c>
      <c r="N1228" s="2">
        <f t="shared" si="987"/>
        <v>3</v>
      </c>
      <c r="O1228" s="2">
        <f t="shared" si="1002"/>
        <v>1200</v>
      </c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</row>
    <row r="1229" spans="1:33" s="14" customFormat="1">
      <c r="A1229" s="10">
        <v>43355</v>
      </c>
      <c r="B1229" s="3" t="s">
        <v>300</v>
      </c>
      <c r="C1229" s="15" t="s">
        <v>47</v>
      </c>
      <c r="D1229" s="15">
        <v>430</v>
      </c>
      <c r="E1229" s="11">
        <v>1250</v>
      </c>
      <c r="F1229" s="3" t="s">
        <v>8</v>
      </c>
      <c r="G1229" s="46">
        <v>12.9</v>
      </c>
      <c r="H1229" s="3">
        <v>13.9</v>
      </c>
      <c r="I1229" s="46">
        <v>0</v>
      </c>
      <c r="J1229" s="55">
        <v>0</v>
      </c>
      <c r="K1229" s="1">
        <f t="shared" ref="K1229" si="1034">(IF(F1229="SELL",G1229-H1229,IF(F1229="BUY",H1229-G1229)))*E1229</f>
        <v>1250</v>
      </c>
      <c r="L1229" s="51">
        <v>0</v>
      </c>
      <c r="M1229" s="52">
        <v>0</v>
      </c>
      <c r="N1229" s="2">
        <f t="shared" si="987"/>
        <v>1</v>
      </c>
      <c r="O1229" s="2">
        <f t="shared" si="1002"/>
        <v>1250</v>
      </c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</row>
    <row r="1230" spans="1:33" s="14" customFormat="1">
      <c r="A1230" s="10">
        <v>43355</v>
      </c>
      <c r="B1230" s="3" t="s">
        <v>141</v>
      </c>
      <c r="C1230" s="15" t="s">
        <v>47</v>
      </c>
      <c r="D1230" s="15">
        <v>400</v>
      </c>
      <c r="E1230" s="11">
        <v>3000</v>
      </c>
      <c r="F1230" s="3" t="s">
        <v>8</v>
      </c>
      <c r="G1230" s="46">
        <v>12</v>
      </c>
      <c r="H1230" s="3">
        <v>12.5</v>
      </c>
      <c r="I1230" s="46">
        <v>13.5</v>
      </c>
      <c r="J1230" s="55">
        <v>0</v>
      </c>
      <c r="K1230" s="1">
        <f t="shared" ref="K1230" si="1035">(IF(F1230="SELL",G1230-H1230,IF(F1230="BUY",H1230-G1230)))*E1230</f>
        <v>1500</v>
      </c>
      <c r="L1230" s="51">
        <f t="shared" ref="L1230" si="1036">(IF(F1230="SELL",IF(I1230="",0,H1230-I1230),IF(F1230="BUY",IF(I1230="",0,I1230-H1230))))*E1230</f>
        <v>3000</v>
      </c>
      <c r="M1230" s="52">
        <v>0</v>
      </c>
      <c r="N1230" s="2">
        <f t="shared" si="987"/>
        <v>1.5</v>
      </c>
      <c r="O1230" s="2">
        <f t="shared" si="1002"/>
        <v>4500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</row>
    <row r="1231" spans="1:33" s="14" customFormat="1">
      <c r="A1231" s="10">
        <v>43354</v>
      </c>
      <c r="B1231" s="3" t="s">
        <v>360</v>
      </c>
      <c r="C1231" s="15" t="s">
        <v>47</v>
      </c>
      <c r="D1231" s="15">
        <v>80</v>
      </c>
      <c r="E1231" s="11">
        <v>7000</v>
      </c>
      <c r="F1231" s="3" t="s">
        <v>8</v>
      </c>
      <c r="G1231" s="46">
        <v>3.7</v>
      </c>
      <c r="H1231" s="3">
        <v>4</v>
      </c>
      <c r="I1231" s="46">
        <v>0</v>
      </c>
      <c r="J1231" s="55">
        <v>0</v>
      </c>
      <c r="K1231" s="1">
        <f t="shared" ref="K1231" si="1037">(IF(F1231="SELL",G1231-H1231,IF(F1231="BUY",H1231-G1231)))*E1231</f>
        <v>2099.9999999999986</v>
      </c>
      <c r="L1231" s="51">
        <v>0</v>
      </c>
      <c r="M1231" s="52">
        <v>0</v>
      </c>
      <c r="N1231" s="2">
        <f t="shared" si="987"/>
        <v>0.29999999999999982</v>
      </c>
      <c r="O1231" s="2">
        <f t="shared" si="1002"/>
        <v>2099.9999999999986</v>
      </c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</row>
    <row r="1232" spans="1:33" s="14" customFormat="1">
      <c r="A1232" s="10">
        <v>43354</v>
      </c>
      <c r="B1232" s="3" t="s">
        <v>140</v>
      </c>
      <c r="C1232" s="15" t="s">
        <v>47</v>
      </c>
      <c r="D1232" s="15">
        <v>330</v>
      </c>
      <c r="E1232" s="11">
        <v>1750</v>
      </c>
      <c r="F1232" s="3" t="s">
        <v>8</v>
      </c>
      <c r="G1232" s="46">
        <v>14</v>
      </c>
      <c r="H1232" s="3">
        <v>12</v>
      </c>
      <c r="I1232" s="46">
        <v>0</v>
      </c>
      <c r="J1232" s="55">
        <v>0</v>
      </c>
      <c r="K1232" s="1">
        <f t="shared" ref="K1232" si="1038">(IF(F1232="SELL",G1232-H1232,IF(F1232="BUY",H1232-G1232)))*E1232</f>
        <v>-3500</v>
      </c>
      <c r="L1232" s="51">
        <v>0</v>
      </c>
      <c r="M1232" s="52">
        <v>0</v>
      </c>
      <c r="N1232" s="2">
        <f t="shared" si="987"/>
        <v>-2</v>
      </c>
      <c r="O1232" s="2">
        <f t="shared" si="1002"/>
        <v>-3500</v>
      </c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</row>
    <row r="1233" spans="1:33" s="14" customFormat="1">
      <c r="A1233" s="10">
        <v>43353</v>
      </c>
      <c r="B1233" s="3" t="s">
        <v>211</v>
      </c>
      <c r="C1233" s="15" t="s">
        <v>47</v>
      </c>
      <c r="D1233" s="15">
        <v>1400</v>
      </c>
      <c r="E1233" s="11">
        <v>750</v>
      </c>
      <c r="F1233" s="3" t="s">
        <v>8</v>
      </c>
      <c r="G1233" s="46">
        <v>33</v>
      </c>
      <c r="H1233" s="3">
        <v>36</v>
      </c>
      <c r="I1233" s="46">
        <v>0</v>
      </c>
      <c r="J1233" s="55">
        <v>0</v>
      </c>
      <c r="K1233" s="1">
        <f t="shared" ref="K1233" si="1039">(IF(F1233="SELL",G1233-H1233,IF(F1233="BUY",H1233-G1233)))*E1233</f>
        <v>2250</v>
      </c>
      <c r="L1233" s="51">
        <v>0</v>
      </c>
      <c r="M1233" s="52">
        <v>0</v>
      </c>
      <c r="N1233" s="2">
        <f t="shared" si="987"/>
        <v>3</v>
      </c>
      <c r="O1233" s="2">
        <f t="shared" si="1002"/>
        <v>2250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</row>
    <row r="1234" spans="1:33" s="14" customFormat="1">
      <c r="A1234" s="10">
        <v>43353</v>
      </c>
      <c r="B1234" s="3" t="s">
        <v>306</v>
      </c>
      <c r="C1234" s="15" t="s">
        <v>47</v>
      </c>
      <c r="D1234" s="15">
        <v>92.5</v>
      </c>
      <c r="E1234" s="11">
        <v>6000</v>
      </c>
      <c r="F1234" s="3" t="s">
        <v>8</v>
      </c>
      <c r="G1234" s="46">
        <v>3.6</v>
      </c>
      <c r="H1234" s="3">
        <v>2.9</v>
      </c>
      <c r="I1234" s="46">
        <v>0</v>
      </c>
      <c r="J1234" s="55">
        <v>0</v>
      </c>
      <c r="K1234" s="1">
        <f t="shared" ref="K1234" si="1040">(IF(F1234="SELL",G1234-H1234,IF(F1234="BUY",H1234-G1234)))*E1234</f>
        <v>-4200.0000000000009</v>
      </c>
      <c r="L1234" s="51">
        <v>0</v>
      </c>
      <c r="M1234" s="52">
        <v>0</v>
      </c>
      <c r="N1234" s="2">
        <f t="shared" si="987"/>
        <v>-0.70000000000000018</v>
      </c>
      <c r="O1234" s="2">
        <f t="shared" si="1002"/>
        <v>-4200.0000000000009</v>
      </c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</row>
    <row r="1235" spans="1:33" s="14" customFormat="1">
      <c r="A1235" s="10">
        <v>43350</v>
      </c>
      <c r="B1235" s="3" t="s">
        <v>359</v>
      </c>
      <c r="C1235" s="15" t="s">
        <v>47</v>
      </c>
      <c r="D1235" s="15">
        <v>2900</v>
      </c>
      <c r="E1235" s="11">
        <v>250</v>
      </c>
      <c r="F1235" s="3" t="s">
        <v>8</v>
      </c>
      <c r="G1235" s="46">
        <v>60</v>
      </c>
      <c r="H1235" s="3">
        <v>65</v>
      </c>
      <c r="I1235" s="46">
        <v>75</v>
      </c>
      <c r="J1235" s="55">
        <v>85</v>
      </c>
      <c r="K1235" s="1">
        <f t="shared" ref="K1235" si="1041">(IF(F1235="SELL",G1235-H1235,IF(F1235="BUY",H1235-G1235)))*E1235</f>
        <v>1250</v>
      </c>
      <c r="L1235" s="51">
        <f t="shared" ref="L1235" si="1042">(IF(F1235="SELL",IF(I1235="",0,H1235-I1235),IF(F1235="BUY",IF(I1235="",0,I1235-H1235))))*E1235</f>
        <v>2500</v>
      </c>
      <c r="M1235" s="52">
        <v>2500</v>
      </c>
      <c r="N1235" s="2">
        <f t="shared" si="987"/>
        <v>25</v>
      </c>
      <c r="O1235" s="2">
        <f t="shared" si="1002"/>
        <v>6250</v>
      </c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</row>
    <row r="1236" spans="1:33" s="14" customFormat="1">
      <c r="A1236" s="10">
        <v>43350</v>
      </c>
      <c r="B1236" s="3" t="s">
        <v>272</v>
      </c>
      <c r="C1236" s="15" t="s">
        <v>47</v>
      </c>
      <c r="D1236" s="15">
        <v>90</v>
      </c>
      <c r="E1236" s="11">
        <v>9000</v>
      </c>
      <c r="F1236" s="3" t="s">
        <v>8</v>
      </c>
      <c r="G1236" s="46">
        <v>2.6</v>
      </c>
      <c r="H1236" s="3">
        <v>2.85</v>
      </c>
      <c r="I1236" s="46">
        <v>0</v>
      </c>
      <c r="J1236" s="55">
        <v>0</v>
      </c>
      <c r="K1236" s="1">
        <f t="shared" ref="K1236" si="1043">(IF(F1236="SELL",G1236-H1236,IF(F1236="BUY",H1236-G1236)))*E1236</f>
        <v>2250</v>
      </c>
      <c r="L1236" s="51">
        <v>0</v>
      </c>
      <c r="M1236" s="52">
        <v>0</v>
      </c>
      <c r="N1236" s="2">
        <f t="shared" si="987"/>
        <v>0.25</v>
      </c>
      <c r="O1236" s="2">
        <f t="shared" si="1002"/>
        <v>2250</v>
      </c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</row>
    <row r="1237" spans="1:33" s="14" customFormat="1">
      <c r="A1237" s="10">
        <v>43350</v>
      </c>
      <c r="B1237" s="3" t="s">
        <v>278</v>
      </c>
      <c r="C1237" s="15" t="s">
        <v>47</v>
      </c>
      <c r="D1237" s="15">
        <v>300</v>
      </c>
      <c r="E1237" s="11">
        <v>250</v>
      </c>
      <c r="F1237" s="3" t="s">
        <v>8</v>
      </c>
      <c r="G1237" s="46">
        <v>10.9</v>
      </c>
      <c r="H1237" s="3">
        <v>11.7</v>
      </c>
      <c r="I1237" s="46">
        <v>0</v>
      </c>
      <c r="J1237" s="55">
        <v>0</v>
      </c>
      <c r="K1237" s="1">
        <f t="shared" ref="K1237:K1238" si="1044">(IF(F1237="SELL",G1237-H1237,IF(F1237="BUY",H1237-G1237)))*E1237</f>
        <v>199.99999999999974</v>
      </c>
      <c r="L1237" s="51">
        <v>0</v>
      </c>
      <c r="M1237" s="52">
        <v>0</v>
      </c>
      <c r="N1237" s="2">
        <f t="shared" si="987"/>
        <v>0.79999999999999893</v>
      </c>
      <c r="O1237" s="2">
        <f t="shared" si="1002"/>
        <v>199.99999999999974</v>
      </c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</row>
    <row r="1238" spans="1:33" s="14" customFormat="1">
      <c r="A1238" s="10">
        <v>43349</v>
      </c>
      <c r="B1238" s="3" t="s">
        <v>353</v>
      </c>
      <c r="C1238" s="15" t="s">
        <v>47</v>
      </c>
      <c r="D1238" s="15">
        <v>165</v>
      </c>
      <c r="E1238" s="11">
        <v>4500</v>
      </c>
      <c r="F1238" s="3" t="s">
        <v>8</v>
      </c>
      <c r="G1238" s="46">
        <v>5.8</v>
      </c>
      <c r="H1238" s="3">
        <v>6.2</v>
      </c>
      <c r="I1238" s="46">
        <v>0</v>
      </c>
      <c r="J1238" s="55">
        <v>0</v>
      </c>
      <c r="K1238" s="1">
        <f t="shared" si="1044"/>
        <v>1800.0000000000016</v>
      </c>
      <c r="L1238" s="51">
        <v>0</v>
      </c>
      <c r="M1238" s="52">
        <v>0</v>
      </c>
      <c r="N1238" s="2">
        <f t="shared" si="987"/>
        <v>0.40000000000000036</v>
      </c>
      <c r="O1238" s="2">
        <f t="shared" si="1002"/>
        <v>1800.0000000000016</v>
      </c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</row>
    <row r="1239" spans="1:33" s="14" customFormat="1">
      <c r="A1239" s="10">
        <v>43349</v>
      </c>
      <c r="B1239" s="3" t="s">
        <v>248</v>
      </c>
      <c r="C1239" s="15" t="s">
        <v>47</v>
      </c>
      <c r="D1239" s="15">
        <v>370</v>
      </c>
      <c r="E1239" s="11">
        <v>1300</v>
      </c>
      <c r="F1239" s="3" t="s">
        <v>8</v>
      </c>
      <c r="G1239" s="46">
        <v>11.9</v>
      </c>
      <c r="H1239" s="3">
        <v>13</v>
      </c>
      <c r="I1239" s="46">
        <v>0</v>
      </c>
      <c r="J1239" s="55">
        <v>0</v>
      </c>
      <c r="K1239" s="1">
        <f t="shared" ref="K1239" si="1045">(IF(F1239="SELL",G1239-H1239,IF(F1239="BUY",H1239-G1239)))*E1239</f>
        <v>1429.9999999999995</v>
      </c>
      <c r="L1239" s="51">
        <v>0</v>
      </c>
      <c r="M1239" s="52">
        <v>0</v>
      </c>
      <c r="N1239" s="2">
        <f t="shared" si="987"/>
        <v>1.0999999999999996</v>
      </c>
      <c r="O1239" s="2">
        <f t="shared" si="1002"/>
        <v>1429.9999999999995</v>
      </c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</row>
    <row r="1240" spans="1:33" s="14" customFormat="1">
      <c r="A1240" s="10">
        <v>43348</v>
      </c>
      <c r="B1240" s="3" t="s">
        <v>361</v>
      </c>
      <c r="C1240" s="15" t="s">
        <v>47</v>
      </c>
      <c r="D1240" s="15">
        <v>52.5</v>
      </c>
      <c r="E1240" s="11">
        <v>7000</v>
      </c>
      <c r="F1240" s="3" t="s">
        <v>8</v>
      </c>
      <c r="G1240" s="46">
        <v>3</v>
      </c>
      <c r="H1240" s="3">
        <v>3.25</v>
      </c>
      <c r="I1240" s="46">
        <v>3.75</v>
      </c>
      <c r="J1240" s="55">
        <v>0</v>
      </c>
      <c r="K1240" s="1">
        <f t="shared" ref="K1240" si="1046">(IF(F1240="SELL",G1240-H1240,IF(F1240="BUY",H1240-G1240)))*E1240</f>
        <v>1750</v>
      </c>
      <c r="L1240" s="51">
        <f t="shared" ref="L1240:L1241" si="1047">(IF(F1240="SELL",IF(I1240="",0,H1240-I1240),IF(F1240="BUY",IF(I1240="",0,I1240-H1240))))*E1240</f>
        <v>3500</v>
      </c>
      <c r="M1240" s="52">
        <v>0</v>
      </c>
      <c r="N1240" s="2">
        <f t="shared" si="987"/>
        <v>0.75</v>
      </c>
      <c r="O1240" s="2">
        <f t="shared" si="1002"/>
        <v>5250</v>
      </c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</row>
    <row r="1241" spans="1:33" s="14" customFormat="1">
      <c r="A1241" s="10">
        <v>43348</v>
      </c>
      <c r="B1241" s="3" t="s">
        <v>140</v>
      </c>
      <c r="C1241" s="15" t="s">
        <v>47</v>
      </c>
      <c r="D1241" s="15">
        <v>340</v>
      </c>
      <c r="E1241" s="11">
        <v>1750</v>
      </c>
      <c r="F1241" s="3" t="s">
        <v>8</v>
      </c>
      <c r="G1241" s="46">
        <v>12.55</v>
      </c>
      <c r="H1241" s="3">
        <v>13.55</v>
      </c>
      <c r="I1241" s="46">
        <v>16</v>
      </c>
      <c r="J1241" s="55">
        <v>0</v>
      </c>
      <c r="K1241" s="1">
        <f t="shared" ref="K1241" si="1048">(IF(F1241="SELL",G1241-H1241,IF(F1241="BUY",H1241-G1241)))*E1241</f>
        <v>1750</v>
      </c>
      <c r="L1241" s="51">
        <f t="shared" si="1047"/>
        <v>4287.4999999999991</v>
      </c>
      <c r="M1241" s="52">
        <v>0</v>
      </c>
      <c r="N1241" s="2">
        <f t="shared" si="987"/>
        <v>3.4499999999999993</v>
      </c>
      <c r="O1241" s="2">
        <f t="shared" si="1002"/>
        <v>6037.4999999999991</v>
      </c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</row>
    <row r="1242" spans="1:33" s="14" customFormat="1">
      <c r="A1242" s="10">
        <v>43347</v>
      </c>
      <c r="B1242" s="3" t="s">
        <v>360</v>
      </c>
      <c r="C1242" s="15" t="s">
        <v>47</v>
      </c>
      <c r="D1242" s="15">
        <v>80</v>
      </c>
      <c r="E1242" s="11">
        <v>7000</v>
      </c>
      <c r="F1242" s="3" t="s">
        <v>8</v>
      </c>
      <c r="G1242" s="46">
        <v>2.1</v>
      </c>
      <c r="H1242" s="3">
        <v>2.4</v>
      </c>
      <c r="I1242" s="46">
        <v>0</v>
      </c>
      <c r="J1242" s="55">
        <v>0</v>
      </c>
      <c r="K1242" s="1">
        <f t="shared" ref="K1242:K1243" si="1049">(IF(F1242="SELL",G1242-H1242,IF(F1242="BUY",H1242-G1242)))*E1242</f>
        <v>2099.9999999999986</v>
      </c>
      <c r="L1242" s="51">
        <v>0</v>
      </c>
      <c r="M1242" s="52">
        <v>0</v>
      </c>
      <c r="N1242" s="2">
        <f t="shared" si="987"/>
        <v>0.29999999999999982</v>
      </c>
      <c r="O1242" s="2">
        <f t="shared" si="1002"/>
        <v>2099.9999999999986</v>
      </c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</row>
    <row r="1243" spans="1:33" s="14" customFormat="1">
      <c r="A1243" s="10">
        <v>43347</v>
      </c>
      <c r="B1243" s="3" t="s">
        <v>157</v>
      </c>
      <c r="C1243" s="15" t="s">
        <v>47</v>
      </c>
      <c r="D1243" s="15">
        <v>900</v>
      </c>
      <c r="E1243" s="11">
        <v>750</v>
      </c>
      <c r="F1243" s="3" t="s">
        <v>8</v>
      </c>
      <c r="G1243" s="46">
        <v>30.5</v>
      </c>
      <c r="H1243" s="3">
        <v>26</v>
      </c>
      <c r="I1243" s="46">
        <v>0</v>
      </c>
      <c r="J1243" s="55">
        <v>0</v>
      </c>
      <c r="K1243" s="1">
        <f t="shared" si="1049"/>
        <v>-3375</v>
      </c>
      <c r="L1243" s="51">
        <v>0</v>
      </c>
      <c r="M1243" s="52">
        <v>0</v>
      </c>
      <c r="N1243" s="2">
        <f t="shared" si="987"/>
        <v>-4.5</v>
      </c>
      <c r="O1243" s="2">
        <f t="shared" si="1002"/>
        <v>-3375</v>
      </c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</row>
    <row r="1244" spans="1:33" s="14" customFormat="1">
      <c r="A1244" s="10">
        <v>43347</v>
      </c>
      <c r="B1244" s="3" t="s">
        <v>140</v>
      </c>
      <c r="C1244" s="15" t="s">
        <v>47</v>
      </c>
      <c r="D1244" s="15">
        <v>350</v>
      </c>
      <c r="E1244" s="11">
        <v>1750</v>
      </c>
      <c r="F1244" s="3" t="s">
        <v>8</v>
      </c>
      <c r="G1244" s="46">
        <v>11</v>
      </c>
      <c r="H1244" s="3">
        <v>8.5</v>
      </c>
      <c r="I1244" s="46">
        <v>0</v>
      </c>
      <c r="J1244" s="55">
        <v>0</v>
      </c>
      <c r="K1244" s="1">
        <f t="shared" ref="K1244" si="1050">(IF(F1244="SELL",G1244-H1244,IF(F1244="BUY",H1244-G1244)))*E1244</f>
        <v>-4375</v>
      </c>
      <c r="L1244" s="51">
        <v>0</v>
      </c>
      <c r="M1244" s="52">
        <v>0</v>
      </c>
      <c r="N1244" s="2">
        <f t="shared" si="987"/>
        <v>-2.5</v>
      </c>
      <c r="O1244" s="2">
        <f t="shared" si="1002"/>
        <v>-4375</v>
      </c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</row>
    <row r="1245" spans="1:33" s="14" customFormat="1">
      <c r="A1245" s="10">
        <v>43346</v>
      </c>
      <c r="B1245" s="3" t="s">
        <v>359</v>
      </c>
      <c r="C1245" s="15" t="s">
        <v>47</v>
      </c>
      <c r="D1245" s="15">
        <v>2800</v>
      </c>
      <c r="E1245" s="11">
        <v>250</v>
      </c>
      <c r="F1245" s="3" t="s">
        <v>8</v>
      </c>
      <c r="G1245" s="46">
        <v>68.5</v>
      </c>
      <c r="H1245" s="3">
        <v>74</v>
      </c>
      <c r="I1245" s="46">
        <v>80</v>
      </c>
      <c r="J1245" s="55">
        <v>0</v>
      </c>
      <c r="K1245" s="1">
        <f t="shared" ref="K1245" si="1051">(IF(F1245="SELL",G1245-H1245,IF(F1245="BUY",H1245-G1245)))*E1245</f>
        <v>1375</v>
      </c>
      <c r="L1245" s="51">
        <f t="shared" ref="L1245" si="1052">(IF(F1245="SELL",IF(I1245="",0,H1245-I1245),IF(F1245="BUY",IF(I1245="",0,I1245-H1245))))*E1245</f>
        <v>1500</v>
      </c>
      <c r="M1245" s="52">
        <v>0</v>
      </c>
      <c r="N1245" s="2">
        <f t="shared" si="987"/>
        <v>11.5</v>
      </c>
      <c r="O1245" s="2">
        <f t="shared" si="1002"/>
        <v>2875</v>
      </c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</row>
    <row r="1246" spans="1:33" s="14" customFormat="1">
      <c r="A1246" s="10">
        <v>43346</v>
      </c>
      <c r="B1246" s="3" t="s">
        <v>355</v>
      </c>
      <c r="C1246" s="15" t="s">
        <v>47</v>
      </c>
      <c r="D1246" s="15">
        <v>330</v>
      </c>
      <c r="E1246" s="11">
        <v>1250</v>
      </c>
      <c r="F1246" s="3" t="s">
        <v>8</v>
      </c>
      <c r="G1246" s="46">
        <v>11.5</v>
      </c>
      <c r="H1246" s="3">
        <v>13</v>
      </c>
      <c r="I1246" s="46">
        <v>0</v>
      </c>
      <c r="J1246" s="55">
        <v>0</v>
      </c>
      <c r="K1246" s="1">
        <f t="shared" ref="K1246" si="1053">(IF(F1246="SELL",G1246-H1246,IF(F1246="BUY",H1246-G1246)))*E1246</f>
        <v>1875</v>
      </c>
      <c r="L1246" s="51">
        <v>0</v>
      </c>
      <c r="M1246" s="52">
        <v>0</v>
      </c>
      <c r="N1246" s="2">
        <f t="shared" si="987"/>
        <v>1.5</v>
      </c>
      <c r="O1246" s="2">
        <f t="shared" si="1002"/>
        <v>1875</v>
      </c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</row>
    <row r="1247" spans="1:33" s="14" customFormat="1">
      <c r="A1247" s="10">
        <v>43346</v>
      </c>
      <c r="B1247" s="3" t="s">
        <v>358</v>
      </c>
      <c r="C1247" s="15" t="s">
        <v>47</v>
      </c>
      <c r="D1247" s="15">
        <v>80</v>
      </c>
      <c r="E1247" s="11">
        <v>7000</v>
      </c>
      <c r="F1247" s="3" t="s">
        <v>8</v>
      </c>
      <c r="G1247" s="46">
        <v>3.7</v>
      </c>
      <c r="H1247" s="3">
        <v>4</v>
      </c>
      <c r="I1247" s="46">
        <v>0</v>
      </c>
      <c r="J1247" s="55">
        <v>0</v>
      </c>
      <c r="K1247" s="1">
        <f t="shared" ref="K1247" si="1054">(IF(F1247="SELL",G1247-H1247,IF(F1247="BUY",H1247-G1247)))*E1247</f>
        <v>2099.9999999999986</v>
      </c>
      <c r="L1247" s="51">
        <v>0</v>
      </c>
      <c r="M1247" s="52">
        <v>0</v>
      </c>
      <c r="N1247" s="2">
        <f t="shared" si="987"/>
        <v>0.29999999999999982</v>
      </c>
      <c r="O1247" s="2">
        <f t="shared" si="1002"/>
        <v>2099.9999999999986</v>
      </c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</row>
    <row r="1248" spans="1:33" s="14" customFormat="1">
      <c r="A1248" s="10">
        <v>43346</v>
      </c>
      <c r="B1248" s="3" t="s">
        <v>211</v>
      </c>
      <c r="C1248" s="15" t="s">
        <v>47</v>
      </c>
      <c r="D1248" s="15">
        <v>1450</v>
      </c>
      <c r="E1248" s="11">
        <v>750</v>
      </c>
      <c r="F1248" s="3" t="s">
        <v>8</v>
      </c>
      <c r="G1248" s="46">
        <v>38</v>
      </c>
      <c r="H1248" s="3">
        <v>32</v>
      </c>
      <c r="I1248" s="46">
        <v>0</v>
      </c>
      <c r="J1248" s="55">
        <v>0</v>
      </c>
      <c r="K1248" s="1">
        <f t="shared" ref="K1248" si="1055">(IF(F1248="SELL",G1248-H1248,IF(F1248="BUY",H1248-G1248)))*E1248</f>
        <v>-4500</v>
      </c>
      <c r="L1248" s="51">
        <v>0</v>
      </c>
      <c r="M1248" s="52">
        <v>0</v>
      </c>
      <c r="N1248" s="2">
        <f t="shared" si="987"/>
        <v>-6</v>
      </c>
      <c r="O1248" s="2">
        <f t="shared" si="1002"/>
        <v>-4500</v>
      </c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</row>
    <row r="1249" spans="1:33" s="14" customFormat="1">
      <c r="A1249" s="10">
        <v>43343</v>
      </c>
      <c r="B1249" s="3" t="s">
        <v>357</v>
      </c>
      <c r="C1249" s="15" t="s">
        <v>47</v>
      </c>
      <c r="D1249" s="15">
        <v>1080</v>
      </c>
      <c r="E1249" s="11">
        <v>1200</v>
      </c>
      <c r="F1249" s="3" t="s">
        <v>8</v>
      </c>
      <c r="G1249" s="46">
        <v>43.15</v>
      </c>
      <c r="H1249" s="3">
        <v>45</v>
      </c>
      <c r="I1249" s="46">
        <v>50</v>
      </c>
      <c r="J1249" s="55">
        <v>55</v>
      </c>
      <c r="K1249" s="1">
        <f t="shared" ref="K1249" si="1056">(IF(F1249="SELL",G1249-H1249,IF(F1249="BUY",H1249-G1249)))*E1249</f>
        <v>2220.0000000000018</v>
      </c>
      <c r="L1249" s="51">
        <f t="shared" ref="L1249" si="1057">(IF(F1249="SELL",IF(I1249="",0,H1249-I1249),IF(F1249="BUY",IF(I1249="",0,I1249-H1249))))*E1249</f>
        <v>6000</v>
      </c>
      <c r="M1249" s="52">
        <v>6000</v>
      </c>
      <c r="N1249" s="2">
        <f t="shared" si="987"/>
        <v>11.850000000000001</v>
      </c>
      <c r="O1249" s="2">
        <f t="shared" si="1002"/>
        <v>14220.000000000002</v>
      </c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</row>
    <row r="1250" spans="1:33" s="14" customFormat="1">
      <c r="A1250" s="10">
        <v>43343</v>
      </c>
      <c r="B1250" s="3" t="s">
        <v>329</v>
      </c>
      <c r="C1250" s="15" t="s">
        <v>47</v>
      </c>
      <c r="D1250" s="15">
        <v>1400</v>
      </c>
      <c r="E1250" s="11">
        <v>750</v>
      </c>
      <c r="F1250" s="3" t="s">
        <v>8</v>
      </c>
      <c r="G1250" s="46">
        <v>39.5</v>
      </c>
      <c r="H1250" s="3">
        <v>42</v>
      </c>
      <c r="I1250" s="46">
        <v>45</v>
      </c>
      <c r="J1250" s="55">
        <v>50</v>
      </c>
      <c r="K1250" s="1">
        <f t="shared" ref="K1250" si="1058">(IF(F1250="SELL",G1250-H1250,IF(F1250="BUY",H1250-G1250)))*E1250</f>
        <v>1875</v>
      </c>
      <c r="L1250" s="51">
        <f t="shared" ref="L1250" si="1059">(IF(F1250="SELL",IF(I1250="",0,H1250-I1250),IF(F1250="BUY",IF(I1250="",0,I1250-H1250))))*E1250</f>
        <v>2250</v>
      </c>
      <c r="M1250" s="52">
        <v>3750</v>
      </c>
      <c r="N1250" s="2">
        <f t="shared" si="987"/>
        <v>10.5</v>
      </c>
      <c r="O1250" s="2">
        <f t="shared" si="1002"/>
        <v>7875</v>
      </c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</row>
    <row r="1251" spans="1:33" s="14" customFormat="1">
      <c r="A1251" s="10">
        <v>43343</v>
      </c>
      <c r="B1251" s="3" t="s">
        <v>356</v>
      </c>
      <c r="C1251" s="15" t="s">
        <v>47</v>
      </c>
      <c r="D1251" s="15">
        <v>55</v>
      </c>
      <c r="E1251" s="11">
        <v>7000</v>
      </c>
      <c r="F1251" s="3" t="s">
        <v>8</v>
      </c>
      <c r="G1251" s="46">
        <v>4.05</v>
      </c>
      <c r="H1251" s="3">
        <v>4.3</v>
      </c>
      <c r="I1251" s="46">
        <v>0</v>
      </c>
      <c r="J1251" s="55">
        <v>0</v>
      </c>
      <c r="K1251" s="1">
        <f t="shared" ref="K1251" si="1060">(IF(F1251="SELL",G1251-H1251,IF(F1251="BUY",H1251-G1251)))*E1251</f>
        <v>1750</v>
      </c>
      <c r="L1251" s="51">
        <v>0</v>
      </c>
      <c r="M1251" s="52">
        <v>0</v>
      </c>
      <c r="N1251" s="2">
        <f t="shared" si="987"/>
        <v>0.25</v>
      </c>
      <c r="O1251" s="2">
        <f t="shared" si="1002"/>
        <v>1750</v>
      </c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</row>
    <row r="1252" spans="1:33" s="14" customFormat="1">
      <c r="A1252" s="10">
        <v>43342</v>
      </c>
      <c r="B1252" s="3" t="s">
        <v>348</v>
      </c>
      <c r="C1252" s="15" t="s">
        <v>47</v>
      </c>
      <c r="D1252" s="15">
        <v>120</v>
      </c>
      <c r="E1252" s="11">
        <v>3500</v>
      </c>
      <c r="F1252" s="3" t="s">
        <v>8</v>
      </c>
      <c r="G1252" s="46">
        <v>5</v>
      </c>
      <c r="H1252" s="3">
        <v>5.5</v>
      </c>
      <c r="I1252" s="46">
        <v>6.5</v>
      </c>
      <c r="J1252" s="55">
        <v>0</v>
      </c>
      <c r="K1252" s="1">
        <f t="shared" ref="K1252" si="1061">(IF(F1252="SELL",G1252-H1252,IF(F1252="BUY",H1252-G1252)))*E1252</f>
        <v>1750</v>
      </c>
      <c r="L1252" s="51">
        <f t="shared" ref="L1252" si="1062">(IF(F1252="SELL",IF(I1252="",0,H1252-I1252),IF(F1252="BUY",IF(I1252="",0,I1252-H1252))))*E1252</f>
        <v>3500</v>
      </c>
      <c r="M1252" s="52">
        <v>0</v>
      </c>
      <c r="N1252" s="2">
        <f t="shared" si="987"/>
        <v>1.5</v>
      </c>
      <c r="O1252" s="2">
        <f t="shared" si="1002"/>
        <v>5250</v>
      </c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</row>
    <row r="1253" spans="1:33" s="14" customFormat="1">
      <c r="A1253" s="10">
        <v>43342</v>
      </c>
      <c r="B1253" s="3" t="s">
        <v>300</v>
      </c>
      <c r="C1253" s="15" t="s">
        <v>47</v>
      </c>
      <c r="D1253" s="15">
        <v>480</v>
      </c>
      <c r="E1253" s="11">
        <v>1250</v>
      </c>
      <c r="F1253" s="3" t="s">
        <v>8</v>
      </c>
      <c r="G1253" s="46">
        <v>9.5</v>
      </c>
      <c r="H1253" s="3">
        <v>11</v>
      </c>
      <c r="I1253" s="46">
        <v>13.5</v>
      </c>
      <c r="J1253" s="55">
        <v>0</v>
      </c>
      <c r="K1253" s="1">
        <f t="shared" ref="K1253" si="1063">(IF(F1253="SELL",G1253-H1253,IF(F1253="BUY",H1253-G1253)))*E1253</f>
        <v>1875</v>
      </c>
      <c r="L1253" s="51">
        <f t="shared" ref="L1253" si="1064">(IF(F1253="SELL",IF(I1253="",0,H1253-I1253),IF(F1253="BUY",IF(I1253="",0,I1253-H1253))))*E1253</f>
        <v>3125</v>
      </c>
      <c r="M1253" s="52">
        <v>0</v>
      </c>
      <c r="N1253" s="2">
        <f t="shared" si="987"/>
        <v>4</v>
      </c>
      <c r="O1253" s="2">
        <f t="shared" si="1002"/>
        <v>5000</v>
      </c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</row>
    <row r="1254" spans="1:33" s="14" customFormat="1">
      <c r="A1254" s="10">
        <v>43342</v>
      </c>
      <c r="B1254" s="3" t="s">
        <v>354</v>
      </c>
      <c r="C1254" s="15" t="s">
        <v>47</v>
      </c>
      <c r="D1254" s="15">
        <v>1400</v>
      </c>
      <c r="E1254" s="11">
        <v>700</v>
      </c>
      <c r="F1254" s="3" t="s">
        <v>8</v>
      </c>
      <c r="G1254" s="46">
        <v>20</v>
      </c>
      <c r="H1254" s="3">
        <v>22</v>
      </c>
      <c r="I1254" s="46">
        <v>0</v>
      </c>
      <c r="J1254" s="55">
        <v>0</v>
      </c>
      <c r="K1254" s="1">
        <f t="shared" ref="K1254" si="1065">(IF(F1254="SELL",G1254-H1254,IF(F1254="BUY",H1254-G1254)))*E1254</f>
        <v>1400</v>
      </c>
      <c r="L1254" s="51">
        <v>0</v>
      </c>
      <c r="M1254" s="52">
        <v>0</v>
      </c>
      <c r="N1254" s="2">
        <f t="shared" ref="N1254:N1317" si="1066">(L1254+K1254+M1254)/E1254</f>
        <v>2</v>
      </c>
      <c r="O1254" s="2">
        <f t="shared" si="1002"/>
        <v>1400</v>
      </c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</row>
    <row r="1255" spans="1:33" s="14" customFormat="1">
      <c r="A1255" s="10">
        <v>43341</v>
      </c>
      <c r="B1255" s="3" t="s">
        <v>306</v>
      </c>
      <c r="C1255" s="15" t="s">
        <v>47</v>
      </c>
      <c r="D1255" s="15">
        <v>80</v>
      </c>
      <c r="E1255" s="11">
        <v>6000</v>
      </c>
      <c r="F1255" s="3" t="s">
        <v>8</v>
      </c>
      <c r="G1255" s="46">
        <v>3.5</v>
      </c>
      <c r="H1255" s="3">
        <v>3.8</v>
      </c>
      <c r="I1255" s="46">
        <v>4.5</v>
      </c>
      <c r="J1255" s="55">
        <v>5.2</v>
      </c>
      <c r="K1255" s="1">
        <f t="shared" ref="K1255" si="1067">(IF(F1255="SELL",G1255-H1255,IF(F1255="BUY",H1255-G1255)))*E1255</f>
        <v>1799.9999999999989</v>
      </c>
      <c r="L1255" s="51">
        <f t="shared" ref="L1255" si="1068">(IF(F1255="SELL",IF(I1255="",0,H1255-I1255),IF(F1255="BUY",IF(I1255="",0,I1255-H1255))))*E1255</f>
        <v>4200.0000000000009</v>
      </c>
      <c r="M1255" s="52">
        <v>4200</v>
      </c>
      <c r="N1255" s="2">
        <f t="shared" si="1066"/>
        <v>1.7</v>
      </c>
      <c r="O1255" s="2">
        <f t="shared" si="1002"/>
        <v>10200</v>
      </c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</row>
    <row r="1256" spans="1:33" s="14" customFormat="1">
      <c r="A1256" s="10">
        <v>43341</v>
      </c>
      <c r="B1256" s="3" t="s">
        <v>267</v>
      </c>
      <c r="C1256" s="15" t="s">
        <v>47</v>
      </c>
      <c r="D1256" s="15">
        <v>75</v>
      </c>
      <c r="E1256" s="11">
        <v>7500</v>
      </c>
      <c r="F1256" s="3" t="s">
        <v>8</v>
      </c>
      <c r="G1256" s="46">
        <v>3.4</v>
      </c>
      <c r="H1256" s="3">
        <v>3.7</v>
      </c>
      <c r="I1256" s="46">
        <v>4.2</v>
      </c>
      <c r="J1256" s="55">
        <v>5</v>
      </c>
      <c r="K1256" s="1">
        <f t="shared" ref="K1256" si="1069">(IF(F1256="SELL",G1256-H1256,IF(F1256="BUY",H1256-G1256)))*E1256</f>
        <v>2250.0000000000018</v>
      </c>
      <c r="L1256" s="51">
        <f t="shared" ref="L1256" si="1070">(IF(F1256="SELL",IF(I1256="",0,H1256-I1256),IF(F1256="BUY",IF(I1256="",0,I1256-H1256))))*E1256</f>
        <v>3750</v>
      </c>
      <c r="M1256" s="52">
        <v>6000</v>
      </c>
      <c r="N1256" s="2">
        <f t="shared" si="1066"/>
        <v>1.6000000000000003</v>
      </c>
      <c r="O1256" s="2">
        <f t="shared" si="1002"/>
        <v>12000.000000000002</v>
      </c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</row>
    <row r="1257" spans="1:33" s="14" customFormat="1">
      <c r="A1257" s="10">
        <v>43340</v>
      </c>
      <c r="B1257" s="3" t="s">
        <v>272</v>
      </c>
      <c r="C1257" s="15" t="s">
        <v>47</v>
      </c>
      <c r="D1257" s="15">
        <v>75</v>
      </c>
      <c r="E1257" s="11">
        <v>9000</v>
      </c>
      <c r="F1257" s="3" t="s">
        <v>8</v>
      </c>
      <c r="G1257" s="46">
        <v>4.2</v>
      </c>
      <c r="H1257" s="3">
        <v>4.5</v>
      </c>
      <c r="I1257" s="46">
        <v>5</v>
      </c>
      <c r="J1257" s="55">
        <v>0</v>
      </c>
      <c r="K1257" s="1">
        <f t="shared" ref="K1257" si="1071">(IF(F1257="SELL",G1257-H1257,IF(F1257="BUY",H1257-G1257)))*E1257</f>
        <v>2699.9999999999982</v>
      </c>
      <c r="L1257" s="51">
        <f t="shared" ref="L1257" si="1072">(IF(F1257="SELL",IF(I1257="",0,H1257-I1257),IF(F1257="BUY",IF(I1257="",0,I1257-H1257))))*E1257</f>
        <v>4500</v>
      </c>
      <c r="M1257" s="52">
        <v>0</v>
      </c>
      <c r="N1257" s="2">
        <f t="shared" si="1066"/>
        <v>0.79999999999999982</v>
      </c>
      <c r="O1257" s="2">
        <f t="shared" si="1002"/>
        <v>7199.9999999999982</v>
      </c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</row>
    <row r="1258" spans="1:33" s="14" customFormat="1">
      <c r="A1258" s="10">
        <v>43340</v>
      </c>
      <c r="B1258" s="3" t="s">
        <v>353</v>
      </c>
      <c r="C1258" s="15" t="s">
        <v>47</v>
      </c>
      <c r="D1258" s="15">
        <v>180</v>
      </c>
      <c r="E1258" s="11">
        <v>4500</v>
      </c>
      <c r="F1258" s="3" t="s">
        <v>8</v>
      </c>
      <c r="G1258" s="46">
        <v>4</v>
      </c>
      <c r="H1258" s="3">
        <v>4.3</v>
      </c>
      <c r="I1258" s="46">
        <v>5</v>
      </c>
      <c r="J1258" s="55">
        <v>0</v>
      </c>
      <c r="K1258" s="1">
        <f t="shared" ref="K1258" si="1073">(IF(F1258="SELL",G1258-H1258,IF(F1258="BUY",H1258-G1258)))*E1258</f>
        <v>1349.9999999999991</v>
      </c>
      <c r="L1258" s="51">
        <f t="shared" ref="L1258" si="1074">(IF(F1258="SELL",IF(I1258="",0,H1258-I1258),IF(F1258="BUY",IF(I1258="",0,I1258-H1258))))*E1258</f>
        <v>3150.0000000000009</v>
      </c>
      <c r="M1258" s="52">
        <v>0</v>
      </c>
      <c r="N1258" s="2">
        <f t="shared" si="1066"/>
        <v>1</v>
      </c>
      <c r="O1258" s="2">
        <f t="shared" si="1002"/>
        <v>4500</v>
      </c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</row>
    <row r="1259" spans="1:33" s="14" customFormat="1">
      <c r="A1259" s="10">
        <v>43340</v>
      </c>
      <c r="B1259" s="3" t="s">
        <v>190</v>
      </c>
      <c r="C1259" s="15" t="s">
        <v>46</v>
      </c>
      <c r="D1259" s="15">
        <v>1060</v>
      </c>
      <c r="E1259" s="11">
        <v>1100</v>
      </c>
      <c r="F1259" s="3" t="s">
        <v>8</v>
      </c>
      <c r="G1259" s="46">
        <v>10.5</v>
      </c>
      <c r="H1259" s="3">
        <v>6</v>
      </c>
      <c r="I1259" s="46">
        <v>0</v>
      </c>
      <c r="J1259" s="55">
        <v>0</v>
      </c>
      <c r="K1259" s="1">
        <f t="shared" ref="K1259" si="1075">(IF(F1259="SELL",G1259-H1259,IF(F1259="BUY",H1259-G1259)))*E1259</f>
        <v>-4950</v>
      </c>
      <c r="L1259" s="51">
        <v>0</v>
      </c>
      <c r="M1259" s="52">
        <v>0</v>
      </c>
      <c r="N1259" s="2">
        <f t="shared" si="1066"/>
        <v>-4.5</v>
      </c>
      <c r="O1259" s="2">
        <f t="shared" si="1002"/>
        <v>-4950</v>
      </c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</row>
    <row r="1260" spans="1:33" s="14" customFormat="1">
      <c r="A1260" s="10">
        <v>43339</v>
      </c>
      <c r="B1260" s="3" t="s">
        <v>313</v>
      </c>
      <c r="C1260" s="15" t="s">
        <v>47</v>
      </c>
      <c r="D1260" s="15">
        <v>110</v>
      </c>
      <c r="E1260" s="11">
        <v>6000</v>
      </c>
      <c r="F1260" s="3" t="s">
        <v>8</v>
      </c>
      <c r="G1260" s="46">
        <v>5.5</v>
      </c>
      <c r="H1260" s="3">
        <v>6</v>
      </c>
      <c r="I1260" s="46">
        <v>6.5</v>
      </c>
      <c r="J1260" s="55">
        <v>7</v>
      </c>
      <c r="K1260" s="1">
        <f t="shared" ref="K1260" si="1076">(IF(F1260="SELL",G1260-H1260,IF(F1260="BUY",H1260-G1260)))*E1260</f>
        <v>3000</v>
      </c>
      <c r="L1260" s="51">
        <f t="shared" ref="L1260" si="1077">(IF(F1260="SELL",IF(I1260="",0,H1260-I1260),IF(F1260="BUY",IF(I1260="",0,I1260-H1260))))*E1260</f>
        <v>3000</v>
      </c>
      <c r="M1260" s="52">
        <v>3000</v>
      </c>
      <c r="N1260" s="2">
        <f t="shared" si="1066"/>
        <v>1.5</v>
      </c>
      <c r="O1260" s="2">
        <f t="shared" si="1002"/>
        <v>9000</v>
      </c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</row>
    <row r="1261" spans="1:33" s="14" customFormat="1">
      <c r="A1261" s="10">
        <v>43339</v>
      </c>
      <c r="B1261" s="3" t="s">
        <v>248</v>
      </c>
      <c r="C1261" s="15" t="s">
        <v>47</v>
      </c>
      <c r="D1261" s="15">
        <v>380</v>
      </c>
      <c r="E1261" s="11">
        <v>1300</v>
      </c>
      <c r="F1261" s="3" t="s">
        <v>8</v>
      </c>
      <c r="G1261" s="46">
        <v>4.95</v>
      </c>
      <c r="H1261" s="3">
        <v>6</v>
      </c>
      <c r="I1261" s="46">
        <v>0</v>
      </c>
      <c r="J1261" s="55">
        <v>0</v>
      </c>
      <c r="K1261" s="1">
        <f t="shared" ref="K1261" si="1078">(IF(F1261="SELL",G1261-H1261,IF(F1261="BUY",H1261-G1261)))*E1261</f>
        <v>1364.9999999999998</v>
      </c>
      <c r="L1261" s="51">
        <v>0</v>
      </c>
      <c r="M1261" s="52">
        <v>0</v>
      </c>
      <c r="N1261" s="2">
        <f t="shared" si="1066"/>
        <v>1.0499999999999998</v>
      </c>
      <c r="O1261" s="2">
        <f t="shared" si="1002"/>
        <v>1364.9999999999998</v>
      </c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</row>
    <row r="1262" spans="1:33" s="14" customFormat="1">
      <c r="A1262" s="10">
        <v>43336</v>
      </c>
      <c r="B1262" s="3" t="s">
        <v>121</v>
      </c>
      <c r="C1262" s="15" t="s">
        <v>47</v>
      </c>
      <c r="D1262" s="15">
        <v>820</v>
      </c>
      <c r="E1262" s="11">
        <v>800</v>
      </c>
      <c r="F1262" s="3" t="s">
        <v>8</v>
      </c>
      <c r="G1262" s="46">
        <v>15</v>
      </c>
      <c r="H1262" s="3">
        <v>18</v>
      </c>
      <c r="I1262" s="46">
        <v>0</v>
      </c>
      <c r="J1262" s="55">
        <v>0</v>
      </c>
      <c r="K1262" s="1">
        <f t="shared" ref="K1262" si="1079">(IF(F1262="SELL",G1262-H1262,IF(F1262="BUY",H1262-G1262)))*E1262</f>
        <v>2400</v>
      </c>
      <c r="L1262" s="51">
        <v>0</v>
      </c>
      <c r="M1262" s="52">
        <v>0</v>
      </c>
      <c r="N1262" s="2">
        <f t="shared" si="1066"/>
        <v>3</v>
      </c>
      <c r="O1262" s="2">
        <f t="shared" si="1002"/>
        <v>2400</v>
      </c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</row>
    <row r="1263" spans="1:33" s="14" customFormat="1">
      <c r="A1263" s="10">
        <v>43336</v>
      </c>
      <c r="B1263" s="3" t="s">
        <v>154</v>
      </c>
      <c r="C1263" s="15" t="s">
        <v>47</v>
      </c>
      <c r="D1263" s="15">
        <v>360</v>
      </c>
      <c r="E1263" s="11">
        <v>1800</v>
      </c>
      <c r="F1263" s="3" t="s">
        <v>8</v>
      </c>
      <c r="G1263" s="46">
        <v>12.5</v>
      </c>
      <c r="H1263" s="3">
        <v>0</v>
      </c>
      <c r="I1263" s="46">
        <v>0</v>
      </c>
      <c r="J1263" s="55">
        <v>0</v>
      </c>
      <c r="K1263" s="1">
        <v>0</v>
      </c>
      <c r="L1263" s="51">
        <f t="shared" ref="L1263" si="1080">(IF(F1263="SELL",IF(I1263="",0,H1263-I1263),IF(F1263="BUY",IF(I1263="",0,I1263-H1263))))*E1263</f>
        <v>0</v>
      </c>
      <c r="M1263" s="52">
        <v>0</v>
      </c>
      <c r="N1263" s="2">
        <f t="shared" si="1066"/>
        <v>0</v>
      </c>
      <c r="O1263" s="2">
        <f t="shared" si="1002"/>
        <v>0</v>
      </c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</row>
    <row r="1264" spans="1:33" s="14" customFormat="1">
      <c r="A1264" s="10">
        <v>43335</v>
      </c>
      <c r="B1264" s="3" t="s">
        <v>121</v>
      </c>
      <c r="C1264" s="15" t="s">
        <v>47</v>
      </c>
      <c r="D1264" s="15">
        <v>800</v>
      </c>
      <c r="E1264" s="11">
        <v>800</v>
      </c>
      <c r="F1264" s="3" t="s">
        <v>8</v>
      </c>
      <c r="G1264" s="46">
        <v>19.3</v>
      </c>
      <c r="H1264" s="3">
        <v>23.3</v>
      </c>
      <c r="I1264" s="46">
        <v>27.45</v>
      </c>
      <c r="J1264" s="55">
        <v>0</v>
      </c>
      <c r="K1264" s="1">
        <f t="shared" ref="K1264" si="1081">(IF(F1264="SELL",G1264-H1264,IF(F1264="BUY",H1264-G1264)))*E1264</f>
        <v>3200</v>
      </c>
      <c r="L1264" s="51">
        <f t="shared" ref="L1264" si="1082">(IF(F1264="SELL",IF(I1264="",0,H1264-I1264),IF(F1264="BUY",IF(I1264="",0,I1264-H1264))))*E1264</f>
        <v>3319.9999999999991</v>
      </c>
      <c r="M1264" s="52">
        <v>0</v>
      </c>
      <c r="N1264" s="2">
        <f t="shared" si="1066"/>
        <v>8.1499999999999986</v>
      </c>
      <c r="O1264" s="2">
        <f t="shared" si="1002"/>
        <v>6519.9999999999991</v>
      </c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</row>
    <row r="1265" spans="1:33" s="14" customFormat="1">
      <c r="A1265" s="10">
        <v>43335</v>
      </c>
      <c r="B1265" s="3" t="s">
        <v>85</v>
      </c>
      <c r="C1265" s="15" t="s">
        <v>47</v>
      </c>
      <c r="D1265" s="15">
        <v>490</v>
      </c>
      <c r="E1265" s="11">
        <v>1200</v>
      </c>
      <c r="F1265" s="3" t="s">
        <v>8</v>
      </c>
      <c r="G1265" s="46">
        <v>10</v>
      </c>
      <c r="H1265" s="3">
        <v>11</v>
      </c>
      <c r="I1265" s="46">
        <v>0</v>
      </c>
      <c r="J1265" s="55">
        <v>0</v>
      </c>
      <c r="K1265" s="1">
        <f t="shared" ref="K1265" si="1083">(IF(F1265="SELL",G1265-H1265,IF(F1265="BUY",H1265-G1265)))*E1265</f>
        <v>1200</v>
      </c>
      <c r="L1265" s="51">
        <v>0</v>
      </c>
      <c r="M1265" s="52">
        <v>0</v>
      </c>
      <c r="N1265" s="2">
        <f t="shared" si="1066"/>
        <v>1</v>
      </c>
      <c r="O1265" s="2">
        <f t="shared" ref="O1265:O1328" si="1084">N1265*E1265</f>
        <v>1200</v>
      </c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</row>
    <row r="1266" spans="1:33" s="14" customFormat="1">
      <c r="A1266" s="10">
        <v>43333</v>
      </c>
      <c r="B1266" s="3" t="s">
        <v>309</v>
      </c>
      <c r="C1266" s="15" t="s">
        <v>46</v>
      </c>
      <c r="D1266" s="15">
        <v>1950</v>
      </c>
      <c r="E1266" s="11">
        <v>500</v>
      </c>
      <c r="F1266" s="3" t="s">
        <v>8</v>
      </c>
      <c r="G1266" s="46">
        <v>36</v>
      </c>
      <c r="H1266" s="3">
        <v>40</v>
      </c>
      <c r="I1266" s="46">
        <v>45</v>
      </c>
      <c r="J1266" s="55">
        <v>50</v>
      </c>
      <c r="K1266" s="1">
        <f t="shared" ref="K1266" si="1085">(IF(F1266="SELL",G1266-H1266,IF(F1266="BUY",H1266-G1266)))*E1266</f>
        <v>2000</v>
      </c>
      <c r="L1266" s="51">
        <f t="shared" ref="L1266" si="1086">(IF(F1266="SELL",IF(I1266="",0,H1266-I1266),IF(F1266="BUY",IF(I1266="",0,I1266-H1266))))*E1266</f>
        <v>2500</v>
      </c>
      <c r="M1266" s="52">
        <v>2500</v>
      </c>
      <c r="N1266" s="2">
        <f t="shared" si="1066"/>
        <v>14</v>
      </c>
      <c r="O1266" s="2">
        <f t="shared" si="1084"/>
        <v>7000</v>
      </c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</row>
    <row r="1267" spans="1:33" s="14" customFormat="1">
      <c r="A1267" s="10">
        <v>43333</v>
      </c>
      <c r="B1267" s="3" t="s">
        <v>212</v>
      </c>
      <c r="C1267" s="15" t="s">
        <v>47</v>
      </c>
      <c r="D1267" s="15">
        <v>120</v>
      </c>
      <c r="E1267" s="11">
        <v>4950</v>
      </c>
      <c r="F1267" s="3" t="s">
        <v>8</v>
      </c>
      <c r="G1267" s="46">
        <v>3.05</v>
      </c>
      <c r="H1267" s="3">
        <v>3.35</v>
      </c>
      <c r="I1267" s="46">
        <v>0</v>
      </c>
      <c r="J1267" s="55">
        <v>0</v>
      </c>
      <c r="K1267" s="1">
        <f t="shared" ref="K1267" si="1087">(IF(F1267="SELL",G1267-H1267,IF(F1267="BUY",H1267-G1267)))*E1267</f>
        <v>1485.0000000000014</v>
      </c>
      <c r="L1267" s="51">
        <v>0</v>
      </c>
      <c r="M1267" s="52">
        <v>0</v>
      </c>
      <c r="N1267" s="2">
        <f t="shared" si="1066"/>
        <v>0.30000000000000027</v>
      </c>
      <c r="O1267" s="2">
        <f t="shared" si="1084"/>
        <v>1485.0000000000014</v>
      </c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</row>
    <row r="1268" spans="1:33" s="14" customFormat="1">
      <c r="A1268" s="10">
        <v>43332</v>
      </c>
      <c r="B1268" s="3" t="s">
        <v>164</v>
      </c>
      <c r="C1268" s="15" t="s">
        <v>47</v>
      </c>
      <c r="D1268" s="15">
        <v>220</v>
      </c>
      <c r="E1268" s="11">
        <v>1750</v>
      </c>
      <c r="F1268" s="3" t="s">
        <v>8</v>
      </c>
      <c r="G1268" s="46">
        <v>7</v>
      </c>
      <c r="H1268" s="3">
        <v>7.5</v>
      </c>
      <c r="I1268" s="46">
        <v>0</v>
      </c>
      <c r="J1268" s="55">
        <v>0</v>
      </c>
      <c r="K1268" s="1">
        <f t="shared" ref="K1268" si="1088">(IF(F1268="SELL",G1268-H1268,IF(F1268="BUY",H1268-G1268)))*E1268</f>
        <v>875</v>
      </c>
      <c r="L1268" s="51">
        <v>0</v>
      </c>
      <c r="M1268" s="52">
        <v>0</v>
      </c>
      <c r="N1268" s="2">
        <f t="shared" si="1066"/>
        <v>0.5</v>
      </c>
      <c r="O1268" s="2">
        <f t="shared" si="1084"/>
        <v>875</v>
      </c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</row>
    <row r="1269" spans="1:33" s="14" customFormat="1">
      <c r="A1269" s="10">
        <v>43332</v>
      </c>
      <c r="B1269" s="3" t="s">
        <v>212</v>
      </c>
      <c r="C1269" s="15" t="s">
        <v>47</v>
      </c>
      <c r="D1269" s="15">
        <v>115</v>
      </c>
      <c r="E1269" s="11">
        <v>4950</v>
      </c>
      <c r="F1269" s="3" t="s">
        <v>8</v>
      </c>
      <c r="G1269" s="46">
        <v>2.85</v>
      </c>
      <c r="H1269" s="3">
        <v>0</v>
      </c>
      <c r="I1269" s="46">
        <v>0</v>
      </c>
      <c r="J1269" s="55">
        <v>0</v>
      </c>
      <c r="K1269" s="1">
        <v>0</v>
      </c>
      <c r="L1269" s="51">
        <v>0</v>
      </c>
      <c r="M1269" s="52">
        <v>0</v>
      </c>
      <c r="N1269" s="2">
        <f t="shared" si="1066"/>
        <v>0</v>
      </c>
      <c r="O1269" s="2">
        <f t="shared" si="1084"/>
        <v>0</v>
      </c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</row>
    <row r="1270" spans="1:33" s="14" customFormat="1">
      <c r="A1270" s="10">
        <v>43329</v>
      </c>
      <c r="B1270" s="3" t="s">
        <v>286</v>
      </c>
      <c r="C1270" s="15" t="s">
        <v>47</v>
      </c>
      <c r="D1270" s="15">
        <v>1780</v>
      </c>
      <c r="E1270" s="11">
        <v>600</v>
      </c>
      <c r="F1270" s="3" t="s">
        <v>8</v>
      </c>
      <c r="G1270" s="46">
        <v>25.5</v>
      </c>
      <c r="H1270" s="3">
        <v>27.5</v>
      </c>
      <c r="I1270" s="46">
        <v>30</v>
      </c>
      <c r="J1270" s="55">
        <v>0</v>
      </c>
      <c r="K1270" s="1">
        <f t="shared" ref="K1270" si="1089">(IF(F1270="SELL",G1270-H1270,IF(F1270="BUY",H1270-G1270)))*E1270</f>
        <v>1200</v>
      </c>
      <c r="L1270" s="51">
        <f t="shared" ref="L1270" si="1090">(IF(F1270="SELL",IF(I1270="",0,H1270-I1270),IF(F1270="BUY",IF(I1270="",0,I1270-H1270))))*E1270</f>
        <v>1500</v>
      </c>
      <c r="M1270" s="52">
        <v>0</v>
      </c>
      <c r="N1270" s="2">
        <f t="shared" si="1066"/>
        <v>4.5</v>
      </c>
      <c r="O1270" s="2">
        <f t="shared" si="1084"/>
        <v>2700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</row>
    <row r="1271" spans="1:33" s="14" customFormat="1">
      <c r="A1271" s="10">
        <v>43329</v>
      </c>
      <c r="B1271" s="3" t="s">
        <v>345</v>
      </c>
      <c r="C1271" s="15" t="s">
        <v>47</v>
      </c>
      <c r="D1271" s="15">
        <v>440</v>
      </c>
      <c r="E1271" s="11">
        <v>800</v>
      </c>
      <c r="F1271" s="3" t="s">
        <v>8</v>
      </c>
      <c r="G1271" s="46">
        <v>20.149999999999999</v>
      </c>
      <c r="H1271" s="3">
        <v>22</v>
      </c>
      <c r="I1271" s="46">
        <v>0</v>
      </c>
      <c r="J1271" s="55">
        <v>0</v>
      </c>
      <c r="K1271" s="1">
        <f t="shared" ref="K1271" si="1091">(IF(F1271="SELL",G1271-H1271,IF(F1271="BUY",H1271-G1271)))*E1271</f>
        <v>1480.0000000000011</v>
      </c>
      <c r="L1271" s="51">
        <v>0</v>
      </c>
      <c r="M1271" s="52">
        <v>0</v>
      </c>
      <c r="N1271" s="2">
        <f t="shared" si="1066"/>
        <v>1.8500000000000014</v>
      </c>
      <c r="O1271" s="2">
        <f t="shared" si="1084"/>
        <v>1480.0000000000011</v>
      </c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</row>
    <row r="1272" spans="1:33" s="14" customFormat="1">
      <c r="A1272" s="10">
        <v>43329</v>
      </c>
      <c r="B1272" s="3" t="s">
        <v>159</v>
      </c>
      <c r="C1272" s="15" t="s">
        <v>47</v>
      </c>
      <c r="D1272" s="15">
        <v>640</v>
      </c>
      <c r="E1272" s="11">
        <v>1250</v>
      </c>
      <c r="F1272" s="3" t="s">
        <v>8</v>
      </c>
      <c r="G1272" s="46">
        <v>13.1</v>
      </c>
      <c r="H1272" s="3">
        <v>14.1</v>
      </c>
      <c r="I1272" s="46">
        <v>0</v>
      </c>
      <c r="J1272" s="55">
        <v>0</v>
      </c>
      <c r="K1272" s="1">
        <f t="shared" ref="K1272" si="1092">(IF(F1272="SELL",G1272-H1272,IF(F1272="BUY",H1272-G1272)))*E1272</f>
        <v>1250</v>
      </c>
      <c r="L1272" s="51">
        <v>0</v>
      </c>
      <c r="M1272" s="52">
        <v>0</v>
      </c>
      <c r="N1272" s="2">
        <f t="shared" si="1066"/>
        <v>1</v>
      </c>
      <c r="O1272" s="2">
        <f t="shared" si="1084"/>
        <v>1250</v>
      </c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</row>
    <row r="1273" spans="1:33" s="14" customFormat="1">
      <c r="A1273" s="10">
        <v>43329</v>
      </c>
      <c r="B1273" s="3" t="s">
        <v>96</v>
      </c>
      <c r="C1273" s="15" t="s">
        <v>47</v>
      </c>
      <c r="D1273" s="15">
        <v>960</v>
      </c>
      <c r="E1273" s="11">
        <v>1000</v>
      </c>
      <c r="F1273" s="3" t="s">
        <v>8</v>
      </c>
      <c r="G1273" s="46">
        <v>22</v>
      </c>
      <c r="H1273" s="3">
        <v>18</v>
      </c>
      <c r="I1273" s="46">
        <v>0</v>
      </c>
      <c r="J1273" s="55">
        <v>0</v>
      </c>
      <c r="K1273" s="1">
        <f t="shared" ref="K1273" si="1093">(IF(F1273="SELL",G1273-H1273,IF(F1273="BUY",H1273-G1273)))*E1273</f>
        <v>-4000</v>
      </c>
      <c r="L1273" s="51">
        <v>0</v>
      </c>
      <c r="M1273" s="52">
        <v>0</v>
      </c>
      <c r="N1273" s="2">
        <f t="shared" si="1066"/>
        <v>-4</v>
      </c>
      <c r="O1273" s="2">
        <f t="shared" si="1084"/>
        <v>-4000</v>
      </c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</row>
    <row r="1274" spans="1:33" s="14" customFormat="1">
      <c r="A1274" s="10">
        <v>43328</v>
      </c>
      <c r="B1274" s="3" t="s">
        <v>161</v>
      </c>
      <c r="C1274" s="15" t="s">
        <v>47</v>
      </c>
      <c r="D1274" s="15">
        <v>250</v>
      </c>
      <c r="E1274" s="11">
        <v>1500</v>
      </c>
      <c r="F1274" s="3" t="s">
        <v>8</v>
      </c>
      <c r="G1274" s="46">
        <v>6.5</v>
      </c>
      <c r="H1274" s="3">
        <v>7.5</v>
      </c>
      <c r="I1274" s="46">
        <v>0</v>
      </c>
      <c r="J1274" s="55">
        <v>0</v>
      </c>
      <c r="K1274" s="1">
        <f t="shared" ref="K1274:K1275" si="1094">(IF(F1274="SELL",G1274-H1274,IF(F1274="BUY",H1274-G1274)))*E1274</f>
        <v>1500</v>
      </c>
      <c r="L1274" s="51">
        <v>0</v>
      </c>
      <c r="M1274" s="52">
        <v>0</v>
      </c>
      <c r="N1274" s="2">
        <f t="shared" si="1066"/>
        <v>1</v>
      </c>
      <c r="O1274" s="2">
        <f t="shared" si="1084"/>
        <v>1500</v>
      </c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</row>
    <row r="1275" spans="1:33" s="14" customFormat="1">
      <c r="A1275" s="10">
        <v>43328</v>
      </c>
      <c r="B1275" s="3" t="s">
        <v>352</v>
      </c>
      <c r="C1275" s="15" t="s">
        <v>47</v>
      </c>
      <c r="D1275" s="15">
        <v>1440</v>
      </c>
      <c r="E1275" s="11">
        <v>350</v>
      </c>
      <c r="F1275" s="3" t="s">
        <v>8</v>
      </c>
      <c r="G1275" s="46">
        <v>42</v>
      </c>
      <c r="H1275" s="3">
        <v>45</v>
      </c>
      <c r="I1275" s="46">
        <v>0</v>
      </c>
      <c r="J1275" s="55">
        <v>0</v>
      </c>
      <c r="K1275" s="1">
        <f t="shared" si="1094"/>
        <v>1050</v>
      </c>
      <c r="L1275" s="51">
        <v>0</v>
      </c>
      <c r="M1275" s="52">
        <v>0</v>
      </c>
      <c r="N1275" s="2">
        <f t="shared" si="1066"/>
        <v>3</v>
      </c>
      <c r="O1275" s="2">
        <f t="shared" si="1084"/>
        <v>1050</v>
      </c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</row>
    <row r="1276" spans="1:33" s="14" customFormat="1">
      <c r="A1276" s="10">
        <v>43328</v>
      </c>
      <c r="B1276" s="3" t="s">
        <v>267</v>
      </c>
      <c r="C1276" s="15" t="s">
        <v>47</v>
      </c>
      <c r="D1276" s="15">
        <v>75</v>
      </c>
      <c r="E1276" s="11">
        <v>7500</v>
      </c>
      <c r="F1276" s="3" t="s">
        <v>8</v>
      </c>
      <c r="G1276" s="46">
        <v>1.5</v>
      </c>
      <c r="H1276" s="3">
        <v>0</v>
      </c>
      <c r="I1276" s="46">
        <v>0</v>
      </c>
      <c r="J1276" s="55">
        <v>0</v>
      </c>
      <c r="K1276" s="1">
        <v>0</v>
      </c>
      <c r="L1276" s="51">
        <v>0</v>
      </c>
      <c r="M1276" s="52">
        <v>0</v>
      </c>
      <c r="N1276" s="2">
        <f t="shared" si="1066"/>
        <v>0</v>
      </c>
      <c r="O1276" s="2">
        <f t="shared" si="1084"/>
        <v>0</v>
      </c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</row>
    <row r="1277" spans="1:33" s="14" customFormat="1">
      <c r="A1277" s="10">
        <v>43326</v>
      </c>
      <c r="B1277" s="3" t="s">
        <v>211</v>
      </c>
      <c r="C1277" s="15" t="s">
        <v>47</v>
      </c>
      <c r="D1277" s="15">
        <v>1350</v>
      </c>
      <c r="E1277" s="11">
        <v>750</v>
      </c>
      <c r="F1277" s="3" t="s">
        <v>8</v>
      </c>
      <c r="G1277" s="46">
        <v>33</v>
      </c>
      <c r="H1277" s="3">
        <v>35</v>
      </c>
      <c r="I1277" s="46">
        <v>38.5</v>
      </c>
      <c r="J1277" s="55">
        <v>0</v>
      </c>
      <c r="K1277" s="1">
        <f t="shared" ref="K1277" si="1095">(IF(F1277="SELL",G1277-H1277,IF(F1277="BUY",H1277-G1277)))*E1277</f>
        <v>1500</v>
      </c>
      <c r="L1277" s="51">
        <f t="shared" ref="L1277:L1284" si="1096">(IF(F1277="SELL",IF(I1277="",0,H1277-I1277),IF(F1277="BUY",IF(I1277="",0,I1277-H1277))))*E1277</f>
        <v>2625</v>
      </c>
      <c r="M1277" s="52">
        <v>0</v>
      </c>
      <c r="N1277" s="2">
        <f t="shared" si="1066"/>
        <v>5.5</v>
      </c>
      <c r="O1277" s="2">
        <f t="shared" si="1084"/>
        <v>4125</v>
      </c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</row>
    <row r="1278" spans="1:33" s="14" customFormat="1">
      <c r="A1278" s="10">
        <v>43326</v>
      </c>
      <c r="B1278" s="3" t="s">
        <v>337</v>
      </c>
      <c r="C1278" s="15" t="s">
        <v>47</v>
      </c>
      <c r="D1278" s="15">
        <v>1440</v>
      </c>
      <c r="E1278" s="11">
        <v>350</v>
      </c>
      <c r="F1278" s="3" t="s">
        <v>8</v>
      </c>
      <c r="G1278" s="46">
        <v>45</v>
      </c>
      <c r="H1278" s="3">
        <v>50</v>
      </c>
      <c r="I1278" s="46">
        <v>0</v>
      </c>
      <c r="J1278" s="55">
        <v>0</v>
      </c>
      <c r="K1278" s="1">
        <f t="shared" ref="K1278" si="1097">(IF(F1278="SELL",G1278-H1278,IF(F1278="BUY",H1278-G1278)))*E1278</f>
        <v>1750</v>
      </c>
      <c r="L1278" s="51">
        <v>0</v>
      </c>
      <c r="M1278" s="52">
        <v>0</v>
      </c>
      <c r="N1278" s="2">
        <f t="shared" si="1066"/>
        <v>5</v>
      </c>
      <c r="O1278" s="2">
        <f t="shared" si="1084"/>
        <v>1750</v>
      </c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</row>
    <row r="1279" spans="1:33" s="14" customFormat="1">
      <c r="A1279" s="10">
        <v>43325</v>
      </c>
      <c r="B1279" s="3" t="s">
        <v>272</v>
      </c>
      <c r="C1279" s="15" t="s">
        <v>47</v>
      </c>
      <c r="D1279" s="15">
        <v>85</v>
      </c>
      <c r="E1279" s="11">
        <v>9000</v>
      </c>
      <c r="F1279" s="3" t="s">
        <v>8</v>
      </c>
      <c r="G1279" s="46">
        <v>4</v>
      </c>
      <c r="H1279" s="3">
        <v>4.25</v>
      </c>
      <c r="I1279" s="46">
        <v>4.75</v>
      </c>
      <c r="J1279" s="55">
        <v>5.25</v>
      </c>
      <c r="K1279" s="1">
        <f t="shared" ref="K1279" si="1098">(IF(F1279="SELL",G1279-H1279,IF(F1279="BUY",H1279-G1279)))*E1279</f>
        <v>2250</v>
      </c>
      <c r="L1279" s="51">
        <f t="shared" si="1096"/>
        <v>4500</v>
      </c>
      <c r="M1279" s="52">
        <v>4500</v>
      </c>
      <c r="N1279" s="2">
        <f t="shared" si="1066"/>
        <v>1.25</v>
      </c>
      <c r="O1279" s="2">
        <f t="shared" si="1084"/>
        <v>11250</v>
      </c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</row>
    <row r="1280" spans="1:33" s="14" customFormat="1">
      <c r="A1280" s="10">
        <v>43325</v>
      </c>
      <c r="B1280" s="3" t="s">
        <v>351</v>
      </c>
      <c r="C1280" s="15" t="s">
        <v>47</v>
      </c>
      <c r="D1280" s="15">
        <v>960</v>
      </c>
      <c r="E1280" s="11">
        <v>1000</v>
      </c>
      <c r="F1280" s="3" t="s">
        <v>8</v>
      </c>
      <c r="G1280" s="46">
        <v>21</v>
      </c>
      <c r="H1280" s="3">
        <v>22.5</v>
      </c>
      <c r="I1280" s="46">
        <v>24</v>
      </c>
      <c r="J1280" s="55">
        <v>0</v>
      </c>
      <c r="K1280" s="1">
        <f t="shared" ref="K1280" si="1099">(IF(F1280="SELL",G1280-H1280,IF(F1280="BUY",H1280-G1280)))*E1280</f>
        <v>1500</v>
      </c>
      <c r="L1280" s="51">
        <f t="shared" si="1096"/>
        <v>1500</v>
      </c>
      <c r="M1280" s="52">
        <v>0</v>
      </c>
      <c r="N1280" s="2">
        <f t="shared" si="1066"/>
        <v>3</v>
      </c>
      <c r="O1280" s="2">
        <f t="shared" si="1084"/>
        <v>3000</v>
      </c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</row>
    <row r="1281" spans="1:33" s="14" customFormat="1">
      <c r="A1281" s="10">
        <v>43322</v>
      </c>
      <c r="B1281" s="3" t="s">
        <v>218</v>
      </c>
      <c r="C1281" s="15" t="s">
        <v>47</v>
      </c>
      <c r="D1281" s="15">
        <v>640</v>
      </c>
      <c r="E1281" s="11">
        <v>1500</v>
      </c>
      <c r="F1281" s="3" t="s">
        <v>8</v>
      </c>
      <c r="G1281" s="46">
        <v>18</v>
      </c>
      <c r="H1281" s="3">
        <v>19</v>
      </c>
      <c r="I1281" s="46">
        <v>0</v>
      </c>
      <c r="J1281" s="55">
        <v>0</v>
      </c>
      <c r="K1281" s="1">
        <f t="shared" ref="K1281" si="1100">(IF(F1281="SELL",G1281-H1281,IF(F1281="BUY",H1281-G1281)))*E1281</f>
        <v>1500</v>
      </c>
      <c r="L1281" s="51">
        <v>0</v>
      </c>
      <c r="M1281" s="52">
        <v>0</v>
      </c>
      <c r="N1281" s="2">
        <f t="shared" si="1066"/>
        <v>1</v>
      </c>
      <c r="O1281" s="2">
        <f t="shared" si="1084"/>
        <v>1500</v>
      </c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</row>
    <row r="1282" spans="1:33" s="14" customFormat="1">
      <c r="A1282" s="10">
        <v>43322</v>
      </c>
      <c r="B1282" s="3" t="s">
        <v>233</v>
      </c>
      <c r="C1282" s="15" t="s">
        <v>47</v>
      </c>
      <c r="D1282" s="15">
        <v>500</v>
      </c>
      <c r="E1282" s="11">
        <v>1250</v>
      </c>
      <c r="F1282" s="3" t="s">
        <v>8</v>
      </c>
      <c r="G1282" s="46">
        <v>18</v>
      </c>
      <c r="H1282" s="3">
        <v>19</v>
      </c>
      <c r="I1282" s="46">
        <v>20</v>
      </c>
      <c r="J1282" s="55">
        <v>0</v>
      </c>
      <c r="K1282" s="1">
        <f t="shared" ref="K1282" si="1101">(IF(F1282="SELL",G1282-H1282,IF(F1282="BUY",H1282-G1282)))*E1282</f>
        <v>1250</v>
      </c>
      <c r="L1282" s="51">
        <f t="shared" si="1096"/>
        <v>1250</v>
      </c>
      <c r="M1282" s="52">
        <v>0</v>
      </c>
      <c r="N1282" s="2">
        <f t="shared" si="1066"/>
        <v>2</v>
      </c>
      <c r="O1282" s="2">
        <f t="shared" si="1084"/>
        <v>2500</v>
      </c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</row>
    <row r="1283" spans="1:33" s="14" customFormat="1">
      <c r="A1283" s="10">
        <v>43322</v>
      </c>
      <c r="B1283" s="3" t="s">
        <v>235</v>
      </c>
      <c r="C1283" s="15" t="s">
        <v>47</v>
      </c>
      <c r="D1283" s="15">
        <v>100</v>
      </c>
      <c r="E1283" s="11">
        <v>8000</v>
      </c>
      <c r="F1283" s="3" t="s">
        <v>8</v>
      </c>
      <c r="G1283" s="46">
        <v>5.8</v>
      </c>
      <c r="H1283" s="3">
        <v>5</v>
      </c>
      <c r="I1283" s="46">
        <v>0</v>
      </c>
      <c r="J1283" s="55">
        <v>0</v>
      </c>
      <c r="K1283" s="1">
        <f t="shared" ref="K1283" si="1102">(IF(F1283="SELL",G1283-H1283,IF(F1283="BUY",H1283-G1283)))*E1283</f>
        <v>-6399.9999999999982</v>
      </c>
      <c r="L1283" s="51">
        <v>0</v>
      </c>
      <c r="M1283" s="52">
        <v>0</v>
      </c>
      <c r="N1283" s="2">
        <f t="shared" si="1066"/>
        <v>-0.79999999999999982</v>
      </c>
      <c r="O1283" s="2">
        <f t="shared" si="1084"/>
        <v>-6399.9999999999982</v>
      </c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</row>
    <row r="1284" spans="1:33" s="14" customFormat="1">
      <c r="A1284" s="10">
        <v>43321</v>
      </c>
      <c r="B1284" s="3" t="s">
        <v>239</v>
      </c>
      <c r="C1284" s="15" t="s">
        <v>47</v>
      </c>
      <c r="D1284" s="15">
        <v>200</v>
      </c>
      <c r="E1284" s="11">
        <v>2500</v>
      </c>
      <c r="F1284" s="3" t="s">
        <v>8</v>
      </c>
      <c r="G1284" s="46">
        <v>9</v>
      </c>
      <c r="H1284" s="3">
        <v>9.5</v>
      </c>
      <c r="I1284" s="46">
        <v>10.5</v>
      </c>
      <c r="J1284" s="55">
        <v>11.45</v>
      </c>
      <c r="K1284" s="1">
        <f t="shared" ref="K1284" si="1103">(IF(F1284="SELL",G1284-H1284,IF(F1284="BUY",H1284-G1284)))*E1284</f>
        <v>1250</v>
      </c>
      <c r="L1284" s="51">
        <f t="shared" si="1096"/>
        <v>2500</v>
      </c>
      <c r="M1284" s="52">
        <v>2375</v>
      </c>
      <c r="N1284" s="2">
        <f t="shared" si="1066"/>
        <v>2.4500000000000002</v>
      </c>
      <c r="O1284" s="2">
        <f t="shared" si="1084"/>
        <v>6125</v>
      </c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</row>
    <row r="1285" spans="1:33" s="14" customFormat="1">
      <c r="A1285" s="10">
        <v>43321</v>
      </c>
      <c r="B1285" s="3" t="s">
        <v>169</v>
      </c>
      <c r="C1285" s="15" t="s">
        <v>47</v>
      </c>
      <c r="D1285" s="15">
        <v>840</v>
      </c>
      <c r="E1285" s="11">
        <v>1000</v>
      </c>
      <c r="F1285" s="3" t="s">
        <v>8</v>
      </c>
      <c r="G1285" s="46">
        <v>30.5</v>
      </c>
      <c r="H1285" s="3">
        <v>32</v>
      </c>
      <c r="I1285" s="46">
        <v>0</v>
      </c>
      <c r="J1285" s="55">
        <v>0</v>
      </c>
      <c r="K1285" s="1">
        <f t="shared" ref="K1285" si="1104">(IF(F1285="SELL",G1285-H1285,IF(F1285="BUY",H1285-G1285)))*E1285</f>
        <v>1500</v>
      </c>
      <c r="L1285" s="51">
        <v>0</v>
      </c>
      <c r="M1285" s="52">
        <v>0</v>
      </c>
      <c r="N1285" s="2">
        <f t="shared" si="1066"/>
        <v>1.5</v>
      </c>
      <c r="O1285" s="2">
        <f t="shared" si="1084"/>
        <v>1500</v>
      </c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</row>
    <row r="1286" spans="1:33" s="14" customFormat="1">
      <c r="A1286" s="10">
        <v>43321</v>
      </c>
      <c r="B1286" s="3" t="s">
        <v>261</v>
      </c>
      <c r="C1286" s="15" t="s">
        <v>47</v>
      </c>
      <c r="D1286" s="15">
        <v>85</v>
      </c>
      <c r="E1286" s="11">
        <v>4500</v>
      </c>
      <c r="F1286" s="3" t="s">
        <v>8</v>
      </c>
      <c r="G1286" s="46">
        <v>2.7</v>
      </c>
      <c r="H1286" s="3">
        <v>3</v>
      </c>
      <c r="I1286" s="46">
        <v>0</v>
      </c>
      <c r="J1286" s="55">
        <v>0</v>
      </c>
      <c r="K1286" s="1">
        <f t="shared" ref="K1286" si="1105">(IF(F1286="SELL",G1286-H1286,IF(F1286="BUY",H1286-G1286)))*E1286</f>
        <v>1349.9999999999991</v>
      </c>
      <c r="L1286" s="51">
        <v>0</v>
      </c>
      <c r="M1286" s="52">
        <v>0</v>
      </c>
      <c r="N1286" s="2">
        <f t="shared" si="1066"/>
        <v>0.29999999999999982</v>
      </c>
      <c r="O1286" s="2">
        <f t="shared" si="1084"/>
        <v>1349.9999999999991</v>
      </c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</row>
    <row r="1287" spans="1:33" s="14" customFormat="1">
      <c r="A1287" s="10">
        <v>43320</v>
      </c>
      <c r="B1287" s="3" t="s">
        <v>350</v>
      </c>
      <c r="C1287" s="15" t="s">
        <v>47</v>
      </c>
      <c r="D1287" s="15">
        <v>1200</v>
      </c>
      <c r="E1287" s="11">
        <v>1000</v>
      </c>
      <c r="F1287" s="3" t="s">
        <v>8</v>
      </c>
      <c r="G1287" s="46">
        <v>30</v>
      </c>
      <c r="H1287" s="3">
        <v>32</v>
      </c>
      <c r="I1287" s="46">
        <v>35</v>
      </c>
      <c r="J1287" s="55">
        <v>0</v>
      </c>
      <c r="K1287" s="1">
        <f t="shared" ref="K1287" si="1106">(IF(F1287="SELL",G1287-H1287,IF(F1287="BUY",H1287-G1287)))*E1287</f>
        <v>2000</v>
      </c>
      <c r="L1287" s="51">
        <f t="shared" ref="L1287" si="1107">(IF(F1287="SELL",IF(I1287="",0,H1287-I1287),IF(F1287="BUY",IF(I1287="",0,I1287-H1287))))*E1287</f>
        <v>3000</v>
      </c>
      <c r="M1287" s="52">
        <v>0</v>
      </c>
      <c r="N1287" s="2">
        <f t="shared" si="1066"/>
        <v>5</v>
      </c>
      <c r="O1287" s="2">
        <f t="shared" si="1084"/>
        <v>5000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</row>
    <row r="1288" spans="1:33" s="14" customFormat="1">
      <c r="A1288" s="10">
        <v>43320</v>
      </c>
      <c r="B1288" s="3" t="s">
        <v>349</v>
      </c>
      <c r="C1288" s="15" t="s">
        <v>47</v>
      </c>
      <c r="D1288" s="15">
        <v>2850</v>
      </c>
      <c r="E1288" s="11">
        <v>500</v>
      </c>
      <c r="F1288" s="3" t="s">
        <v>8</v>
      </c>
      <c r="G1288" s="46">
        <v>63</v>
      </c>
      <c r="H1288" s="3">
        <v>66</v>
      </c>
      <c r="I1288" s="46">
        <v>70</v>
      </c>
      <c r="J1288" s="55">
        <v>0</v>
      </c>
      <c r="K1288" s="1">
        <f t="shared" ref="K1288" si="1108">(IF(F1288="SELL",G1288-H1288,IF(F1288="BUY",H1288-G1288)))*E1288</f>
        <v>1500</v>
      </c>
      <c r="L1288" s="51">
        <f t="shared" ref="L1288" si="1109">(IF(F1288="SELL",IF(I1288="",0,H1288-I1288),IF(F1288="BUY",IF(I1288="",0,I1288-H1288))))*E1288</f>
        <v>2000</v>
      </c>
      <c r="M1288" s="52">
        <v>0</v>
      </c>
      <c r="N1288" s="2">
        <f t="shared" si="1066"/>
        <v>7</v>
      </c>
      <c r="O1288" s="2">
        <f t="shared" si="1084"/>
        <v>3500</v>
      </c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</row>
    <row r="1289" spans="1:33" s="14" customFormat="1">
      <c r="A1289" s="10">
        <v>43319</v>
      </c>
      <c r="B1289" s="3" t="s">
        <v>348</v>
      </c>
      <c r="C1289" s="15" t="s">
        <v>47</v>
      </c>
      <c r="D1289" s="15">
        <v>120</v>
      </c>
      <c r="E1289" s="11">
        <v>3500</v>
      </c>
      <c r="F1289" s="3" t="s">
        <v>8</v>
      </c>
      <c r="G1289" s="46">
        <v>7.6</v>
      </c>
      <c r="H1289" s="3">
        <v>8.15</v>
      </c>
      <c r="I1289" s="46">
        <v>0</v>
      </c>
      <c r="J1289" s="55">
        <v>0</v>
      </c>
      <c r="K1289" s="1">
        <f t="shared" ref="K1289" si="1110">(IF(F1289="SELL",G1289-H1289,IF(F1289="BUY",H1289-G1289)))*E1289</f>
        <v>1925.0000000000025</v>
      </c>
      <c r="L1289" s="51">
        <v>0</v>
      </c>
      <c r="M1289" s="52">
        <v>0</v>
      </c>
      <c r="N1289" s="2">
        <f t="shared" si="1066"/>
        <v>0.55000000000000071</v>
      </c>
      <c r="O1289" s="2">
        <f t="shared" si="1084"/>
        <v>1925.0000000000025</v>
      </c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</row>
    <row r="1290" spans="1:33" s="14" customFormat="1">
      <c r="A1290" s="10">
        <v>43319</v>
      </c>
      <c r="B1290" s="3" t="s">
        <v>222</v>
      </c>
      <c r="C1290" s="15" t="s">
        <v>47</v>
      </c>
      <c r="D1290" s="15">
        <v>1040</v>
      </c>
      <c r="E1290" s="11">
        <v>500</v>
      </c>
      <c r="F1290" s="3" t="s">
        <v>8</v>
      </c>
      <c r="G1290" s="46">
        <v>29</v>
      </c>
      <c r="H1290" s="3">
        <v>31</v>
      </c>
      <c r="I1290" s="46">
        <v>0</v>
      </c>
      <c r="J1290" s="55">
        <v>0</v>
      </c>
      <c r="K1290" s="1">
        <f t="shared" ref="K1290" si="1111">(IF(F1290="SELL",G1290-H1290,IF(F1290="BUY",H1290-G1290)))*E1290</f>
        <v>1000</v>
      </c>
      <c r="L1290" s="51">
        <v>0</v>
      </c>
      <c r="M1290" s="52">
        <v>0</v>
      </c>
      <c r="N1290" s="2">
        <f t="shared" si="1066"/>
        <v>2</v>
      </c>
      <c r="O1290" s="2">
        <f t="shared" si="1084"/>
        <v>1000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</row>
    <row r="1291" spans="1:33" s="14" customFormat="1">
      <c r="A1291" s="10">
        <v>43318</v>
      </c>
      <c r="B1291" s="3" t="s">
        <v>285</v>
      </c>
      <c r="C1291" s="15" t="s">
        <v>47</v>
      </c>
      <c r="D1291" s="15">
        <v>285</v>
      </c>
      <c r="E1291" s="11">
        <v>3200</v>
      </c>
      <c r="F1291" s="3" t="s">
        <v>8</v>
      </c>
      <c r="G1291" s="46">
        <v>6.8</v>
      </c>
      <c r="H1291" s="3">
        <v>7.3</v>
      </c>
      <c r="I1291" s="46">
        <v>8.3000000000000007</v>
      </c>
      <c r="J1291" s="55">
        <v>0</v>
      </c>
      <c r="K1291" s="1">
        <f t="shared" ref="K1291" si="1112">(IF(F1291="SELL",G1291-H1291,IF(F1291="BUY",H1291-G1291)))*E1291</f>
        <v>1600</v>
      </c>
      <c r="L1291" s="51">
        <f t="shared" ref="L1291" si="1113">(IF(F1291="SELL",IF(I1291="",0,H1291-I1291),IF(F1291="BUY",IF(I1291="",0,I1291-H1291))))*E1291</f>
        <v>3200.0000000000027</v>
      </c>
      <c r="M1291" s="52">
        <v>0</v>
      </c>
      <c r="N1291" s="2">
        <f t="shared" si="1066"/>
        <v>1.5000000000000009</v>
      </c>
      <c r="O1291" s="2">
        <f t="shared" si="1084"/>
        <v>4800.0000000000027</v>
      </c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</row>
    <row r="1292" spans="1:33" s="14" customFormat="1">
      <c r="A1292" s="10">
        <v>43318</v>
      </c>
      <c r="B1292" s="3" t="s">
        <v>347</v>
      </c>
      <c r="C1292" s="15" t="s">
        <v>47</v>
      </c>
      <c r="D1292" s="15">
        <v>65</v>
      </c>
      <c r="E1292" s="11">
        <v>8000</v>
      </c>
      <c r="F1292" s="3" t="s">
        <v>8</v>
      </c>
      <c r="G1292" s="46">
        <v>3.55</v>
      </c>
      <c r="H1292" s="3">
        <v>3.9</v>
      </c>
      <c r="I1292" s="46">
        <v>4.3</v>
      </c>
      <c r="J1292" s="55">
        <v>0</v>
      </c>
      <c r="K1292" s="1">
        <f t="shared" ref="K1292" si="1114">(IF(F1292="SELL",G1292-H1292,IF(F1292="BUY",H1292-G1292)))*E1292</f>
        <v>2800.0000000000009</v>
      </c>
      <c r="L1292" s="51">
        <f t="shared" ref="L1292" si="1115">(IF(F1292="SELL",IF(I1292="",0,H1292-I1292),IF(F1292="BUY",IF(I1292="",0,I1292-H1292))))*E1292</f>
        <v>3199.9999999999991</v>
      </c>
      <c r="M1292" s="52">
        <v>0</v>
      </c>
      <c r="N1292" s="2">
        <f t="shared" si="1066"/>
        <v>0.75</v>
      </c>
      <c r="O1292" s="2">
        <f t="shared" si="1084"/>
        <v>6000</v>
      </c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</row>
    <row r="1293" spans="1:33" s="14" customFormat="1">
      <c r="A1293" s="10">
        <v>43318</v>
      </c>
      <c r="B1293" s="3" t="s">
        <v>346</v>
      </c>
      <c r="C1293" s="15" t="s">
        <v>47</v>
      </c>
      <c r="D1293" s="15">
        <v>75</v>
      </c>
      <c r="E1293" s="11">
        <v>7000</v>
      </c>
      <c r="F1293" s="3" t="s">
        <v>8</v>
      </c>
      <c r="G1293" s="46">
        <v>4.8499999999999996</v>
      </c>
      <c r="H1293" s="3">
        <v>5.3</v>
      </c>
      <c r="I1293" s="46">
        <v>0</v>
      </c>
      <c r="J1293" s="55">
        <v>0</v>
      </c>
      <c r="K1293" s="1">
        <f t="shared" ref="K1293" si="1116">(IF(F1293="SELL",G1293-H1293,IF(F1293="BUY",H1293-G1293)))*E1293</f>
        <v>3150.0000000000014</v>
      </c>
      <c r="L1293" s="51">
        <v>0</v>
      </c>
      <c r="M1293" s="52">
        <v>0</v>
      </c>
      <c r="N1293" s="2">
        <f t="shared" si="1066"/>
        <v>0.45000000000000018</v>
      </c>
      <c r="O1293" s="2">
        <f t="shared" si="1084"/>
        <v>3150.0000000000014</v>
      </c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</row>
    <row r="1294" spans="1:33" s="14" customFormat="1">
      <c r="A1294" s="10">
        <v>43315</v>
      </c>
      <c r="B1294" s="3" t="s">
        <v>170</v>
      </c>
      <c r="C1294" s="15" t="s">
        <v>47</v>
      </c>
      <c r="D1294" s="15">
        <v>115</v>
      </c>
      <c r="E1294" s="11">
        <v>4000</v>
      </c>
      <c r="F1294" s="3" t="s">
        <v>8</v>
      </c>
      <c r="G1294" s="46">
        <v>6.25</v>
      </c>
      <c r="H1294" s="3">
        <v>6.5</v>
      </c>
      <c r="I1294" s="46">
        <v>7</v>
      </c>
      <c r="J1294" s="55">
        <v>0</v>
      </c>
      <c r="K1294" s="1">
        <f t="shared" ref="K1294:K1295" si="1117">(IF(F1294="SELL",G1294-H1294,IF(F1294="BUY",H1294-G1294)))*E1294</f>
        <v>1000</v>
      </c>
      <c r="L1294" s="51">
        <f t="shared" ref="L1294" si="1118">(IF(F1294="SELL",IF(I1294="",0,H1294-I1294),IF(F1294="BUY",IF(I1294="",0,I1294-H1294))))*E1294</f>
        <v>2000</v>
      </c>
      <c r="M1294" s="52">
        <v>0</v>
      </c>
      <c r="N1294" s="2">
        <f t="shared" si="1066"/>
        <v>0.75</v>
      </c>
      <c r="O1294" s="2">
        <f t="shared" si="1084"/>
        <v>3000</v>
      </c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</row>
    <row r="1295" spans="1:33" s="14" customFormat="1">
      <c r="A1295" s="10">
        <v>43315</v>
      </c>
      <c r="B1295" s="3" t="s">
        <v>345</v>
      </c>
      <c r="C1295" s="15" t="s">
        <v>47</v>
      </c>
      <c r="D1295" s="15">
        <v>400</v>
      </c>
      <c r="E1295" s="11">
        <v>800</v>
      </c>
      <c r="F1295" s="3" t="s">
        <v>8</v>
      </c>
      <c r="G1295" s="46">
        <v>28.5</v>
      </c>
      <c r="H1295" s="3">
        <v>24</v>
      </c>
      <c r="I1295" s="46">
        <v>0</v>
      </c>
      <c r="J1295" s="55">
        <v>0</v>
      </c>
      <c r="K1295" s="1">
        <f t="shared" si="1117"/>
        <v>-3600</v>
      </c>
      <c r="L1295" s="51">
        <v>0</v>
      </c>
      <c r="M1295" s="52">
        <v>0</v>
      </c>
      <c r="N1295" s="2">
        <f t="shared" si="1066"/>
        <v>-4.5</v>
      </c>
      <c r="O1295" s="2">
        <f t="shared" si="1084"/>
        <v>-3600</v>
      </c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</row>
    <row r="1296" spans="1:33" s="14" customFormat="1">
      <c r="A1296" s="10">
        <v>43314</v>
      </c>
      <c r="B1296" s="3" t="s">
        <v>337</v>
      </c>
      <c r="C1296" s="15" t="s">
        <v>47</v>
      </c>
      <c r="D1296" s="15">
        <v>1420</v>
      </c>
      <c r="E1296" s="11">
        <v>350</v>
      </c>
      <c r="F1296" s="3" t="s">
        <v>8</v>
      </c>
      <c r="G1296" s="46">
        <v>58</v>
      </c>
      <c r="H1296" s="3">
        <v>63</v>
      </c>
      <c r="I1296" s="46">
        <v>0</v>
      </c>
      <c r="J1296" s="55">
        <v>0</v>
      </c>
      <c r="K1296" s="1">
        <f t="shared" ref="K1296" si="1119">(IF(F1296="SELL",G1296-H1296,IF(F1296="BUY",H1296-G1296)))*E1296</f>
        <v>1750</v>
      </c>
      <c r="L1296" s="51">
        <v>0</v>
      </c>
      <c r="M1296" s="52">
        <v>0</v>
      </c>
      <c r="N1296" s="2">
        <f t="shared" si="1066"/>
        <v>5</v>
      </c>
      <c r="O1296" s="2">
        <f t="shared" si="1084"/>
        <v>1750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</row>
    <row r="1297" spans="1:33" s="14" customFormat="1">
      <c r="A1297" s="10">
        <v>43314</v>
      </c>
      <c r="B1297" s="3" t="s">
        <v>345</v>
      </c>
      <c r="C1297" s="15" t="s">
        <v>47</v>
      </c>
      <c r="D1297" s="15">
        <v>400</v>
      </c>
      <c r="E1297" s="11">
        <v>800</v>
      </c>
      <c r="F1297" s="3" t="s">
        <v>8</v>
      </c>
      <c r="G1297" s="46">
        <v>24.25</v>
      </c>
      <c r="H1297" s="3">
        <v>27</v>
      </c>
      <c r="I1297" s="46">
        <v>0</v>
      </c>
      <c r="J1297" s="55">
        <v>0</v>
      </c>
      <c r="K1297" s="1">
        <f t="shared" ref="K1297" si="1120">(IF(F1297="SELL",G1297-H1297,IF(F1297="BUY",H1297-G1297)))*E1297</f>
        <v>2200</v>
      </c>
      <c r="L1297" s="51">
        <v>0</v>
      </c>
      <c r="M1297" s="52">
        <v>0</v>
      </c>
      <c r="N1297" s="2">
        <f t="shared" si="1066"/>
        <v>2.75</v>
      </c>
      <c r="O1297" s="2">
        <f t="shared" si="1084"/>
        <v>2200</v>
      </c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</row>
    <row r="1298" spans="1:33" s="14" customFormat="1">
      <c r="A1298" s="10">
        <v>43313</v>
      </c>
      <c r="B1298" s="3" t="s">
        <v>242</v>
      </c>
      <c r="C1298" s="15" t="s">
        <v>47</v>
      </c>
      <c r="D1298" s="15">
        <v>350</v>
      </c>
      <c r="E1298" s="11">
        <v>1000</v>
      </c>
      <c r="F1298" s="3" t="s">
        <v>8</v>
      </c>
      <c r="G1298" s="46">
        <v>14.5</v>
      </c>
      <c r="H1298" s="3">
        <v>15.5</v>
      </c>
      <c r="I1298" s="46">
        <v>16.5</v>
      </c>
      <c r="J1298" s="55">
        <v>18</v>
      </c>
      <c r="K1298" s="1">
        <f t="shared" ref="K1298" si="1121">(IF(F1298="SELL",G1298-H1298,IF(F1298="BUY",H1298-G1298)))*E1298</f>
        <v>1000</v>
      </c>
      <c r="L1298" s="51">
        <f t="shared" ref="L1298" si="1122">(IF(F1298="SELL",IF(I1298="",0,H1298-I1298),IF(F1298="BUY",IF(I1298="",0,I1298-H1298))))*E1298</f>
        <v>1000</v>
      </c>
      <c r="M1298" s="52">
        <v>1500</v>
      </c>
      <c r="N1298" s="2">
        <f t="shared" si="1066"/>
        <v>3.5</v>
      </c>
      <c r="O1298" s="2">
        <f t="shared" si="1084"/>
        <v>3500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</row>
    <row r="1299" spans="1:33" s="14" customFormat="1">
      <c r="A1299" s="10">
        <v>43313</v>
      </c>
      <c r="B1299" s="3" t="s">
        <v>170</v>
      </c>
      <c r="C1299" s="15" t="s">
        <v>46</v>
      </c>
      <c r="D1299" s="15">
        <v>150</v>
      </c>
      <c r="E1299" s="11">
        <v>4000</v>
      </c>
      <c r="F1299" s="3" t="s">
        <v>8</v>
      </c>
      <c r="G1299" s="46">
        <v>6.5</v>
      </c>
      <c r="H1299" s="3">
        <v>6.9</v>
      </c>
      <c r="I1299" s="46">
        <v>0</v>
      </c>
      <c r="J1299" s="55">
        <v>0</v>
      </c>
      <c r="K1299" s="1">
        <f t="shared" ref="K1299" si="1123">(IF(F1299="SELL",G1299-H1299,IF(F1299="BUY",H1299-G1299)))*E1299</f>
        <v>1600.0000000000014</v>
      </c>
      <c r="L1299" s="51">
        <v>0</v>
      </c>
      <c r="M1299" s="52">
        <v>0</v>
      </c>
      <c r="N1299" s="2">
        <f t="shared" si="1066"/>
        <v>0.40000000000000036</v>
      </c>
      <c r="O1299" s="2">
        <f t="shared" si="1084"/>
        <v>1600.0000000000014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</row>
    <row r="1300" spans="1:33" s="14" customFormat="1">
      <c r="A1300" s="10">
        <v>43313</v>
      </c>
      <c r="B1300" s="3" t="s">
        <v>198</v>
      </c>
      <c r="C1300" s="15" t="s">
        <v>46</v>
      </c>
      <c r="D1300" s="15">
        <v>290</v>
      </c>
      <c r="E1300" s="11">
        <v>3000</v>
      </c>
      <c r="F1300" s="3" t="s">
        <v>8</v>
      </c>
      <c r="G1300" s="46">
        <v>11.7</v>
      </c>
      <c r="H1300" s="3">
        <v>12.1</v>
      </c>
      <c r="I1300" s="46">
        <v>0</v>
      </c>
      <c r="J1300" s="55">
        <v>0</v>
      </c>
      <c r="K1300" s="1">
        <f t="shared" ref="K1300" si="1124">(IF(F1300="SELL",G1300-H1300,IF(F1300="BUY",H1300-G1300)))*E1300</f>
        <v>1200.0000000000011</v>
      </c>
      <c r="L1300" s="51">
        <v>0</v>
      </c>
      <c r="M1300" s="52">
        <v>0</v>
      </c>
      <c r="N1300" s="2">
        <f t="shared" si="1066"/>
        <v>0.40000000000000036</v>
      </c>
      <c r="O1300" s="2">
        <f t="shared" si="1084"/>
        <v>1200.0000000000011</v>
      </c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</row>
    <row r="1301" spans="1:33" s="14" customFormat="1">
      <c r="A1301" s="10">
        <v>43313</v>
      </c>
      <c r="B1301" s="3" t="s">
        <v>344</v>
      </c>
      <c r="C1301" s="15" t="s">
        <v>47</v>
      </c>
      <c r="D1301" s="15">
        <v>250</v>
      </c>
      <c r="E1301" s="11">
        <v>2250</v>
      </c>
      <c r="F1301" s="3" t="s">
        <v>8</v>
      </c>
      <c r="G1301" s="46">
        <v>14.5</v>
      </c>
      <c r="H1301" s="3">
        <v>12.5</v>
      </c>
      <c r="I1301" s="46">
        <v>0</v>
      </c>
      <c r="J1301" s="55">
        <v>0</v>
      </c>
      <c r="K1301" s="1">
        <f t="shared" ref="K1301" si="1125">(IF(F1301="SELL",G1301-H1301,IF(F1301="BUY",H1301-G1301)))*E1301</f>
        <v>-4500</v>
      </c>
      <c r="L1301" s="51">
        <v>0</v>
      </c>
      <c r="M1301" s="52">
        <v>0</v>
      </c>
      <c r="N1301" s="2">
        <f t="shared" si="1066"/>
        <v>-2</v>
      </c>
      <c r="O1301" s="2">
        <f t="shared" si="1084"/>
        <v>-4500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</row>
    <row r="1302" spans="1:33" s="14" customFormat="1">
      <c r="A1302" s="10">
        <v>43312</v>
      </c>
      <c r="B1302" s="3" t="s">
        <v>212</v>
      </c>
      <c r="C1302" s="15" t="s">
        <v>47</v>
      </c>
      <c r="D1302" s="15">
        <v>115</v>
      </c>
      <c r="E1302" s="11">
        <v>4950</v>
      </c>
      <c r="F1302" s="3" t="s">
        <v>8</v>
      </c>
      <c r="G1302" s="46">
        <v>4.25</v>
      </c>
      <c r="H1302" s="3">
        <v>4.5</v>
      </c>
      <c r="I1302" s="46">
        <v>5</v>
      </c>
      <c r="J1302" s="55">
        <v>5.7</v>
      </c>
      <c r="K1302" s="1">
        <f t="shared" ref="K1302" si="1126">(IF(F1302="SELL",G1302-H1302,IF(F1302="BUY",H1302-G1302)))*E1302</f>
        <v>1237.5</v>
      </c>
      <c r="L1302" s="51">
        <f t="shared" ref="L1302" si="1127">(IF(F1302="SELL",IF(I1302="",0,H1302-I1302),IF(F1302="BUY",IF(I1302="",0,I1302-H1302))))*E1302</f>
        <v>2475</v>
      </c>
      <c r="M1302" s="52">
        <v>3465</v>
      </c>
      <c r="N1302" s="2">
        <f t="shared" si="1066"/>
        <v>1.45</v>
      </c>
      <c r="O1302" s="2">
        <f t="shared" si="1084"/>
        <v>7177.5</v>
      </c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</row>
    <row r="1303" spans="1:33" s="14" customFormat="1">
      <c r="A1303" s="10">
        <v>43312</v>
      </c>
      <c r="B1303" s="3" t="s">
        <v>220</v>
      </c>
      <c r="C1303" s="15" t="s">
        <v>47</v>
      </c>
      <c r="D1303" s="15">
        <v>2150</v>
      </c>
      <c r="E1303" s="11">
        <v>250</v>
      </c>
      <c r="F1303" s="3" t="s">
        <v>8</v>
      </c>
      <c r="G1303" s="46">
        <v>68</v>
      </c>
      <c r="H1303" s="3">
        <v>72</v>
      </c>
      <c r="I1303" s="46">
        <v>80</v>
      </c>
      <c r="J1303" s="55">
        <v>0</v>
      </c>
      <c r="K1303" s="1">
        <f t="shared" ref="K1303" si="1128">(IF(F1303="SELL",G1303-H1303,IF(F1303="BUY",H1303-G1303)))*E1303</f>
        <v>1000</v>
      </c>
      <c r="L1303" s="51">
        <f t="shared" ref="L1303" si="1129">(IF(F1303="SELL",IF(I1303="",0,H1303-I1303),IF(F1303="BUY",IF(I1303="",0,I1303-H1303))))*E1303</f>
        <v>2000</v>
      </c>
      <c r="M1303" s="52">
        <v>0</v>
      </c>
      <c r="N1303" s="2">
        <f t="shared" si="1066"/>
        <v>12</v>
      </c>
      <c r="O1303" s="2">
        <f t="shared" si="1084"/>
        <v>3000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</row>
    <row r="1304" spans="1:33" s="14" customFormat="1">
      <c r="A1304" s="10">
        <v>43312</v>
      </c>
      <c r="B1304" s="3" t="s">
        <v>343</v>
      </c>
      <c r="C1304" s="15" t="s">
        <v>47</v>
      </c>
      <c r="D1304" s="15">
        <v>400</v>
      </c>
      <c r="E1304" s="11">
        <v>800</v>
      </c>
      <c r="F1304" s="3" t="s">
        <v>8</v>
      </c>
      <c r="G1304" s="46">
        <v>20</v>
      </c>
      <c r="H1304" s="3">
        <v>21.8</v>
      </c>
      <c r="I1304" s="46">
        <v>0</v>
      </c>
      <c r="J1304" s="55">
        <v>0</v>
      </c>
      <c r="K1304" s="1">
        <f t="shared" ref="K1304" si="1130">(IF(F1304="SELL",G1304-H1304,IF(F1304="BUY",H1304-G1304)))*E1304</f>
        <v>1440.0000000000005</v>
      </c>
      <c r="L1304" s="51">
        <v>0</v>
      </c>
      <c r="M1304" s="52">
        <v>0</v>
      </c>
      <c r="N1304" s="2">
        <f t="shared" si="1066"/>
        <v>1.8000000000000005</v>
      </c>
      <c r="O1304" s="2">
        <f t="shared" si="1084"/>
        <v>1440.0000000000005</v>
      </c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</row>
    <row r="1305" spans="1:33" s="14" customFormat="1">
      <c r="A1305" s="10">
        <v>43311</v>
      </c>
      <c r="B1305" s="3" t="s">
        <v>154</v>
      </c>
      <c r="C1305" s="15" t="s">
        <v>47</v>
      </c>
      <c r="D1305" s="15">
        <v>400</v>
      </c>
      <c r="E1305" s="11">
        <v>1800</v>
      </c>
      <c r="F1305" s="3" t="s">
        <v>8</v>
      </c>
      <c r="G1305" s="46">
        <v>15.5</v>
      </c>
      <c r="H1305" s="3">
        <v>16.2</v>
      </c>
      <c r="I1305" s="46">
        <v>35</v>
      </c>
      <c r="J1305" s="55">
        <v>0</v>
      </c>
      <c r="K1305" s="1">
        <f t="shared" ref="K1305" si="1131">(IF(F1305="SELL",G1305-H1305,IF(F1305="BUY",H1305-G1305)))*E1305</f>
        <v>1259.9999999999986</v>
      </c>
      <c r="L1305" s="51">
        <v>0</v>
      </c>
      <c r="M1305" s="52">
        <v>0</v>
      </c>
      <c r="N1305" s="2">
        <f t="shared" si="1066"/>
        <v>0.69999999999999929</v>
      </c>
      <c r="O1305" s="2">
        <f t="shared" si="1084"/>
        <v>1259.9999999999986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</row>
    <row r="1306" spans="1:33" s="14" customFormat="1">
      <c r="A1306" s="10">
        <v>43311</v>
      </c>
      <c r="B1306" s="3" t="s">
        <v>153</v>
      </c>
      <c r="C1306" s="15" t="s">
        <v>47</v>
      </c>
      <c r="D1306" s="15">
        <v>340</v>
      </c>
      <c r="E1306" s="11">
        <v>1200</v>
      </c>
      <c r="F1306" s="3" t="s">
        <v>8</v>
      </c>
      <c r="G1306" s="46">
        <v>17.600000000000001</v>
      </c>
      <c r="H1306" s="3">
        <v>19</v>
      </c>
      <c r="I1306" s="46">
        <v>0</v>
      </c>
      <c r="J1306" s="55">
        <v>0</v>
      </c>
      <c r="K1306" s="1">
        <f t="shared" ref="K1306" si="1132">(IF(F1306="SELL",G1306-H1306,IF(F1306="BUY",H1306-G1306)))*E1306</f>
        <v>1679.9999999999982</v>
      </c>
      <c r="L1306" s="51">
        <v>0</v>
      </c>
      <c r="M1306" s="52">
        <v>0</v>
      </c>
      <c r="N1306" s="2">
        <f t="shared" si="1066"/>
        <v>1.3999999999999986</v>
      </c>
      <c r="O1306" s="2">
        <f t="shared" si="1084"/>
        <v>1679.9999999999982</v>
      </c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</row>
    <row r="1307" spans="1:33" s="14" customFormat="1">
      <c r="A1307" s="10">
        <v>43308</v>
      </c>
      <c r="B1307" s="3" t="s">
        <v>342</v>
      </c>
      <c r="C1307" s="15" t="s">
        <v>47</v>
      </c>
      <c r="D1307" s="15">
        <v>3250</v>
      </c>
      <c r="E1307" s="11">
        <v>200</v>
      </c>
      <c r="F1307" s="3" t="s">
        <v>8</v>
      </c>
      <c r="G1307" s="46">
        <v>80</v>
      </c>
      <c r="H1307" s="3">
        <v>85</v>
      </c>
      <c r="I1307" s="46">
        <v>0</v>
      </c>
      <c r="J1307" s="55">
        <v>0</v>
      </c>
      <c r="K1307" s="1">
        <f t="shared" ref="K1307" si="1133">(IF(F1307="SELL",G1307-H1307,IF(F1307="BUY",H1307-G1307)))*E1307</f>
        <v>1000</v>
      </c>
      <c r="L1307" s="51">
        <v>0</v>
      </c>
      <c r="M1307" s="52">
        <v>0</v>
      </c>
      <c r="N1307" s="2">
        <f t="shared" si="1066"/>
        <v>5</v>
      </c>
      <c r="O1307" s="2">
        <f t="shared" si="1084"/>
        <v>1000</v>
      </c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</row>
    <row r="1308" spans="1:33" s="14" customFormat="1">
      <c r="A1308" s="10">
        <v>43308</v>
      </c>
      <c r="B1308" s="3" t="s">
        <v>182</v>
      </c>
      <c r="C1308" s="15" t="s">
        <v>47</v>
      </c>
      <c r="D1308" s="15">
        <v>950</v>
      </c>
      <c r="E1308" s="11">
        <v>550</v>
      </c>
      <c r="F1308" s="3" t="s">
        <v>8</v>
      </c>
      <c r="G1308" s="46">
        <v>45.5</v>
      </c>
      <c r="H1308" s="3">
        <v>47.5</v>
      </c>
      <c r="I1308" s="46">
        <v>0</v>
      </c>
      <c r="J1308" s="55">
        <v>0</v>
      </c>
      <c r="K1308" s="1">
        <f t="shared" ref="K1308:K1309" si="1134">(IF(F1308="SELL",G1308-H1308,IF(F1308="BUY",H1308-G1308)))*E1308</f>
        <v>1100</v>
      </c>
      <c r="L1308" s="51">
        <v>0</v>
      </c>
      <c r="M1308" s="52">
        <v>0</v>
      </c>
      <c r="N1308" s="2">
        <f t="shared" si="1066"/>
        <v>2</v>
      </c>
      <c r="O1308" s="2">
        <f t="shared" si="1084"/>
        <v>1100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</row>
    <row r="1309" spans="1:33" s="14" customFormat="1">
      <c r="A1309" s="10">
        <v>43308</v>
      </c>
      <c r="B1309" s="3" t="s">
        <v>161</v>
      </c>
      <c r="C1309" s="15" t="s">
        <v>47</v>
      </c>
      <c r="D1309" s="15">
        <v>270</v>
      </c>
      <c r="E1309" s="11">
        <v>1500</v>
      </c>
      <c r="F1309" s="3" t="s">
        <v>8</v>
      </c>
      <c r="G1309" s="46">
        <v>10.6</v>
      </c>
      <c r="H1309" s="3">
        <v>11.6</v>
      </c>
      <c r="I1309" s="46">
        <v>13.6</v>
      </c>
      <c r="J1309" s="55">
        <v>0</v>
      </c>
      <c r="K1309" s="1">
        <f t="shared" si="1134"/>
        <v>1500</v>
      </c>
      <c r="L1309" s="51">
        <f t="shared" ref="L1309" si="1135">(IF(F1309="SELL",IF(I1309="",0,H1309-I1309),IF(F1309="BUY",IF(I1309="",0,I1309-H1309))))*E1309</f>
        <v>3000</v>
      </c>
      <c r="M1309" s="52">
        <v>0</v>
      </c>
      <c r="N1309" s="2">
        <f t="shared" si="1066"/>
        <v>3</v>
      </c>
      <c r="O1309" s="2">
        <f t="shared" si="1084"/>
        <v>4500</v>
      </c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</row>
    <row r="1310" spans="1:33" s="14" customFormat="1">
      <c r="A1310" s="10">
        <v>43308</v>
      </c>
      <c r="B1310" s="3" t="s">
        <v>337</v>
      </c>
      <c r="C1310" s="15" t="s">
        <v>47</v>
      </c>
      <c r="D1310" s="15">
        <v>1400</v>
      </c>
      <c r="E1310" s="11">
        <v>350</v>
      </c>
      <c r="F1310" s="3" t="s">
        <v>8</v>
      </c>
      <c r="G1310" s="46">
        <v>58</v>
      </c>
      <c r="H1310" s="3">
        <v>62</v>
      </c>
      <c r="I1310" s="46">
        <v>70</v>
      </c>
      <c r="J1310" s="55">
        <v>0</v>
      </c>
      <c r="K1310" s="1">
        <f t="shared" ref="K1310" si="1136">(IF(F1310="SELL",G1310-H1310,IF(F1310="BUY",H1310-G1310)))*E1310</f>
        <v>1400</v>
      </c>
      <c r="L1310" s="51">
        <f t="shared" ref="L1310" si="1137">(IF(F1310="SELL",IF(I1310="",0,H1310-I1310),IF(F1310="BUY",IF(I1310="",0,I1310-H1310))))*E1310</f>
        <v>2800</v>
      </c>
      <c r="M1310" s="52">
        <v>0</v>
      </c>
      <c r="N1310" s="2">
        <f t="shared" si="1066"/>
        <v>12</v>
      </c>
      <c r="O1310" s="2">
        <f t="shared" si="1084"/>
        <v>4200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</row>
    <row r="1311" spans="1:33" s="14" customFormat="1">
      <c r="A1311" s="10">
        <v>43307</v>
      </c>
      <c r="B1311" s="3" t="s">
        <v>220</v>
      </c>
      <c r="C1311" s="15" t="s">
        <v>47</v>
      </c>
      <c r="D1311" s="15">
        <v>2100</v>
      </c>
      <c r="E1311" s="11">
        <v>250</v>
      </c>
      <c r="F1311" s="3" t="s">
        <v>8</v>
      </c>
      <c r="G1311" s="46">
        <v>18</v>
      </c>
      <c r="H1311" s="3">
        <v>23</v>
      </c>
      <c r="I1311" s="46">
        <v>35</v>
      </c>
      <c r="J1311" s="55">
        <v>50</v>
      </c>
      <c r="K1311" s="1">
        <f t="shared" ref="K1311" si="1138">(IF(F1311="SELL",G1311-H1311,IF(F1311="BUY",H1311-G1311)))*E1311</f>
        <v>1250</v>
      </c>
      <c r="L1311" s="51">
        <f t="shared" ref="L1311" si="1139">(IF(F1311="SELL",IF(I1311="",0,H1311-I1311),IF(F1311="BUY",IF(I1311="",0,I1311-H1311))))*E1311</f>
        <v>3000</v>
      </c>
      <c r="M1311" s="52">
        <v>3750</v>
      </c>
      <c r="N1311" s="2">
        <f t="shared" si="1066"/>
        <v>32</v>
      </c>
      <c r="O1311" s="2">
        <f t="shared" si="1084"/>
        <v>8000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</row>
    <row r="1312" spans="1:33" s="14" customFormat="1">
      <c r="A1312" s="10">
        <v>43307</v>
      </c>
      <c r="B1312" s="3" t="s">
        <v>341</v>
      </c>
      <c r="C1312" s="15" t="s">
        <v>47</v>
      </c>
      <c r="D1312" s="15">
        <v>115</v>
      </c>
      <c r="E1312" s="11">
        <v>4500</v>
      </c>
      <c r="F1312" s="3" t="s">
        <v>8</v>
      </c>
      <c r="G1312" s="46">
        <v>1.7</v>
      </c>
      <c r="H1312" s="3">
        <v>2</v>
      </c>
      <c r="I1312" s="46">
        <v>2.7</v>
      </c>
      <c r="J1312" s="55">
        <v>0</v>
      </c>
      <c r="K1312" s="1">
        <f t="shared" ref="K1312" si="1140">(IF(F1312="SELL",G1312-H1312,IF(F1312="BUY",H1312-G1312)))*E1312</f>
        <v>1350.0000000000002</v>
      </c>
      <c r="L1312" s="51">
        <f t="shared" ref="L1312" si="1141">(IF(F1312="SELL",IF(I1312="",0,H1312-I1312),IF(F1312="BUY",IF(I1312="",0,I1312-H1312))))*E1312</f>
        <v>3150.0000000000009</v>
      </c>
      <c r="M1312" s="52">
        <v>0</v>
      </c>
      <c r="N1312" s="2">
        <f t="shared" si="1066"/>
        <v>1.0000000000000002</v>
      </c>
      <c r="O1312" s="2">
        <f t="shared" si="1084"/>
        <v>4500.0000000000009</v>
      </c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</row>
    <row r="1313" spans="1:33" s="14" customFormat="1">
      <c r="A1313" s="10">
        <v>43307</v>
      </c>
      <c r="B1313" s="3" t="s">
        <v>136</v>
      </c>
      <c r="C1313" s="15" t="s">
        <v>47</v>
      </c>
      <c r="D1313" s="15">
        <v>285</v>
      </c>
      <c r="E1313" s="11">
        <v>2400</v>
      </c>
      <c r="F1313" s="3" t="s">
        <v>8</v>
      </c>
      <c r="G1313" s="46">
        <v>2.25</v>
      </c>
      <c r="H1313" s="3">
        <v>2.75</v>
      </c>
      <c r="I1313" s="46">
        <v>0</v>
      </c>
      <c r="J1313" s="55">
        <v>0</v>
      </c>
      <c r="K1313" s="1">
        <f t="shared" ref="K1313" si="1142">(IF(F1313="SELL",G1313-H1313,IF(F1313="BUY",H1313-G1313)))*E1313</f>
        <v>1200</v>
      </c>
      <c r="L1313" s="51">
        <v>0</v>
      </c>
      <c r="M1313" s="52">
        <v>0</v>
      </c>
      <c r="N1313" s="2">
        <f t="shared" si="1066"/>
        <v>0.5</v>
      </c>
      <c r="O1313" s="2">
        <f t="shared" si="1084"/>
        <v>1200</v>
      </c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</row>
    <row r="1314" spans="1:33" s="14" customFormat="1">
      <c r="A1314" s="10">
        <v>43306</v>
      </c>
      <c r="B1314" s="3" t="s">
        <v>313</v>
      </c>
      <c r="C1314" s="15" t="s">
        <v>47</v>
      </c>
      <c r="D1314" s="15">
        <v>95</v>
      </c>
      <c r="E1314" s="11">
        <v>6000</v>
      </c>
      <c r="F1314" s="3" t="s">
        <v>8</v>
      </c>
      <c r="G1314" s="46">
        <v>3.4</v>
      </c>
      <c r="H1314" s="3">
        <v>3.65</v>
      </c>
      <c r="I1314" s="46">
        <v>0</v>
      </c>
      <c r="J1314" s="55">
        <v>0</v>
      </c>
      <c r="K1314" s="1">
        <f t="shared" ref="K1314" si="1143">(IF(F1314="SELL",G1314-H1314,IF(F1314="BUY",H1314-G1314)))*E1314</f>
        <v>1500</v>
      </c>
      <c r="L1314" s="51">
        <v>0</v>
      </c>
      <c r="M1314" s="52">
        <v>0</v>
      </c>
      <c r="N1314" s="2">
        <f t="shared" si="1066"/>
        <v>0.25</v>
      </c>
      <c r="O1314" s="2">
        <f t="shared" si="1084"/>
        <v>1500</v>
      </c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</row>
    <row r="1315" spans="1:33" s="14" customFormat="1">
      <c r="A1315" s="10">
        <v>43306</v>
      </c>
      <c r="B1315" s="3" t="s">
        <v>340</v>
      </c>
      <c r="C1315" s="15" t="s">
        <v>47</v>
      </c>
      <c r="D1315" s="15">
        <v>100</v>
      </c>
      <c r="E1315" s="11">
        <v>6000</v>
      </c>
      <c r="F1315" s="3" t="s">
        <v>8</v>
      </c>
      <c r="G1315" s="46">
        <v>2</v>
      </c>
      <c r="H1315" s="3">
        <v>2.4</v>
      </c>
      <c r="I1315" s="46">
        <v>0</v>
      </c>
      <c r="J1315" s="55">
        <v>0</v>
      </c>
      <c r="K1315" s="1">
        <f t="shared" ref="K1315" si="1144">(IF(F1315="SELL",G1315-H1315,IF(F1315="BUY",H1315-G1315)))*E1315</f>
        <v>2399.9999999999995</v>
      </c>
      <c r="L1315" s="51">
        <v>0</v>
      </c>
      <c r="M1315" s="52">
        <v>0</v>
      </c>
      <c r="N1315" s="2">
        <f t="shared" si="1066"/>
        <v>0.39999999999999991</v>
      </c>
      <c r="O1315" s="2">
        <f t="shared" si="1084"/>
        <v>2399.9999999999995</v>
      </c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</row>
    <row r="1316" spans="1:33" s="14" customFormat="1">
      <c r="A1316" s="10">
        <v>43305</v>
      </c>
      <c r="B1316" s="3" t="s">
        <v>232</v>
      </c>
      <c r="C1316" s="15" t="s">
        <v>47</v>
      </c>
      <c r="D1316" s="15">
        <v>400</v>
      </c>
      <c r="E1316" s="11">
        <v>1300</v>
      </c>
      <c r="F1316" s="3" t="s">
        <v>8</v>
      </c>
      <c r="G1316" s="46">
        <v>7</v>
      </c>
      <c r="H1316" s="3">
        <v>8</v>
      </c>
      <c r="I1316" s="46">
        <v>9</v>
      </c>
      <c r="J1316" s="55">
        <v>0</v>
      </c>
      <c r="K1316" s="1">
        <f t="shared" ref="K1316" si="1145">(IF(F1316="SELL",G1316-H1316,IF(F1316="BUY",H1316-G1316)))*E1316</f>
        <v>1300</v>
      </c>
      <c r="L1316" s="51">
        <f t="shared" ref="L1316" si="1146">(IF(F1316="SELL",IF(I1316="",0,H1316-I1316),IF(F1316="BUY",IF(I1316="",0,I1316-H1316))))*E1316</f>
        <v>1300</v>
      </c>
      <c r="M1316" s="52">
        <v>0</v>
      </c>
      <c r="N1316" s="2">
        <f t="shared" si="1066"/>
        <v>2</v>
      </c>
      <c r="O1316" s="2">
        <f t="shared" si="1084"/>
        <v>2600</v>
      </c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</row>
    <row r="1317" spans="1:33" s="14" customFormat="1">
      <c r="A1317" s="10">
        <v>43305</v>
      </c>
      <c r="B1317" s="3" t="s">
        <v>339</v>
      </c>
      <c r="C1317" s="15" t="s">
        <v>47</v>
      </c>
      <c r="D1317" s="15">
        <v>580</v>
      </c>
      <c r="E1317" s="11">
        <v>1250</v>
      </c>
      <c r="F1317" s="3" t="s">
        <v>8</v>
      </c>
      <c r="G1317" s="46">
        <v>7.5</v>
      </c>
      <c r="H1317" s="3">
        <v>9</v>
      </c>
      <c r="I1317" s="46">
        <v>0</v>
      </c>
      <c r="J1317" s="55">
        <v>0</v>
      </c>
      <c r="K1317" s="1">
        <f t="shared" ref="K1317" si="1147">(IF(F1317="SELL",G1317-H1317,IF(F1317="BUY",H1317-G1317)))*E1317</f>
        <v>1875</v>
      </c>
      <c r="L1317" s="51">
        <v>0</v>
      </c>
      <c r="M1317" s="52">
        <v>0</v>
      </c>
      <c r="N1317" s="2">
        <f t="shared" si="1066"/>
        <v>1.5</v>
      </c>
      <c r="O1317" s="2">
        <f t="shared" si="1084"/>
        <v>1875</v>
      </c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</row>
    <row r="1318" spans="1:33" s="14" customFormat="1">
      <c r="A1318" s="10">
        <v>43305</v>
      </c>
      <c r="B1318" s="3" t="s">
        <v>232</v>
      </c>
      <c r="C1318" s="15" t="s">
        <v>47</v>
      </c>
      <c r="D1318" s="15">
        <v>400</v>
      </c>
      <c r="E1318" s="11">
        <v>1300</v>
      </c>
      <c r="F1318" s="3" t="s">
        <v>8</v>
      </c>
      <c r="G1318" s="46">
        <v>7</v>
      </c>
      <c r="H1318" s="3">
        <v>8</v>
      </c>
      <c r="I1318" s="46">
        <v>0</v>
      </c>
      <c r="J1318" s="55">
        <v>0</v>
      </c>
      <c r="K1318" s="1">
        <f t="shared" ref="K1318" si="1148">(IF(F1318="SELL",G1318-H1318,IF(F1318="BUY",H1318-G1318)))*E1318</f>
        <v>1300</v>
      </c>
      <c r="L1318" s="51">
        <v>0</v>
      </c>
      <c r="M1318" s="52">
        <v>0</v>
      </c>
      <c r="N1318" s="2">
        <f t="shared" ref="N1318:N1381" si="1149">(L1318+K1318+M1318)/E1318</f>
        <v>1</v>
      </c>
      <c r="O1318" s="2">
        <f t="shared" si="1084"/>
        <v>1300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</row>
    <row r="1319" spans="1:33" s="14" customFormat="1">
      <c r="A1319" s="10">
        <v>43305</v>
      </c>
      <c r="B1319" s="3" t="s">
        <v>321</v>
      </c>
      <c r="C1319" s="15" t="s">
        <v>47</v>
      </c>
      <c r="D1319" s="15">
        <v>820</v>
      </c>
      <c r="E1319" s="11">
        <v>800</v>
      </c>
      <c r="F1319" s="3" t="s">
        <v>8</v>
      </c>
      <c r="G1319" s="46">
        <v>20</v>
      </c>
      <c r="H1319" s="3">
        <v>23</v>
      </c>
      <c r="I1319" s="46">
        <v>0</v>
      </c>
      <c r="J1319" s="55">
        <v>0</v>
      </c>
      <c r="K1319" s="1">
        <f t="shared" ref="K1319" si="1150">(IF(F1319="SELL",G1319-H1319,IF(F1319="BUY",H1319-G1319)))*E1319</f>
        <v>2400</v>
      </c>
      <c r="L1319" s="51">
        <v>0</v>
      </c>
      <c r="M1319" s="52">
        <v>0</v>
      </c>
      <c r="N1319" s="2">
        <f t="shared" si="1149"/>
        <v>3</v>
      </c>
      <c r="O1319" s="2">
        <f t="shared" si="1084"/>
        <v>2400</v>
      </c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</row>
    <row r="1320" spans="1:33" s="14" customFormat="1">
      <c r="A1320" s="10">
        <v>43304</v>
      </c>
      <c r="B1320" s="3" t="s">
        <v>189</v>
      </c>
      <c r="C1320" s="15" t="s">
        <v>47</v>
      </c>
      <c r="D1320" s="15">
        <v>350</v>
      </c>
      <c r="E1320" s="11">
        <v>1500</v>
      </c>
      <c r="F1320" s="3" t="s">
        <v>8</v>
      </c>
      <c r="G1320" s="46">
        <v>10.5</v>
      </c>
      <c r="H1320" s="3">
        <v>11.5</v>
      </c>
      <c r="I1320" s="46">
        <v>13.5</v>
      </c>
      <c r="J1320" s="55">
        <v>16</v>
      </c>
      <c r="K1320" s="1">
        <f t="shared" ref="K1320" si="1151">(IF(F1320="SELL",G1320-H1320,IF(F1320="BUY",H1320-G1320)))*E1320</f>
        <v>1500</v>
      </c>
      <c r="L1320" s="51">
        <f t="shared" ref="L1320" si="1152">(IF(F1320="SELL",IF(I1320="",0,H1320-I1320),IF(F1320="BUY",IF(I1320="",0,I1320-H1320))))*E1320</f>
        <v>3000</v>
      </c>
      <c r="M1320" s="52">
        <v>3750</v>
      </c>
      <c r="N1320" s="2">
        <f t="shared" si="1149"/>
        <v>5.5</v>
      </c>
      <c r="O1320" s="2">
        <f t="shared" si="1084"/>
        <v>8250</v>
      </c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</row>
    <row r="1321" spans="1:33" s="14" customFormat="1">
      <c r="A1321" s="10">
        <v>43304</v>
      </c>
      <c r="B1321" s="3" t="s">
        <v>232</v>
      </c>
      <c r="C1321" s="15" t="s">
        <v>47</v>
      </c>
      <c r="D1321" s="15">
        <v>390</v>
      </c>
      <c r="E1321" s="11">
        <v>1300</v>
      </c>
      <c r="F1321" s="3" t="s">
        <v>8</v>
      </c>
      <c r="G1321" s="46">
        <v>7.15</v>
      </c>
      <c r="H1321" s="3">
        <v>8.15</v>
      </c>
      <c r="I1321" s="46">
        <v>10.15</v>
      </c>
      <c r="J1321" s="55">
        <v>12</v>
      </c>
      <c r="K1321" s="1">
        <f t="shared" ref="K1321" si="1153">(IF(F1321="SELL",G1321-H1321,IF(F1321="BUY",H1321-G1321)))*E1321</f>
        <v>1300</v>
      </c>
      <c r="L1321" s="51">
        <f t="shared" ref="L1321" si="1154">(IF(F1321="SELL",IF(I1321="",0,H1321-I1321),IF(F1321="BUY",IF(I1321="",0,I1321-H1321))))*E1321</f>
        <v>2600</v>
      </c>
      <c r="M1321" s="52">
        <v>2405</v>
      </c>
      <c r="N1321" s="2">
        <f t="shared" si="1149"/>
        <v>4.8499999999999996</v>
      </c>
      <c r="O1321" s="2">
        <f t="shared" si="1084"/>
        <v>6304.9999999999991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</row>
    <row r="1322" spans="1:33" s="14" customFormat="1">
      <c r="A1322" s="10">
        <v>43304</v>
      </c>
      <c r="B1322" s="3" t="s">
        <v>338</v>
      </c>
      <c r="C1322" s="15" t="s">
        <v>47</v>
      </c>
      <c r="D1322" s="15">
        <v>500</v>
      </c>
      <c r="E1322" s="11">
        <v>800</v>
      </c>
      <c r="F1322" s="3" t="s">
        <v>8</v>
      </c>
      <c r="G1322" s="46">
        <v>10</v>
      </c>
      <c r="H1322" s="3">
        <v>12</v>
      </c>
      <c r="I1322" s="46">
        <v>16</v>
      </c>
      <c r="J1322" s="55">
        <v>0</v>
      </c>
      <c r="K1322" s="1">
        <f t="shared" ref="K1322" si="1155">(IF(F1322="SELL",G1322-H1322,IF(F1322="BUY",H1322-G1322)))*E1322</f>
        <v>1600</v>
      </c>
      <c r="L1322" s="51">
        <f t="shared" ref="L1322" si="1156">(IF(F1322="SELL",IF(I1322="",0,H1322-I1322),IF(F1322="BUY",IF(I1322="",0,I1322-H1322))))*E1322</f>
        <v>3200</v>
      </c>
      <c r="M1322" s="52">
        <v>0</v>
      </c>
      <c r="N1322" s="2">
        <f t="shared" si="1149"/>
        <v>6</v>
      </c>
      <c r="O1322" s="2">
        <f t="shared" si="1084"/>
        <v>4800</v>
      </c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</row>
    <row r="1323" spans="1:33" s="14" customFormat="1">
      <c r="A1323" s="10">
        <v>43304</v>
      </c>
      <c r="B1323" s="3" t="s">
        <v>149</v>
      </c>
      <c r="C1323" s="15" t="s">
        <v>47</v>
      </c>
      <c r="D1323" s="15">
        <v>200</v>
      </c>
      <c r="E1323" s="11">
        <v>2500</v>
      </c>
      <c r="F1323" s="3" t="s">
        <v>8</v>
      </c>
      <c r="G1323" s="46">
        <v>3.4</v>
      </c>
      <c r="H1323" s="3">
        <v>3.9</v>
      </c>
      <c r="I1323" s="46">
        <v>0</v>
      </c>
      <c r="J1323" s="55">
        <v>0</v>
      </c>
      <c r="K1323" s="1">
        <f t="shared" ref="K1323" si="1157">(IF(F1323="SELL",G1323-H1323,IF(F1323="BUY",H1323-G1323)))*E1323</f>
        <v>1250</v>
      </c>
      <c r="L1323" s="51">
        <v>0</v>
      </c>
      <c r="M1323" s="52">
        <v>0</v>
      </c>
      <c r="N1323" s="2">
        <f t="shared" si="1149"/>
        <v>0.5</v>
      </c>
      <c r="O1323" s="2">
        <f t="shared" si="1084"/>
        <v>1250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</row>
    <row r="1324" spans="1:33" s="14" customFormat="1">
      <c r="A1324" s="10">
        <v>43304</v>
      </c>
      <c r="B1324" s="3" t="s">
        <v>205</v>
      </c>
      <c r="C1324" s="15" t="s">
        <v>47</v>
      </c>
      <c r="D1324" s="15">
        <v>1300</v>
      </c>
      <c r="E1324" s="11">
        <v>400</v>
      </c>
      <c r="F1324" s="3" t="s">
        <v>8</v>
      </c>
      <c r="G1324" s="46">
        <v>40.5</v>
      </c>
      <c r="H1324" s="3">
        <v>33</v>
      </c>
      <c r="I1324" s="46">
        <v>0</v>
      </c>
      <c r="J1324" s="55">
        <v>0</v>
      </c>
      <c r="K1324" s="1">
        <f t="shared" ref="K1324" si="1158">(IF(F1324="SELL",G1324-H1324,IF(F1324="BUY",H1324-G1324)))*E1324</f>
        <v>-3000</v>
      </c>
      <c r="L1324" s="51">
        <v>0</v>
      </c>
      <c r="M1324" s="52">
        <v>0</v>
      </c>
      <c r="N1324" s="2">
        <f t="shared" si="1149"/>
        <v>-7.5</v>
      </c>
      <c r="O1324" s="2">
        <f t="shared" si="1084"/>
        <v>-3000</v>
      </c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</row>
    <row r="1325" spans="1:33" s="14" customFormat="1">
      <c r="A1325" s="10">
        <v>43301</v>
      </c>
      <c r="B1325" s="3" t="s">
        <v>337</v>
      </c>
      <c r="C1325" s="15" t="s">
        <v>47</v>
      </c>
      <c r="D1325" s="15">
        <v>1300</v>
      </c>
      <c r="E1325" s="11">
        <v>350</v>
      </c>
      <c r="F1325" s="3" t="s">
        <v>8</v>
      </c>
      <c r="G1325" s="46">
        <v>42</v>
      </c>
      <c r="H1325" s="3">
        <v>46</v>
      </c>
      <c r="I1325" s="46">
        <v>50</v>
      </c>
      <c r="J1325" s="55">
        <v>55</v>
      </c>
      <c r="K1325" s="1">
        <f t="shared" ref="K1325" si="1159">(IF(F1325="SELL",G1325-H1325,IF(F1325="BUY",H1325-G1325)))*E1325</f>
        <v>1400</v>
      </c>
      <c r="L1325" s="51">
        <f t="shared" ref="L1325" si="1160">(IF(F1325="SELL",IF(I1325="",0,H1325-I1325),IF(F1325="BUY",IF(I1325="",0,I1325-H1325))))*E1325</f>
        <v>1400</v>
      </c>
      <c r="M1325" s="52">
        <v>2750</v>
      </c>
      <c r="N1325" s="2">
        <f t="shared" si="1149"/>
        <v>15.857142857142858</v>
      </c>
      <c r="O1325" s="2">
        <f t="shared" si="1084"/>
        <v>5550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</row>
    <row r="1326" spans="1:33" s="14" customFormat="1">
      <c r="A1326" s="10">
        <v>43301</v>
      </c>
      <c r="B1326" s="3" t="s">
        <v>336</v>
      </c>
      <c r="C1326" s="15" t="s">
        <v>47</v>
      </c>
      <c r="D1326" s="15">
        <v>1200</v>
      </c>
      <c r="E1326" s="11">
        <v>800</v>
      </c>
      <c r="F1326" s="3" t="s">
        <v>8</v>
      </c>
      <c r="G1326" s="46">
        <v>16</v>
      </c>
      <c r="H1326" s="3">
        <v>18</v>
      </c>
      <c r="I1326" s="46">
        <v>22</v>
      </c>
      <c r="J1326" s="55">
        <v>26</v>
      </c>
      <c r="K1326" s="1">
        <f t="shared" ref="K1326" si="1161">(IF(F1326="SELL",G1326-H1326,IF(F1326="BUY",H1326-G1326)))*E1326</f>
        <v>1600</v>
      </c>
      <c r="L1326" s="51">
        <f t="shared" ref="L1326" si="1162">(IF(F1326="SELL",IF(I1326="",0,H1326-I1326),IF(F1326="BUY",IF(I1326="",0,I1326-H1326))))*E1326</f>
        <v>3200</v>
      </c>
      <c r="M1326" s="52">
        <v>3200</v>
      </c>
      <c r="N1326" s="2">
        <f t="shared" si="1149"/>
        <v>10</v>
      </c>
      <c r="O1326" s="2">
        <f t="shared" si="1084"/>
        <v>8000</v>
      </c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</row>
    <row r="1327" spans="1:33" s="14" customFormat="1">
      <c r="A1327" s="10">
        <v>43300</v>
      </c>
      <c r="B1327" s="3" t="s">
        <v>249</v>
      </c>
      <c r="C1327" s="15" t="s">
        <v>47</v>
      </c>
      <c r="D1327" s="15">
        <v>270</v>
      </c>
      <c r="E1327" s="11">
        <v>2750</v>
      </c>
      <c r="F1327" s="3" t="s">
        <v>8</v>
      </c>
      <c r="G1327" s="46">
        <v>4.95</v>
      </c>
      <c r="H1327" s="3">
        <v>5.4</v>
      </c>
      <c r="I1327" s="46">
        <v>6.4</v>
      </c>
      <c r="J1327" s="55">
        <v>7.4</v>
      </c>
      <c r="K1327" s="1">
        <f t="shared" ref="K1327" si="1163">(IF(F1327="SELL",G1327-H1327,IF(F1327="BUY",H1327-G1327)))*E1327</f>
        <v>1237.5000000000005</v>
      </c>
      <c r="L1327" s="51">
        <f t="shared" ref="L1327" si="1164">(IF(F1327="SELL",IF(I1327="",0,H1327-I1327),IF(F1327="BUY",IF(I1327="",0,I1327-H1327))))*E1327</f>
        <v>2750</v>
      </c>
      <c r="M1327" s="52">
        <v>2750</v>
      </c>
      <c r="N1327" s="2">
        <f t="shared" si="1149"/>
        <v>2.4500000000000002</v>
      </c>
      <c r="O1327" s="2">
        <f t="shared" si="1084"/>
        <v>6737.5000000000009</v>
      </c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</row>
    <row r="1328" spans="1:33" s="14" customFormat="1">
      <c r="A1328" s="10">
        <v>43300</v>
      </c>
      <c r="B1328" s="3" t="s">
        <v>157</v>
      </c>
      <c r="C1328" s="15" t="s">
        <v>47</v>
      </c>
      <c r="D1328" s="15">
        <v>840</v>
      </c>
      <c r="E1328" s="11">
        <v>750</v>
      </c>
      <c r="F1328" s="3" t="s">
        <v>8</v>
      </c>
      <c r="G1328" s="46">
        <v>22</v>
      </c>
      <c r="H1328" s="3">
        <v>24</v>
      </c>
      <c r="I1328" s="46">
        <v>28</v>
      </c>
      <c r="J1328" s="55">
        <v>32</v>
      </c>
      <c r="K1328" s="1">
        <f t="shared" ref="K1328" si="1165">(IF(F1328="SELL",G1328-H1328,IF(F1328="BUY",H1328-G1328)))*E1328</f>
        <v>1500</v>
      </c>
      <c r="L1328" s="51">
        <f t="shared" ref="L1328" si="1166">(IF(F1328="SELL",IF(I1328="",0,H1328-I1328),IF(F1328="BUY",IF(I1328="",0,I1328-H1328))))*E1328</f>
        <v>3000</v>
      </c>
      <c r="M1328" s="52">
        <v>3000</v>
      </c>
      <c r="N1328" s="2">
        <f t="shared" si="1149"/>
        <v>10</v>
      </c>
      <c r="O1328" s="2">
        <f t="shared" si="1084"/>
        <v>7500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</row>
    <row r="1329" spans="1:33" s="14" customFormat="1">
      <c r="A1329" s="10">
        <v>43299</v>
      </c>
      <c r="B1329" s="3" t="s">
        <v>277</v>
      </c>
      <c r="C1329" s="15" t="s">
        <v>47</v>
      </c>
      <c r="D1329" s="15">
        <v>150</v>
      </c>
      <c r="E1329" s="11">
        <v>4500</v>
      </c>
      <c r="F1329" s="3" t="s">
        <v>8</v>
      </c>
      <c r="G1329" s="46">
        <v>4.9000000000000004</v>
      </c>
      <c r="H1329" s="3">
        <v>5.3</v>
      </c>
      <c r="I1329" s="46">
        <v>0</v>
      </c>
      <c r="J1329" s="55">
        <v>0</v>
      </c>
      <c r="K1329" s="1">
        <f t="shared" ref="K1329" si="1167">(IF(F1329="SELL",G1329-H1329,IF(F1329="BUY",H1329-G1329)))*E1329</f>
        <v>1799.9999999999975</v>
      </c>
      <c r="L1329" s="51">
        <v>0</v>
      </c>
      <c r="M1329" s="52">
        <v>0</v>
      </c>
      <c r="N1329" s="2">
        <f t="shared" si="1149"/>
        <v>0.39999999999999947</v>
      </c>
      <c r="O1329" s="2">
        <f t="shared" ref="O1329:O1392" si="1168">N1329*E1329</f>
        <v>1799.9999999999975</v>
      </c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</row>
    <row r="1330" spans="1:33" s="14" customFormat="1">
      <c r="A1330" s="10">
        <v>43299</v>
      </c>
      <c r="B1330" s="3" t="s">
        <v>207</v>
      </c>
      <c r="C1330" s="15" t="s">
        <v>47</v>
      </c>
      <c r="D1330" s="15">
        <v>850</v>
      </c>
      <c r="E1330" s="11">
        <v>550</v>
      </c>
      <c r="F1330" s="3" t="s">
        <v>8</v>
      </c>
      <c r="G1330" s="46">
        <v>19</v>
      </c>
      <c r="H1330" s="3">
        <v>22</v>
      </c>
      <c r="I1330" s="46">
        <v>26</v>
      </c>
      <c r="J1330" s="55">
        <v>0</v>
      </c>
      <c r="K1330" s="1">
        <f t="shared" ref="K1330" si="1169">(IF(F1330="SELL",G1330-H1330,IF(F1330="BUY",H1330-G1330)))*E1330</f>
        <v>1650</v>
      </c>
      <c r="L1330" s="51">
        <f t="shared" ref="L1330" si="1170">(IF(F1330="SELL",IF(I1330="",0,H1330-I1330),IF(F1330="BUY",IF(I1330="",0,I1330-H1330))))*E1330</f>
        <v>2200</v>
      </c>
      <c r="M1330" s="52">
        <v>0</v>
      </c>
      <c r="N1330" s="2">
        <f t="shared" si="1149"/>
        <v>7</v>
      </c>
      <c r="O1330" s="2">
        <f t="shared" si="1168"/>
        <v>3850</v>
      </c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</row>
    <row r="1331" spans="1:33" s="14" customFormat="1">
      <c r="A1331" s="10">
        <v>43299</v>
      </c>
      <c r="B1331" s="3" t="s">
        <v>249</v>
      </c>
      <c r="C1331" s="15" t="s">
        <v>47</v>
      </c>
      <c r="D1331" s="15">
        <v>270</v>
      </c>
      <c r="E1331" s="11">
        <v>2750</v>
      </c>
      <c r="F1331" s="3" t="s">
        <v>8</v>
      </c>
      <c r="G1331" s="46">
        <v>5.3</v>
      </c>
      <c r="H1331" s="3">
        <v>5.7</v>
      </c>
      <c r="I1331" s="46">
        <v>0</v>
      </c>
      <c r="J1331" s="55">
        <v>0</v>
      </c>
      <c r="K1331" s="1">
        <f t="shared" ref="K1331" si="1171">(IF(F1331="SELL",G1331-H1331,IF(F1331="BUY",H1331-G1331)))*E1331</f>
        <v>1100.0000000000009</v>
      </c>
      <c r="L1331" s="51">
        <v>0</v>
      </c>
      <c r="M1331" s="52">
        <v>0</v>
      </c>
      <c r="N1331" s="2">
        <f t="shared" si="1149"/>
        <v>0.40000000000000036</v>
      </c>
      <c r="O1331" s="2">
        <f t="shared" si="1168"/>
        <v>1100.0000000000009</v>
      </c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</row>
    <row r="1332" spans="1:33" s="14" customFormat="1">
      <c r="A1332" s="10">
        <v>43298</v>
      </c>
      <c r="B1332" s="3" t="s">
        <v>335</v>
      </c>
      <c r="C1332" s="15" t="s">
        <v>46</v>
      </c>
      <c r="D1332" s="15">
        <v>2400</v>
      </c>
      <c r="E1332" s="11">
        <v>500</v>
      </c>
      <c r="F1332" s="3" t="s">
        <v>8</v>
      </c>
      <c r="G1332" s="46">
        <v>41</v>
      </c>
      <c r="H1332" s="3">
        <v>33</v>
      </c>
      <c r="I1332" s="46">
        <v>0</v>
      </c>
      <c r="J1332" s="55">
        <v>0</v>
      </c>
      <c r="K1332" s="1">
        <f t="shared" ref="K1332:K1333" si="1172">(IF(F1332="SELL",G1332-H1332,IF(F1332="BUY",H1332-G1332)))*E1332</f>
        <v>-4000</v>
      </c>
      <c r="L1332" s="51">
        <v>0</v>
      </c>
      <c r="M1332" s="52">
        <v>0</v>
      </c>
      <c r="N1332" s="2">
        <f t="shared" si="1149"/>
        <v>-8</v>
      </c>
      <c r="O1332" s="2">
        <f t="shared" si="1168"/>
        <v>-4000</v>
      </c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</row>
    <row r="1333" spans="1:33" s="14" customFormat="1">
      <c r="A1333" s="10">
        <v>43298</v>
      </c>
      <c r="B1333" s="3" t="s">
        <v>157</v>
      </c>
      <c r="C1333" s="15" t="s">
        <v>47</v>
      </c>
      <c r="D1333" s="15">
        <v>840</v>
      </c>
      <c r="E1333" s="11">
        <v>750</v>
      </c>
      <c r="F1333" s="3" t="s">
        <v>8</v>
      </c>
      <c r="G1333" s="46">
        <v>20</v>
      </c>
      <c r="H1333" s="3">
        <v>22</v>
      </c>
      <c r="I1333" s="46">
        <v>0</v>
      </c>
      <c r="J1333" s="55">
        <v>0</v>
      </c>
      <c r="K1333" s="1">
        <f t="shared" si="1172"/>
        <v>1500</v>
      </c>
      <c r="L1333" s="51">
        <v>0</v>
      </c>
      <c r="M1333" s="52">
        <v>0</v>
      </c>
      <c r="N1333" s="2">
        <f t="shared" si="1149"/>
        <v>2</v>
      </c>
      <c r="O1333" s="2">
        <f t="shared" si="1168"/>
        <v>1500</v>
      </c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</row>
    <row r="1334" spans="1:33" s="14" customFormat="1">
      <c r="A1334" s="10">
        <v>43298</v>
      </c>
      <c r="B1334" s="3" t="s">
        <v>154</v>
      </c>
      <c r="C1334" s="15" t="s">
        <v>47</v>
      </c>
      <c r="D1334" s="15">
        <v>390</v>
      </c>
      <c r="E1334" s="11">
        <v>1800</v>
      </c>
      <c r="F1334" s="3" t="s">
        <v>8</v>
      </c>
      <c r="G1334" s="46">
        <v>13</v>
      </c>
      <c r="H1334" s="3">
        <v>14</v>
      </c>
      <c r="I1334" s="46">
        <v>0</v>
      </c>
      <c r="J1334" s="55">
        <v>0</v>
      </c>
      <c r="K1334" s="1">
        <f t="shared" ref="K1334" si="1173">(IF(F1334="SELL",G1334-H1334,IF(F1334="BUY",H1334-G1334)))*E1334</f>
        <v>1800</v>
      </c>
      <c r="L1334" s="51">
        <v>0</v>
      </c>
      <c r="M1334" s="52">
        <v>0</v>
      </c>
      <c r="N1334" s="2">
        <f t="shared" si="1149"/>
        <v>1</v>
      </c>
      <c r="O1334" s="2">
        <f t="shared" si="1168"/>
        <v>1800</v>
      </c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</row>
    <row r="1335" spans="1:33" s="14" customFormat="1">
      <c r="A1335" s="10">
        <v>43297</v>
      </c>
      <c r="B1335" s="3" t="s">
        <v>154</v>
      </c>
      <c r="C1335" s="15" t="s">
        <v>47</v>
      </c>
      <c r="D1335" s="15">
        <v>390</v>
      </c>
      <c r="E1335" s="11">
        <v>1800</v>
      </c>
      <c r="F1335" s="3" t="s">
        <v>8</v>
      </c>
      <c r="G1335" s="46">
        <v>9</v>
      </c>
      <c r="H1335" s="3">
        <v>9.6999999999999993</v>
      </c>
      <c r="I1335" s="46">
        <v>0</v>
      </c>
      <c r="J1335" s="55">
        <v>0</v>
      </c>
      <c r="K1335" s="1">
        <f t="shared" ref="K1335" si="1174">(IF(F1335="SELL",G1335-H1335,IF(F1335="BUY",H1335-G1335)))*E1335</f>
        <v>1259.9999999999986</v>
      </c>
      <c r="L1335" s="51">
        <v>0</v>
      </c>
      <c r="M1335" s="52">
        <v>0</v>
      </c>
      <c r="N1335" s="2">
        <f t="shared" si="1149"/>
        <v>0.69999999999999929</v>
      </c>
      <c r="O1335" s="2">
        <f t="shared" si="1168"/>
        <v>1259.9999999999986</v>
      </c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</row>
    <row r="1336" spans="1:33" s="14" customFormat="1">
      <c r="A1336" s="10">
        <v>43297</v>
      </c>
      <c r="B1336" s="3" t="s">
        <v>252</v>
      </c>
      <c r="C1336" s="15" t="s">
        <v>46</v>
      </c>
      <c r="D1336" s="15">
        <v>130</v>
      </c>
      <c r="E1336" s="11">
        <v>700</v>
      </c>
      <c r="F1336" s="3" t="s">
        <v>8</v>
      </c>
      <c r="G1336" s="46">
        <v>5.55</v>
      </c>
      <c r="H1336" s="3">
        <v>6</v>
      </c>
      <c r="I1336" s="46">
        <v>0</v>
      </c>
      <c r="J1336" s="55">
        <v>0</v>
      </c>
      <c r="K1336" s="1">
        <f t="shared" ref="K1336" si="1175">(IF(F1336="SELL",G1336-H1336,IF(F1336="BUY",H1336-G1336)))*E1336</f>
        <v>315.00000000000011</v>
      </c>
      <c r="L1336" s="51">
        <v>0</v>
      </c>
      <c r="M1336" s="52">
        <v>0</v>
      </c>
      <c r="N1336" s="2">
        <f t="shared" si="1149"/>
        <v>0.45000000000000018</v>
      </c>
      <c r="O1336" s="2">
        <f t="shared" si="1168"/>
        <v>315.00000000000011</v>
      </c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</row>
    <row r="1337" spans="1:33" s="14" customFormat="1">
      <c r="A1337" s="10">
        <v>43294</v>
      </c>
      <c r="B1337" s="3" t="s">
        <v>224</v>
      </c>
      <c r="C1337" s="15" t="s">
        <v>47</v>
      </c>
      <c r="D1337" s="15">
        <v>510</v>
      </c>
      <c r="E1337" s="11">
        <v>1500</v>
      </c>
      <c r="F1337" s="3" t="s">
        <v>8</v>
      </c>
      <c r="G1337" s="46">
        <v>12</v>
      </c>
      <c r="H1337" s="3">
        <v>13</v>
      </c>
      <c r="I1337" s="46">
        <v>15</v>
      </c>
      <c r="J1337" s="55">
        <v>0</v>
      </c>
      <c r="K1337" s="1">
        <f t="shared" ref="K1337:K1338" si="1176">(IF(F1337="SELL",G1337-H1337,IF(F1337="BUY",H1337-G1337)))*E1337</f>
        <v>1500</v>
      </c>
      <c r="L1337" s="51">
        <f t="shared" ref="L1337" si="1177">(IF(F1337="SELL",IF(I1337="",0,H1337-I1337),IF(F1337="BUY",IF(I1337="",0,I1337-H1337))))*E1337</f>
        <v>3000</v>
      </c>
      <c r="M1337" s="52">
        <v>0</v>
      </c>
      <c r="N1337" s="2">
        <f t="shared" si="1149"/>
        <v>3</v>
      </c>
      <c r="O1337" s="2">
        <f t="shared" si="1168"/>
        <v>4500</v>
      </c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</row>
    <row r="1338" spans="1:33" s="14" customFormat="1">
      <c r="A1338" s="10">
        <v>43294</v>
      </c>
      <c r="B1338" s="3" t="s">
        <v>154</v>
      </c>
      <c r="C1338" s="15" t="s">
        <v>47</v>
      </c>
      <c r="D1338" s="15">
        <v>390</v>
      </c>
      <c r="E1338" s="11">
        <v>1800</v>
      </c>
      <c r="F1338" s="3" t="s">
        <v>8</v>
      </c>
      <c r="G1338" s="46">
        <v>9</v>
      </c>
      <c r="H1338" s="3">
        <v>9.75</v>
      </c>
      <c r="I1338" s="46">
        <v>0</v>
      </c>
      <c r="J1338" s="55">
        <v>0</v>
      </c>
      <c r="K1338" s="1">
        <f t="shared" si="1176"/>
        <v>1350</v>
      </c>
      <c r="L1338" s="51">
        <v>0</v>
      </c>
      <c r="M1338" s="52">
        <v>0</v>
      </c>
      <c r="N1338" s="2">
        <f t="shared" si="1149"/>
        <v>0.75</v>
      </c>
      <c r="O1338" s="2">
        <f t="shared" si="1168"/>
        <v>1350</v>
      </c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</row>
    <row r="1339" spans="1:33" s="14" customFormat="1">
      <c r="A1339" s="10">
        <v>43294</v>
      </c>
      <c r="B1339" s="3" t="s">
        <v>211</v>
      </c>
      <c r="C1339" s="15" t="s">
        <v>47</v>
      </c>
      <c r="D1339" s="15">
        <v>1150</v>
      </c>
      <c r="E1339" s="11">
        <v>750</v>
      </c>
      <c r="F1339" s="3" t="s">
        <v>8</v>
      </c>
      <c r="G1339" s="46">
        <v>52.05</v>
      </c>
      <c r="H1339" s="3">
        <v>45</v>
      </c>
      <c r="I1339" s="46">
        <v>0</v>
      </c>
      <c r="J1339" s="55">
        <v>0</v>
      </c>
      <c r="K1339" s="1">
        <f t="shared" ref="K1339:K1340" si="1178">(IF(F1339="SELL",G1339-H1339,IF(F1339="BUY",H1339-G1339)))*E1339</f>
        <v>-5287.4999999999982</v>
      </c>
      <c r="L1339" s="51">
        <v>0</v>
      </c>
      <c r="M1339" s="52">
        <v>0</v>
      </c>
      <c r="N1339" s="2">
        <f t="shared" si="1149"/>
        <v>-7.0499999999999972</v>
      </c>
      <c r="O1339" s="2">
        <f t="shared" si="1168"/>
        <v>-5287.4999999999982</v>
      </c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</row>
    <row r="1340" spans="1:33" s="14" customFormat="1">
      <c r="A1340" s="10">
        <v>43294</v>
      </c>
      <c r="B1340" s="3" t="s">
        <v>291</v>
      </c>
      <c r="C1340" s="15" t="s">
        <v>47</v>
      </c>
      <c r="D1340" s="15">
        <v>2000</v>
      </c>
      <c r="E1340" s="11">
        <v>500</v>
      </c>
      <c r="F1340" s="3" t="s">
        <v>8</v>
      </c>
      <c r="G1340" s="46">
        <v>36</v>
      </c>
      <c r="H1340" s="3">
        <v>28</v>
      </c>
      <c r="I1340" s="46">
        <v>0</v>
      </c>
      <c r="J1340" s="55">
        <v>0</v>
      </c>
      <c r="K1340" s="1">
        <f t="shared" si="1178"/>
        <v>-4000</v>
      </c>
      <c r="L1340" s="51">
        <v>0</v>
      </c>
      <c r="M1340" s="52">
        <v>0</v>
      </c>
      <c r="N1340" s="2">
        <f t="shared" si="1149"/>
        <v>-8</v>
      </c>
      <c r="O1340" s="2">
        <f t="shared" si="1168"/>
        <v>-4000</v>
      </c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</row>
    <row r="1341" spans="1:33" s="14" customFormat="1">
      <c r="A1341" s="10">
        <v>43293</v>
      </c>
      <c r="B1341" s="3" t="s">
        <v>253</v>
      </c>
      <c r="C1341" s="15" t="s">
        <v>47</v>
      </c>
      <c r="D1341" s="15">
        <v>1080</v>
      </c>
      <c r="E1341" s="11">
        <v>1200</v>
      </c>
      <c r="F1341" s="3" t="s">
        <v>8</v>
      </c>
      <c r="G1341" s="46">
        <v>31</v>
      </c>
      <c r="H1341" s="3">
        <v>32</v>
      </c>
      <c r="I1341" s="46">
        <v>34.5</v>
      </c>
      <c r="J1341" s="55">
        <v>37</v>
      </c>
      <c r="K1341" s="1">
        <f t="shared" ref="K1341:K1342" si="1179">(IF(F1341="SELL",G1341-H1341,IF(F1341="BUY",H1341-G1341)))*E1341</f>
        <v>1200</v>
      </c>
      <c r="L1341" s="51">
        <f t="shared" ref="L1341:L1343" si="1180">(IF(F1341="SELL",IF(I1341="",0,H1341-I1341),IF(F1341="BUY",IF(I1341="",0,I1341-H1341))))*E1341</f>
        <v>3000</v>
      </c>
      <c r="M1341" s="52">
        <v>3000</v>
      </c>
      <c r="N1341" s="2">
        <f t="shared" si="1149"/>
        <v>6</v>
      </c>
      <c r="O1341" s="2">
        <f t="shared" si="1168"/>
        <v>7200</v>
      </c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</row>
    <row r="1342" spans="1:33" s="14" customFormat="1">
      <c r="A1342" s="10">
        <v>43293</v>
      </c>
      <c r="B1342" s="3" t="s">
        <v>153</v>
      </c>
      <c r="C1342" s="15" t="s">
        <v>47</v>
      </c>
      <c r="D1342" s="15">
        <v>340</v>
      </c>
      <c r="E1342" s="11">
        <v>1200</v>
      </c>
      <c r="F1342" s="3" t="s">
        <v>8</v>
      </c>
      <c r="G1342" s="46">
        <v>19.55</v>
      </c>
      <c r="H1342" s="3">
        <v>20.55</v>
      </c>
      <c r="I1342" s="46">
        <v>0</v>
      </c>
      <c r="J1342" s="55">
        <v>0</v>
      </c>
      <c r="K1342" s="1">
        <f t="shared" si="1179"/>
        <v>1200</v>
      </c>
      <c r="L1342" s="51">
        <v>0</v>
      </c>
      <c r="M1342" s="52">
        <v>0</v>
      </c>
      <c r="N1342" s="2">
        <f t="shared" si="1149"/>
        <v>1</v>
      </c>
      <c r="O1342" s="2">
        <f t="shared" si="1168"/>
        <v>1200</v>
      </c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</row>
    <row r="1343" spans="1:33" s="14" customFormat="1">
      <c r="A1343" s="10">
        <v>43293</v>
      </c>
      <c r="B1343" s="3" t="s">
        <v>169</v>
      </c>
      <c r="C1343" s="15" t="s">
        <v>46</v>
      </c>
      <c r="D1343" s="15">
        <v>780</v>
      </c>
      <c r="E1343" s="11">
        <v>1000</v>
      </c>
      <c r="F1343" s="3" t="s">
        <v>8</v>
      </c>
      <c r="G1343" s="46">
        <v>19.149999999999999</v>
      </c>
      <c r="H1343" s="3">
        <v>21</v>
      </c>
      <c r="I1343" s="46">
        <v>23.6</v>
      </c>
      <c r="J1343" s="55">
        <v>0</v>
      </c>
      <c r="K1343" s="1">
        <f t="shared" ref="K1343" si="1181">(IF(F1343="SELL",G1343-H1343,IF(F1343="BUY",H1343-G1343)))*E1343</f>
        <v>1850.0000000000014</v>
      </c>
      <c r="L1343" s="51">
        <f t="shared" si="1180"/>
        <v>2600.0000000000014</v>
      </c>
      <c r="M1343" s="52">
        <v>0</v>
      </c>
      <c r="N1343" s="2">
        <f t="shared" si="1149"/>
        <v>4.4500000000000028</v>
      </c>
      <c r="O1343" s="2">
        <f t="shared" si="1168"/>
        <v>4450.0000000000027</v>
      </c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</row>
    <row r="1344" spans="1:33" s="14" customFormat="1">
      <c r="A1344" s="10">
        <v>43293</v>
      </c>
      <c r="B1344" s="3" t="s">
        <v>141</v>
      </c>
      <c r="C1344" s="15" t="s">
        <v>47</v>
      </c>
      <c r="D1344" s="15">
        <v>300</v>
      </c>
      <c r="E1344" s="11">
        <v>3000</v>
      </c>
      <c r="F1344" s="3" t="s">
        <v>8</v>
      </c>
      <c r="G1344" s="46">
        <v>8.5</v>
      </c>
      <c r="H1344" s="3">
        <v>9</v>
      </c>
      <c r="I1344" s="46">
        <v>0</v>
      </c>
      <c r="J1344" s="55">
        <v>0</v>
      </c>
      <c r="K1344" s="1">
        <f t="shared" ref="K1344" si="1182">(IF(F1344="SELL",G1344-H1344,IF(F1344="BUY",H1344-G1344)))*E1344</f>
        <v>1500</v>
      </c>
      <c r="L1344" s="51">
        <v>0</v>
      </c>
      <c r="M1344" s="52">
        <v>0</v>
      </c>
      <c r="N1344" s="2">
        <f t="shared" si="1149"/>
        <v>0.5</v>
      </c>
      <c r="O1344" s="2">
        <f t="shared" si="1168"/>
        <v>1500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</row>
    <row r="1345" spans="1:33" s="14" customFormat="1">
      <c r="A1345" s="10">
        <v>43292</v>
      </c>
      <c r="B1345" s="3" t="s">
        <v>334</v>
      </c>
      <c r="C1345" s="15" t="s">
        <v>47</v>
      </c>
      <c r="D1345" s="15">
        <v>800</v>
      </c>
      <c r="E1345" s="11">
        <v>700</v>
      </c>
      <c r="F1345" s="3" t="s">
        <v>8</v>
      </c>
      <c r="G1345" s="46">
        <v>27.5</v>
      </c>
      <c r="H1345" s="3">
        <v>30</v>
      </c>
      <c r="I1345" s="46">
        <v>0</v>
      </c>
      <c r="J1345" s="55">
        <v>0</v>
      </c>
      <c r="K1345" s="1">
        <f t="shared" ref="K1345" si="1183">(IF(F1345="SELL",G1345-H1345,IF(F1345="BUY",H1345-G1345)))*E1345</f>
        <v>1750</v>
      </c>
      <c r="L1345" s="51">
        <v>0</v>
      </c>
      <c r="M1345" s="52">
        <v>0</v>
      </c>
      <c r="N1345" s="2">
        <f t="shared" si="1149"/>
        <v>2.5</v>
      </c>
      <c r="O1345" s="2">
        <f t="shared" si="1168"/>
        <v>1750</v>
      </c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</row>
    <row r="1346" spans="1:33" s="14" customFormat="1">
      <c r="A1346" s="10">
        <v>43292</v>
      </c>
      <c r="B1346" s="3" t="s">
        <v>284</v>
      </c>
      <c r="C1346" s="15" t="s">
        <v>47</v>
      </c>
      <c r="D1346" s="15">
        <v>920</v>
      </c>
      <c r="E1346" s="11">
        <v>1000</v>
      </c>
      <c r="F1346" s="3" t="s">
        <v>8</v>
      </c>
      <c r="G1346" s="46">
        <v>17.7</v>
      </c>
      <c r="H1346" s="3">
        <v>18.5</v>
      </c>
      <c r="I1346" s="46">
        <v>17</v>
      </c>
      <c r="J1346" s="55">
        <v>19.5</v>
      </c>
      <c r="K1346" s="1">
        <f t="shared" ref="K1346" si="1184">(IF(F1346="SELL",G1346-H1346,IF(F1346="BUY",H1346-G1346)))*E1346</f>
        <v>800.00000000000068</v>
      </c>
      <c r="L1346" s="51">
        <v>0</v>
      </c>
      <c r="M1346" s="52">
        <v>0</v>
      </c>
      <c r="N1346" s="2">
        <f t="shared" si="1149"/>
        <v>0.80000000000000071</v>
      </c>
      <c r="O1346" s="2">
        <f t="shared" si="1168"/>
        <v>800.00000000000068</v>
      </c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</row>
    <row r="1347" spans="1:33" s="14" customFormat="1">
      <c r="A1347" s="10">
        <v>43292</v>
      </c>
      <c r="B1347" s="3" t="s">
        <v>196</v>
      </c>
      <c r="C1347" s="15" t="s">
        <v>47</v>
      </c>
      <c r="D1347" s="15">
        <v>650</v>
      </c>
      <c r="E1347" s="11">
        <v>1200</v>
      </c>
      <c r="F1347" s="3" t="s">
        <v>8</v>
      </c>
      <c r="G1347" s="46">
        <v>16.75</v>
      </c>
      <c r="H1347" s="3">
        <v>0</v>
      </c>
      <c r="I1347" s="46">
        <v>0</v>
      </c>
      <c r="J1347" s="55">
        <v>0</v>
      </c>
      <c r="K1347" s="1">
        <v>0</v>
      </c>
      <c r="L1347" s="51">
        <f t="shared" ref="L1347" si="1185">(IF(F1347="SELL",IF(I1347="",0,H1347-I1347),IF(F1347="BUY",IF(I1347="",0,I1347-H1347))))*E1347</f>
        <v>0</v>
      </c>
      <c r="M1347" s="52">
        <v>0</v>
      </c>
      <c r="N1347" s="2">
        <f t="shared" si="1149"/>
        <v>0</v>
      </c>
      <c r="O1347" s="2">
        <f t="shared" si="1168"/>
        <v>0</v>
      </c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</row>
    <row r="1348" spans="1:33" s="14" customFormat="1">
      <c r="A1348" s="10">
        <v>43291</v>
      </c>
      <c r="B1348" s="3" t="s">
        <v>153</v>
      </c>
      <c r="C1348" s="15" t="s">
        <v>47</v>
      </c>
      <c r="D1348" s="15">
        <v>360</v>
      </c>
      <c r="E1348" s="11">
        <v>1200</v>
      </c>
      <c r="F1348" s="3" t="s">
        <v>8</v>
      </c>
      <c r="G1348" s="46">
        <v>16.75</v>
      </c>
      <c r="H1348" s="3">
        <v>17.75</v>
      </c>
      <c r="I1348" s="46">
        <v>0</v>
      </c>
      <c r="J1348" s="55">
        <v>0</v>
      </c>
      <c r="K1348" s="1">
        <f t="shared" ref="K1348" si="1186">(IF(F1348="SELL",G1348-H1348,IF(F1348="BUY",H1348-G1348)))*E1348</f>
        <v>1200</v>
      </c>
      <c r="L1348" s="51">
        <v>0</v>
      </c>
      <c r="M1348" s="52">
        <v>0</v>
      </c>
      <c r="N1348" s="2">
        <f t="shared" si="1149"/>
        <v>1</v>
      </c>
      <c r="O1348" s="2">
        <f t="shared" si="1168"/>
        <v>1200</v>
      </c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</row>
    <row r="1349" spans="1:33" s="14" customFormat="1">
      <c r="A1349" s="10">
        <v>43291</v>
      </c>
      <c r="B1349" s="3" t="s">
        <v>141</v>
      </c>
      <c r="C1349" s="15" t="s">
        <v>47</v>
      </c>
      <c r="D1349" s="15">
        <v>320</v>
      </c>
      <c r="E1349" s="11">
        <v>3000</v>
      </c>
      <c r="F1349" s="3" t="s">
        <v>8</v>
      </c>
      <c r="G1349" s="46">
        <v>8</v>
      </c>
      <c r="H1349" s="3">
        <v>8.5</v>
      </c>
      <c r="I1349" s="46">
        <v>0</v>
      </c>
      <c r="J1349" s="55">
        <v>0</v>
      </c>
      <c r="K1349" s="1">
        <f t="shared" ref="K1349" si="1187">(IF(F1349="SELL",G1349-H1349,IF(F1349="BUY",H1349-G1349)))*E1349</f>
        <v>1500</v>
      </c>
      <c r="L1349" s="51">
        <v>0</v>
      </c>
      <c r="M1349" s="52">
        <v>0</v>
      </c>
      <c r="N1349" s="2">
        <f t="shared" si="1149"/>
        <v>0.5</v>
      </c>
      <c r="O1349" s="2">
        <f t="shared" si="1168"/>
        <v>1500</v>
      </c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</row>
    <row r="1350" spans="1:33" s="14" customFormat="1">
      <c r="A1350" s="10">
        <v>43290</v>
      </c>
      <c r="B1350" s="3" t="s">
        <v>224</v>
      </c>
      <c r="C1350" s="15" t="s">
        <v>47</v>
      </c>
      <c r="D1350" s="15">
        <v>460</v>
      </c>
      <c r="E1350" s="11">
        <v>1500</v>
      </c>
      <c r="F1350" s="3" t="s">
        <v>8</v>
      </c>
      <c r="G1350" s="46">
        <v>13.55</v>
      </c>
      <c r="H1350" s="3">
        <v>14.55</v>
      </c>
      <c r="I1350" s="46">
        <v>17</v>
      </c>
      <c r="J1350" s="55">
        <v>19.5</v>
      </c>
      <c r="K1350" s="1">
        <f t="shared" ref="K1350" si="1188">(IF(F1350="SELL",G1350-H1350,IF(F1350="BUY",H1350-G1350)))*E1350</f>
        <v>1500</v>
      </c>
      <c r="L1350" s="51">
        <f t="shared" ref="L1350" si="1189">(IF(F1350="SELL",IF(I1350="",0,H1350-I1350),IF(F1350="BUY",IF(I1350="",0,I1350-H1350))))*E1350</f>
        <v>3674.9999999999991</v>
      </c>
      <c r="M1350" s="52">
        <v>3750</v>
      </c>
      <c r="N1350" s="2">
        <f t="shared" si="1149"/>
        <v>5.95</v>
      </c>
      <c r="O1350" s="2">
        <f t="shared" si="1168"/>
        <v>8925</v>
      </c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</row>
    <row r="1351" spans="1:33" s="14" customFormat="1">
      <c r="A1351" s="10">
        <v>43290</v>
      </c>
      <c r="B1351" s="3" t="s">
        <v>232</v>
      </c>
      <c r="C1351" s="15" t="s">
        <v>47</v>
      </c>
      <c r="D1351" s="15">
        <v>400</v>
      </c>
      <c r="E1351" s="11">
        <v>1300</v>
      </c>
      <c r="F1351" s="3" t="s">
        <v>8</v>
      </c>
      <c r="G1351" s="46">
        <v>16.149999999999999</v>
      </c>
      <c r="H1351" s="3">
        <v>17.149999999999999</v>
      </c>
      <c r="I1351" s="46">
        <v>19</v>
      </c>
      <c r="J1351" s="55">
        <v>21</v>
      </c>
      <c r="K1351" s="1">
        <f t="shared" ref="K1351" si="1190">(IF(F1351="SELL",G1351-H1351,IF(F1351="BUY",H1351-G1351)))*E1351</f>
        <v>1300</v>
      </c>
      <c r="L1351" s="51">
        <f t="shared" ref="L1351" si="1191">(IF(F1351="SELL",IF(I1351="",0,H1351-I1351),IF(F1351="BUY",IF(I1351="",0,I1351-H1351))))*E1351</f>
        <v>2405.0000000000018</v>
      </c>
      <c r="M1351" s="52">
        <v>2600</v>
      </c>
      <c r="N1351" s="2">
        <f t="shared" si="1149"/>
        <v>4.8500000000000014</v>
      </c>
      <c r="O1351" s="2">
        <f t="shared" si="1168"/>
        <v>6305.0000000000018</v>
      </c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</row>
    <row r="1352" spans="1:33" s="14" customFormat="1">
      <c r="A1352" s="10">
        <v>43290</v>
      </c>
      <c r="B1352" s="3" t="s">
        <v>189</v>
      </c>
      <c r="C1352" s="15" t="s">
        <v>47</v>
      </c>
      <c r="D1352" s="15">
        <v>380</v>
      </c>
      <c r="E1352" s="11">
        <v>1500</v>
      </c>
      <c r="F1352" s="3" t="s">
        <v>8</v>
      </c>
      <c r="G1352" s="46">
        <v>17</v>
      </c>
      <c r="H1352" s="3">
        <v>18</v>
      </c>
      <c r="I1352" s="46">
        <v>0</v>
      </c>
      <c r="J1352" s="55">
        <v>0</v>
      </c>
      <c r="K1352" s="1">
        <f t="shared" ref="K1352" si="1192">(IF(F1352="SELL",G1352-H1352,IF(F1352="BUY",H1352-G1352)))*E1352</f>
        <v>1500</v>
      </c>
      <c r="L1352" s="51">
        <v>0</v>
      </c>
      <c r="M1352" s="52">
        <v>0</v>
      </c>
      <c r="N1352" s="2">
        <f t="shared" si="1149"/>
        <v>1</v>
      </c>
      <c r="O1352" s="2">
        <f t="shared" si="1168"/>
        <v>1500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</row>
    <row r="1353" spans="1:33" s="14" customFormat="1">
      <c r="A1353" s="10">
        <v>43290</v>
      </c>
      <c r="B1353" s="3" t="s">
        <v>255</v>
      </c>
      <c r="C1353" s="15" t="s">
        <v>47</v>
      </c>
      <c r="D1353" s="15">
        <v>90</v>
      </c>
      <c r="E1353" s="11">
        <v>6000</v>
      </c>
      <c r="F1353" s="3" t="s">
        <v>8</v>
      </c>
      <c r="G1353" s="46">
        <v>3.75</v>
      </c>
      <c r="H1353" s="3">
        <v>4</v>
      </c>
      <c r="I1353" s="46">
        <v>4.25</v>
      </c>
      <c r="J1353" s="55">
        <v>0</v>
      </c>
      <c r="K1353" s="1">
        <f t="shared" ref="K1353" si="1193">(IF(F1353="SELL",G1353-H1353,IF(F1353="BUY",H1353-G1353)))*E1353</f>
        <v>1500</v>
      </c>
      <c r="L1353" s="51">
        <f t="shared" ref="L1353:L1354" si="1194">(IF(F1353="SELL",IF(I1353="",0,H1353-I1353),IF(F1353="BUY",IF(I1353="",0,I1353-H1353))))*E1353</f>
        <v>1500</v>
      </c>
      <c r="M1353" s="52">
        <v>0</v>
      </c>
      <c r="N1353" s="2">
        <f t="shared" si="1149"/>
        <v>0.5</v>
      </c>
      <c r="O1353" s="2">
        <f t="shared" si="1168"/>
        <v>3000</v>
      </c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</row>
    <row r="1354" spans="1:33" s="14" customFormat="1">
      <c r="A1354" s="10">
        <v>43287</v>
      </c>
      <c r="B1354" s="3" t="s">
        <v>146</v>
      </c>
      <c r="C1354" s="15" t="s">
        <v>47</v>
      </c>
      <c r="D1354" s="15">
        <v>370</v>
      </c>
      <c r="E1354" s="11">
        <v>2500</v>
      </c>
      <c r="F1354" s="3" t="s">
        <v>8</v>
      </c>
      <c r="G1354" s="46">
        <v>9.25</v>
      </c>
      <c r="H1354" s="3">
        <v>9.75</v>
      </c>
      <c r="I1354" s="46">
        <v>11</v>
      </c>
      <c r="J1354" s="55">
        <v>0</v>
      </c>
      <c r="K1354" s="1">
        <f t="shared" ref="K1354" si="1195">(IF(F1354="SELL",G1354-H1354,IF(F1354="BUY",H1354-G1354)))*E1354</f>
        <v>1250</v>
      </c>
      <c r="L1354" s="51">
        <f t="shared" si="1194"/>
        <v>3125</v>
      </c>
      <c r="M1354" s="52">
        <v>0</v>
      </c>
      <c r="N1354" s="2">
        <f t="shared" si="1149"/>
        <v>1.75</v>
      </c>
      <c r="O1354" s="2">
        <f t="shared" si="1168"/>
        <v>4375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</row>
    <row r="1355" spans="1:33" s="14" customFormat="1">
      <c r="A1355" s="10">
        <v>43287</v>
      </c>
      <c r="B1355" s="3" t="s">
        <v>320</v>
      </c>
      <c r="C1355" s="15" t="s">
        <v>47</v>
      </c>
      <c r="D1355" s="15">
        <v>850</v>
      </c>
      <c r="E1355" s="11">
        <v>500</v>
      </c>
      <c r="F1355" s="3" t="s">
        <v>8</v>
      </c>
      <c r="G1355" s="46">
        <v>37</v>
      </c>
      <c r="H1355" s="3">
        <v>40</v>
      </c>
      <c r="I1355" s="46">
        <v>0</v>
      </c>
      <c r="J1355" s="55">
        <v>0</v>
      </c>
      <c r="K1355" s="1">
        <f t="shared" ref="K1355" si="1196">(IF(F1355="SELL",G1355-H1355,IF(F1355="BUY",H1355-G1355)))*E1355</f>
        <v>1500</v>
      </c>
      <c r="L1355" s="51">
        <v>0</v>
      </c>
      <c r="M1355" s="52">
        <v>0</v>
      </c>
      <c r="N1355" s="2">
        <f t="shared" si="1149"/>
        <v>3</v>
      </c>
      <c r="O1355" s="2">
        <f t="shared" si="1168"/>
        <v>1500</v>
      </c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</row>
    <row r="1356" spans="1:33" s="14" customFormat="1">
      <c r="A1356" s="10">
        <v>43287</v>
      </c>
      <c r="B1356" s="3" t="s">
        <v>320</v>
      </c>
      <c r="C1356" s="15" t="s">
        <v>47</v>
      </c>
      <c r="D1356" s="15">
        <v>850</v>
      </c>
      <c r="E1356" s="11">
        <v>500</v>
      </c>
      <c r="F1356" s="3" t="s">
        <v>8</v>
      </c>
      <c r="G1356" s="46">
        <v>33</v>
      </c>
      <c r="H1356" s="3">
        <v>36</v>
      </c>
      <c r="I1356" s="46">
        <v>0</v>
      </c>
      <c r="J1356" s="55">
        <v>0</v>
      </c>
      <c r="K1356" s="1">
        <f t="shared" ref="K1356" si="1197">(IF(F1356="SELL",G1356-H1356,IF(F1356="BUY",H1356-G1356)))*E1356</f>
        <v>1500</v>
      </c>
      <c r="L1356" s="51">
        <v>0</v>
      </c>
      <c r="M1356" s="52">
        <v>0</v>
      </c>
      <c r="N1356" s="2">
        <f t="shared" si="1149"/>
        <v>3</v>
      </c>
      <c r="O1356" s="2">
        <f t="shared" si="1168"/>
        <v>1500</v>
      </c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</row>
    <row r="1357" spans="1:33" s="14" customFormat="1">
      <c r="A1357" s="10">
        <v>43286</v>
      </c>
      <c r="B1357" s="3" t="s">
        <v>321</v>
      </c>
      <c r="C1357" s="15" t="s">
        <v>47</v>
      </c>
      <c r="D1357" s="15">
        <v>920</v>
      </c>
      <c r="E1357" s="11">
        <v>800</v>
      </c>
      <c r="F1357" s="3" t="s">
        <v>8</v>
      </c>
      <c r="G1357" s="46">
        <v>26.8</v>
      </c>
      <c r="H1357" s="3">
        <v>0</v>
      </c>
      <c r="I1357" s="46">
        <v>0</v>
      </c>
      <c r="J1357" s="55">
        <v>0</v>
      </c>
      <c r="K1357" s="1">
        <v>0</v>
      </c>
      <c r="L1357" s="51">
        <v>0</v>
      </c>
      <c r="M1357" s="52">
        <v>0</v>
      </c>
      <c r="N1357" s="2">
        <f t="shared" si="1149"/>
        <v>0</v>
      </c>
      <c r="O1357" s="2">
        <f t="shared" si="1168"/>
        <v>0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</row>
    <row r="1358" spans="1:33" s="14" customFormat="1">
      <c r="A1358" s="10">
        <v>43286</v>
      </c>
      <c r="B1358" s="3" t="s">
        <v>269</v>
      </c>
      <c r="C1358" s="15" t="s">
        <v>47</v>
      </c>
      <c r="D1358" s="15">
        <v>80</v>
      </c>
      <c r="E1358" s="11">
        <v>12000</v>
      </c>
      <c r="F1358" s="3" t="s">
        <v>8</v>
      </c>
      <c r="G1358" s="46">
        <v>3.1</v>
      </c>
      <c r="H1358" s="3">
        <v>0</v>
      </c>
      <c r="I1358" s="46">
        <v>0</v>
      </c>
      <c r="J1358" s="55">
        <v>0</v>
      </c>
      <c r="K1358" s="1">
        <v>0</v>
      </c>
      <c r="L1358" s="51">
        <v>0</v>
      </c>
      <c r="M1358" s="52">
        <v>0</v>
      </c>
      <c r="N1358" s="2">
        <f t="shared" si="1149"/>
        <v>0</v>
      </c>
      <c r="O1358" s="2">
        <f t="shared" si="1168"/>
        <v>0</v>
      </c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</row>
    <row r="1359" spans="1:33" s="14" customFormat="1">
      <c r="A1359" s="10">
        <v>43285</v>
      </c>
      <c r="B1359" s="3" t="s">
        <v>253</v>
      </c>
      <c r="C1359" s="15" t="s">
        <v>47</v>
      </c>
      <c r="D1359" s="15">
        <v>1040</v>
      </c>
      <c r="E1359" s="11">
        <v>1200</v>
      </c>
      <c r="F1359" s="3" t="s">
        <v>8</v>
      </c>
      <c r="G1359" s="46">
        <v>28.5</v>
      </c>
      <c r="H1359" s="3">
        <v>30</v>
      </c>
      <c r="I1359" s="46">
        <v>0</v>
      </c>
      <c r="J1359" s="55">
        <v>0</v>
      </c>
      <c r="K1359" s="1">
        <f t="shared" ref="K1359" si="1198">(IF(F1359="SELL",G1359-H1359,IF(F1359="BUY",H1359-G1359)))*E1359</f>
        <v>1800</v>
      </c>
      <c r="L1359" s="51">
        <v>0</v>
      </c>
      <c r="M1359" s="52">
        <v>0</v>
      </c>
      <c r="N1359" s="2">
        <f t="shared" si="1149"/>
        <v>1.5</v>
      </c>
      <c r="O1359" s="2">
        <f t="shared" si="1168"/>
        <v>1800</v>
      </c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</row>
    <row r="1360" spans="1:33" s="14" customFormat="1">
      <c r="A1360" s="10">
        <v>43285</v>
      </c>
      <c r="B1360" s="3" t="s">
        <v>333</v>
      </c>
      <c r="C1360" s="15" t="s">
        <v>47</v>
      </c>
      <c r="D1360" s="15">
        <v>600</v>
      </c>
      <c r="E1360" s="11">
        <v>1100</v>
      </c>
      <c r="F1360" s="3" t="s">
        <v>8</v>
      </c>
      <c r="G1360" s="46">
        <v>11.7</v>
      </c>
      <c r="H1360" s="3">
        <v>13</v>
      </c>
      <c r="I1360" s="46">
        <v>0</v>
      </c>
      <c r="J1360" s="55">
        <v>0</v>
      </c>
      <c r="K1360" s="1">
        <f t="shared" ref="K1360" si="1199">(IF(F1360="SELL",G1360-H1360,IF(F1360="BUY",H1360-G1360)))*E1360</f>
        <v>1430.0000000000007</v>
      </c>
      <c r="L1360" s="51">
        <v>0</v>
      </c>
      <c r="M1360" s="52">
        <v>0</v>
      </c>
      <c r="N1360" s="2">
        <f t="shared" si="1149"/>
        <v>1.3000000000000007</v>
      </c>
      <c r="O1360" s="2">
        <f t="shared" si="1168"/>
        <v>1430.0000000000007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</row>
    <row r="1361" spans="1:33" s="14" customFormat="1">
      <c r="A1361" s="10">
        <v>43285</v>
      </c>
      <c r="B1361" s="3" t="s">
        <v>253</v>
      </c>
      <c r="C1361" s="15" t="s">
        <v>47</v>
      </c>
      <c r="D1361" s="15">
        <v>1040</v>
      </c>
      <c r="E1361" s="11">
        <v>1200</v>
      </c>
      <c r="F1361" s="3" t="s">
        <v>8</v>
      </c>
      <c r="G1361" s="46">
        <v>27.4</v>
      </c>
      <c r="H1361" s="3">
        <v>29</v>
      </c>
      <c r="I1361" s="46">
        <v>0</v>
      </c>
      <c r="J1361" s="55">
        <v>0</v>
      </c>
      <c r="K1361" s="1">
        <f t="shared" ref="K1361" si="1200">(IF(F1361="SELL",G1361-H1361,IF(F1361="BUY",H1361-G1361)))*E1361</f>
        <v>1920.0000000000018</v>
      </c>
      <c r="L1361" s="51">
        <v>0</v>
      </c>
      <c r="M1361" s="52">
        <v>0</v>
      </c>
      <c r="N1361" s="2">
        <f t="shared" si="1149"/>
        <v>1.6000000000000014</v>
      </c>
      <c r="O1361" s="2">
        <f t="shared" si="1168"/>
        <v>1920.0000000000018</v>
      </c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</row>
    <row r="1362" spans="1:33" s="14" customFormat="1">
      <c r="A1362" s="10">
        <v>43284</v>
      </c>
      <c r="B1362" s="3" t="s">
        <v>253</v>
      </c>
      <c r="C1362" s="15" t="s">
        <v>47</v>
      </c>
      <c r="D1362" s="15">
        <v>1020</v>
      </c>
      <c r="E1362" s="11">
        <v>1200</v>
      </c>
      <c r="F1362" s="3" t="s">
        <v>8</v>
      </c>
      <c r="G1362" s="46">
        <v>27.5</v>
      </c>
      <c r="H1362" s="3">
        <v>29</v>
      </c>
      <c r="I1362" s="46">
        <v>32</v>
      </c>
      <c r="J1362" s="55">
        <v>35</v>
      </c>
      <c r="K1362" s="1">
        <f t="shared" ref="K1362" si="1201">(IF(F1362="SELL",G1362-H1362,IF(F1362="BUY",H1362-G1362)))*E1362</f>
        <v>1800</v>
      </c>
      <c r="L1362" s="51">
        <f t="shared" ref="L1362" si="1202">(IF(F1362="SELL",IF(I1362="",0,H1362-I1362),IF(F1362="BUY",IF(I1362="",0,I1362-H1362))))*E1362</f>
        <v>3600</v>
      </c>
      <c r="M1362" s="52">
        <v>3600</v>
      </c>
      <c r="N1362" s="2">
        <f t="shared" si="1149"/>
        <v>7.5</v>
      </c>
      <c r="O1362" s="2">
        <f t="shared" si="1168"/>
        <v>9000</v>
      </c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</row>
    <row r="1363" spans="1:33" s="14" customFormat="1">
      <c r="A1363" s="10">
        <v>43284</v>
      </c>
      <c r="B1363" s="3" t="s">
        <v>264</v>
      </c>
      <c r="C1363" s="15" t="s">
        <v>47</v>
      </c>
      <c r="D1363" s="15">
        <v>280</v>
      </c>
      <c r="E1363" s="11">
        <v>4500</v>
      </c>
      <c r="F1363" s="3" t="s">
        <v>8</v>
      </c>
      <c r="G1363" s="46">
        <v>8.8000000000000007</v>
      </c>
      <c r="H1363" s="3">
        <v>9.1999999999999993</v>
      </c>
      <c r="I1363" s="46">
        <v>9.6999999999999993</v>
      </c>
      <c r="J1363" s="55">
        <v>0</v>
      </c>
      <c r="K1363" s="1">
        <f t="shared" ref="K1363:K1364" si="1203">(IF(F1363="SELL",G1363-H1363,IF(F1363="BUY",H1363-G1363)))*E1363</f>
        <v>1799.9999999999936</v>
      </c>
      <c r="L1363" s="51">
        <f t="shared" ref="L1363" si="1204">(IF(F1363="SELL",IF(I1363="",0,H1363-I1363),IF(F1363="BUY",IF(I1363="",0,I1363-H1363))))*E1363</f>
        <v>2250</v>
      </c>
      <c r="M1363" s="52">
        <v>0</v>
      </c>
      <c r="N1363" s="2">
        <f t="shared" si="1149"/>
        <v>0.89999999999999858</v>
      </c>
      <c r="O1363" s="2">
        <f t="shared" si="1168"/>
        <v>4049.9999999999936</v>
      </c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</row>
    <row r="1364" spans="1:33" s="14" customFormat="1">
      <c r="A1364" s="10">
        <v>43284</v>
      </c>
      <c r="B1364" s="3" t="s">
        <v>213</v>
      </c>
      <c r="C1364" s="15" t="s">
        <v>47</v>
      </c>
      <c r="D1364" s="15">
        <v>400</v>
      </c>
      <c r="E1364" s="11">
        <v>2000</v>
      </c>
      <c r="F1364" s="3" t="s">
        <v>8</v>
      </c>
      <c r="G1364" s="46">
        <v>9</v>
      </c>
      <c r="H1364" s="3">
        <v>9.6999999999999993</v>
      </c>
      <c r="I1364" s="46">
        <v>0</v>
      </c>
      <c r="J1364" s="55">
        <v>0</v>
      </c>
      <c r="K1364" s="1">
        <f t="shared" si="1203"/>
        <v>1399.9999999999986</v>
      </c>
      <c r="L1364" s="51">
        <v>0</v>
      </c>
      <c r="M1364" s="52">
        <v>0</v>
      </c>
      <c r="N1364" s="2">
        <f t="shared" si="1149"/>
        <v>0.69999999999999929</v>
      </c>
      <c r="O1364" s="2">
        <f t="shared" si="1168"/>
        <v>1399.9999999999986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</row>
    <row r="1365" spans="1:33" s="14" customFormat="1">
      <c r="A1365" s="10">
        <v>43284</v>
      </c>
      <c r="B1365" s="3" t="s">
        <v>146</v>
      </c>
      <c r="C1365" s="15" t="s">
        <v>47</v>
      </c>
      <c r="D1365" s="15">
        <v>370</v>
      </c>
      <c r="E1365" s="11">
        <v>2500</v>
      </c>
      <c r="F1365" s="3" t="s">
        <v>8</v>
      </c>
      <c r="G1365" s="46">
        <v>9.25</v>
      </c>
      <c r="H1365" s="3">
        <v>10</v>
      </c>
      <c r="I1365" s="46">
        <v>0</v>
      </c>
      <c r="J1365" s="55">
        <v>0</v>
      </c>
      <c r="K1365" s="1">
        <f t="shared" ref="K1365" si="1205">(IF(F1365="SELL",G1365-H1365,IF(F1365="BUY",H1365-G1365)))*E1365</f>
        <v>1875</v>
      </c>
      <c r="L1365" s="51">
        <v>0</v>
      </c>
      <c r="M1365" s="52">
        <v>0</v>
      </c>
      <c r="N1365" s="2">
        <f t="shared" si="1149"/>
        <v>0.75</v>
      </c>
      <c r="O1365" s="2">
        <f t="shared" si="1168"/>
        <v>1875</v>
      </c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</row>
    <row r="1366" spans="1:33" s="14" customFormat="1">
      <c r="A1366" s="10">
        <v>43283</v>
      </c>
      <c r="B1366" s="3" t="s">
        <v>213</v>
      </c>
      <c r="C1366" s="15" t="s">
        <v>47</v>
      </c>
      <c r="D1366" s="15">
        <v>400</v>
      </c>
      <c r="E1366" s="11">
        <v>2000</v>
      </c>
      <c r="F1366" s="3" t="s">
        <v>8</v>
      </c>
      <c r="G1366" s="46">
        <v>9.65</v>
      </c>
      <c r="H1366" s="3">
        <v>0</v>
      </c>
      <c r="I1366" s="46">
        <v>0</v>
      </c>
      <c r="J1366" s="55">
        <v>0</v>
      </c>
      <c r="K1366" s="1">
        <v>0</v>
      </c>
      <c r="L1366" s="51">
        <v>0</v>
      </c>
      <c r="M1366" s="52">
        <v>0</v>
      </c>
      <c r="N1366" s="2">
        <f t="shared" si="1149"/>
        <v>0</v>
      </c>
      <c r="O1366" s="2">
        <f t="shared" si="1168"/>
        <v>0</v>
      </c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</row>
    <row r="1367" spans="1:33" s="14" customFormat="1">
      <c r="A1367" s="10">
        <v>43283</v>
      </c>
      <c r="B1367" s="3" t="s">
        <v>142</v>
      </c>
      <c r="C1367" s="15" t="s">
        <v>47</v>
      </c>
      <c r="D1367" s="15">
        <v>1260</v>
      </c>
      <c r="E1367" s="11">
        <v>750</v>
      </c>
      <c r="F1367" s="3" t="s">
        <v>8</v>
      </c>
      <c r="G1367" s="46">
        <v>27</v>
      </c>
      <c r="H1367" s="3">
        <v>30</v>
      </c>
      <c r="I1367" s="46">
        <v>0</v>
      </c>
      <c r="J1367" s="55">
        <v>0</v>
      </c>
      <c r="K1367" s="1">
        <f t="shared" ref="K1367" si="1206">(IF(F1367="SELL",G1367-H1367,IF(F1367="BUY",H1367-G1367)))*E1367</f>
        <v>2250</v>
      </c>
      <c r="L1367" s="51">
        <v>0</v>
      </c>
      <c r="M1367" s="52">
        <v>0</v>
      </c>
      <c r="N1367" s="2">
        <f t="shared" si="1149"/>
        <v>3</v>
      </c>
      <c r="O1367" s="2">
        <f t="shared" si="1168"/>
        <v>2250</v>
      </c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</row>
    <row r="1368" spans="1:33" s="14" customFormat="1">
      <c r="A1368" s="10">
        <v>43280</v>
      </c>
      <c r="B1368" s="3" t="s">
        <v>327</v>
      </c>
      <c r="C1368" s="15" t="s">
        <v>47</v>
      </c>
      <c r="D1368" s="15">
        <v>560</v>
      </c>
      <c r="E1368" s="11">
        <v>1500</v>
      </c>
      <c r="F1368" s="3" t="s">
        <v>8</v>
      </c>
      <c r="G1368" s="46">
        <v>19.600000000000001</v>
      </c>
      <c r="H1368" s="3">
        <v>20.6</v>
      </c>
      <c r="I1368" s="46">
        <v>22</v>
      </c>
      <c r="J1368" s="55">
        <v>0</v>
      </c>
      <c r="K1368" s="1">
        <f t="shared" ref="K1368" si="1207">(IF(F1368="SELL",G1368-H1368,IF(F1368="BUY",H1368-G1368)))*E1368</f>
        <v>1500</v>
      </c>
      <c r="L1368" s="51">
        <f t="shared" ref="L1368" si="1208">(IF(F1368="SELL",IF(I1368="",0,H1368-I1368),IF(F1368="BUY",IF(I1368="",0,I1368-H1368))))*E1368</f>
        <v>2099.9999999999977</v>
      </c>
      <c r="M1368" s="52">
        <v>3000</v>
      </c>
      <c r="N1368" s="2">
        <f t="shared" si="1149"/>
        <v>4.3999999999999986</v>
      </c>
      <c r="O1368" s="2">
        <f t="shared" si="1168"/>
        <v>6599.9999999999982</v>
      </c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</row>
    <row r="1369" spans="1:33" s="14" customFormat="1">
      <c r="A1369" s="10">
        <v>43280</v>
      </c>
      <c r="B1369" s="3" t="s">
        <v>269</v>
      </c>
      <c r="C1369" s="15" t="s">
        <v>47</v>
      </c>
      <c r="D1369" s="15">
        <v>85</v>
      </c>
      <c r="E1369" s="11">
        <v>12000</v>
      </c>
      <c r="F1369" s="3" t="s">
        <v>8</v>
      </c>
      <c r="G1369" s="46">
        <v>3.2</v>
      </c>
      <c r="H1369" s="3">
        <v>3.5</v>
      </c>
      <c r="I1369" s="46">
        <v>0</v>
      </c>
      <c r="J1369" s="55">
        <v>0</v>
      </c>
      <c r="K1369" s="1">
        <f t="shared" ref="K1369" si="1209">(IF(F1369="SELL",G1369-H1369,IF(F1369="BUY",H1369-G1369)))*E1369</f>
        <v>3599.9999999999977</v>
      </c>
      <c r="L1369" s="51">
        <v>0</v>
      </c>
      <c r="M1369" s="52">
        <v>0</v>
      </c>
      <c r="N1369" s="2">
        <f t="shared" si="1149"/>
        <v>0.29999999999999982</v>
      </c>
      <c r="O1369" s="2">
        <f t="shared" si="1168"/>
        <v>3599.9999999999977</v>
      </c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</row>
    <row r="1370" spans="1:33" s="14" customFormat="1">
      <c r="A1370" s="10">
        <v>43279</v>
      </c>
      <c r="B1370" s="3" t="s">
        <v>332</v>
      </c>
      <c r="C1370" s="15" t="s">
        <v>47</v>
      </c>
      <c r="D1370" s="15">
        <v>690</v>
      </c>
      <c r="E1370" s="11">
        <v>1200</v>
      </c>
      <c r="F1370" s="3" t="s">
        <v>8</v>
      </c>
      <c r="G1370" s="46">
        <v>3.25</v>
      </c>
      <c r="H1370" s="3">
        <v>1</v>
      </c>
      <c r="I1370" s="46">
        <v>0</v>
      </c>
      <c r="J1370" s="55">
        <v>0</v>
      </c>
      <c r="K1370" s="1">
        <f t="shared" ref="K1370" si="1210">(IF(F1370="SELL",G1370-H1370,IF(F1370="BUY",H1370-G1370)))*E1370</f>
        <v>-2700</v>
      </c>
      <c r="L1370" s="51">
        <v>0</v>
      </c>
      <c r="M1370" s="52">
        <v>0</v>
      </c>
      <c r="N1370" s="2">
        <f t="shared" si="1149"/>
        <v>-2.25</v>
      </c>
      <c r="O1370" s="2">
        <f t="shared" si="1168"/>
        <v>-2700</v>
      </c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</row>
    <row r="1371" spans="1:33" s="14" customFormat="1">
      <c r="A1371" s="10">
        <v>43279</v>
      </c>
      <c r="B1371" s="3" t="s">
        <v>149</v>
      </c>
      <c r="C1371" s="15" t="s">
        <v>47</v>
      </c>
      <c r="D1371" s="15">
        <v>205</v>
      </c>
      <c r="E1371" s="11">
        <v>2500</v>
      </c>
      <c r="F1371" s="3" t="s">
        <v>8</v>
      </c>
      <c r="G1371" s="46">
        <v>1.2</v>
      </c>
      <c r="H1371" s="3">
        <v>0.3</v>
      </c>
      <c r="I1371" s="46">
        <v>0</v>
      </c>
      <c r="J1371" s="55">
        <v>0</v>
      </c>
      <c r="K1371" s="1">
        <f t="shared" ref="K1371" si="1211">(IF(F1371="SELL",G1371-H1371,IF(F1371="BUY",H1371-G1371)))*E1371</f>
        <v>-2250</v>
      </c>
      <c r="L1371" s="51">
        <v>0</v>
      </c>
      <c r="M1371" s="52">
        <v>0</v>
      </c>
      <c r="N1371" s="2">
        <f t="shared" si="1149"/>
        <v>-0.9</v>
      </c>
      <c r="O1371" s="2">
        <f t="shared" si="1168"/>
        <v>-2250</v>
      </c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</row>
    <row r="1372" spans="1:33" s="14" customFormat="1">
      <c r="A1372" s="10">
        <v>43279</v>
      </c>
      <c r="B1372" s="3" t="s">
        <v>232</v>
      </c>
      <c r="C1372" s="15" t="s">
        <v>47</v>
      </c>
      <c r="D1372" s="15">
        <v>400</v>
      </c>
      <c r="E1372" s="11">
        <v>1300</v>
      </c>
      <c r="F1372" s="3" t="s">
        <v>8</v>
      </c>
      <c r="G1372" s="46">
        <v>1.5</v>
      </c>
      <c r="H1372" s="3">
        <v>0.3</v>
      </c>
      <c r="I1372" s="46">
        <v>0</v>
      </c>
      <c r="J1372" s="55">
        <v>0</v>
      </c>
      <c r="K1372" s="1">
        <f t="shared" ref="K1372" si="1212">(IF(F1372="SELL",G1372-H1372,IF(F1372="BUY",H1372-G1372)))*E1372</f>
        <v>-1560</v>
      </c>
      <c r="L1372" s="51">
        <v>0</v>
      </c>
      <c r="M1372" s="52">
        <v>0</v>
      </c>
      <c r="N1372" s="2">
        <f t="shared" si="1149"/>
        <v>-1.2</v>
      </c>
      <c r="O1372" s="2">
        <f t="shared" si="1168"/>
        <v>-1560</v>
      </c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</row>
    <row r="1373" spans="1:33" s="14" customFormat="1">
      <c r="A1373" s="10">
        <v>43278</v>
      </c>
      <c r="B1373" s="3" t="s">
        <v>252</v>
      </c>
      <c r="C1373" s="15" t="s">
        <v>47</v>
      </c>
      <c r="D1373" s="15">
        <v>110</v>
      </c>
      <c r="E1373" s="11">
        <v>4000</v>
      </c>
      <c r="F1373" s="3" t="s">
        <v>8</v>
      </c>
      <c r="G1373" s="46">
        <v>6.4</v>
      </c>
      <c r="H1373" s="3">
        <v>7</v>
      </c>
      <c r="I1373" s="46">
        <v>8</v>
      </c>
      <c r="J1373" s="55">
        <v>0</v>
      </c>
      <c r="K1373" s="1">
        <f t="shared" ref="K1373" si="1213">(IF(F1373="SELL",G1373-H1373,IF(F1373="BUY",H1373-G1373)))*E1373</f>
        <v>2399.9999999999986</v>
      </c>
      <c r="L1373" s="51">
        <f t="shared" ref="L1373" si="1214">(IF(F1373="SELL",IF(I1373="",0,H1373-I1373),IF(F1373="BUY",IF(I1373="",0,I1373-H1373))))*E1373</f>
        <v>4000</v>
      </c>
      <c r="M1373" s="52">
        <v>0</v>
      </c>
      <c r="N1373" s="2">
        <f t="shared" si="1149"/>
        <v>1.5999999999999996</v>
      </c>
      <c r="O1373" s="2">
        <f t="shared" si="1168"/>
        <v>6399.9999999999982</v>
      </c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</row>
    <row r="1374" spans="1:33" s="14" customFormat="1">
      <c r="A1374" s="10">
        <v>43278</v>
      </c>
      <c r="B1374" s="3" t="s">
        <v>159</v>
      </c>
      <c r="C1374" s="15" t="s">
        <v>47</v>
      </c>
      <c r="D1374" s="15">
        <v>680</v>
      </c>
      <c r="E1374" s="11">
        <v>1250</v>
      </c>
      <c r="F1374" s="3" t="s">
        <v>8</v>
      </c>
      <c r="G1374" s="46">
        <v>6.8</v>
      </c>
      <c r="H1374" s="3">
        <v>8.1999999999999993</v>
      </c>
      <c r="I1374" s="46">
        <v>0</v>
      </c>
      <c r="J1374" s="55">
        <v>0</v>
      </c>
      <c r="K1374" s="1">
        <f t="shared" ref="K1374" si="1215">(IF(F1374="SELL",G1374-H1374,IF(F1374="BUY",H1374-G1374)))*E1374</f>
        <v>1749.9999999999993</v>
      </c>
      <c r="L1374" s="51">
        <v>0</v>
      </c>
      <c r="M1374" s="52">
        <v>0</v>
      </c>
      <c r="N1374" s="2">
        <f t="shared" si="1149"/>
        <v>1.3999999999999995</v>
      </c>
      <c r="O1374" s="2">
        <f t="shared" si="1168"/>
        <v>1749.9999999999993</v>
      </c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</row>
    <row r="1375" spans="1:33" s="14" customFormat="1">
      <c r="A1375" s="10">
        <v>43278</v>
      </c>
      <c r="B1375" s="3" t="s">
        <v>323</v>
      </c>
      <c r="C1375" s="15" t="s">
        <v>47</v>
      </c>
      <c r="D1375" s="15">
        <v>390</v>
      </c>
      <c r="E1375" s="11">
        <v>1600</v>
      </c>
      <c r="F1375" s="3" t="s">
        <v>8</v>
      </c>
      <c r="G1375" s="46">
        <v>3</v>
      </c>
      <c r="H1375" s="3">
        <v>4</v>
      </c>
      <c r="I1375" s="46">
        <v>0</v>
      </c>
      <c r="J1375" s="55">
        <v>0</v>
      </c>
      <c r="K1375" s="1">
        <f t="shared" ref="K1375" si="1216">(IF(F1375="SELL",G1375-H1375,IF(F1375="BUY",H1375-G1375)))*E1375</f>
        <v>1600</v>
      </c>
      <c r="L1375" s="51">
        <v>0</v>
      </c>
      <c r="M1375" s="52">
        <v>0</v>
      </c>
      <c r="N1375" s="2">
        <f t="shared" si="1149"/>
        <v>1</v>
      </c>
      <c r="O1375" s="2">
        <f t="shared" si="1168"/>
        <v>1600</v>
      </c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</row>
    <row r="1376" spans="1:33" s="14" customFormat="1">
      <c r="A1376" s="10">
        <v>43278</v>
      </c>
      <c r="B1376" s="3" t="s">
        <v>196</v>
      </c>
      <c r="C1376" s="15" t="s">
        <v>47</v>
      </c>
      <c r="D1376" s="15">
        <v>700</v>
      </c>
      <c r="E1376" s="11">
        <v>1200</v>
      </c>
      <c r="F1376" s="3" t="s">
        <v>8</v>
      </c>
      <c r="G1376" s="46">
        <v>7.5</v>
      </c>
      <c r="H1376" s="3">
        <v>8.5</v>
      </c>
      <c r="I1376" s="46">
        <v>10.5</v>
      </c>
      <c r="J1376" s="55">
        <v>12</v>
      </c>
      <c r="K1376" s="1">
        <f t="shared" ref="K1376" si="1217">(IF(F1376="SELL",G1376-H1376,IF(F1376="BUY",H1376-G1376)))*E1376</f>
        <v>1200</v>
      </c>
      <c r="L1376" s="51">
        <f t="shared" ref="L1376" si="1218">(IF(F1376="SELL",IF(I1376="",0,H1376-I1376),IF(F1376="BUY",IF(I1376="",0,I1376-H1376))))*E1376</f>
        <v>2400</v>
      </c>
      <c r="M1376" s="52">
        <v>1800</v>
      </c>
      <c r="N1376" s="2">
        <f t="shared" si="1149"/>
        <v>4.5</v>
      </c>
      <c r="O1376" s="2">
        <f t="shared" si="1168"/>
        <v>5400</v>
      </c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</row>
    <row r="1377" spans="1:33" s="14" customFormat="1">
      <c r="A1377" s="10">
        <v>43278</v>
      </c>
      <c r="B1377" s="3" t="s">
        <v>264</v>
      </c>
      <c r="C1377" s="15" t="s">
        <v>47</v>
      </c>
      <c r="D1377" s="15">
        <v>270</v>
      </c>
      <c r="E1377" s="11">
        <v>4500</v>
      </c>
      <c r="F1377" s="3" t="s">
        <v>8</v>
      </c>
      <c r="G1377" s="46">
        <v>6.5</v>
      </c>
      <c r="H1377" s="3">
        <v>5</v>
      </c>
      <c r="I1377" s="46">
        <v>0</v>
      </c>
      <c r="J1377" s="55">
        <v>0</v>
      </c>
      <c r="K1377" s="1">
        <f t="shared" ref="K1377" si="1219">(IF(F1377="SELL",G1377-H1377,IF(F1377="BUY",H1377-G1377)))*E1377</f>
        <v>-6750</v>
      </c>
      <c r="L1377" s="51">
        <v>0</v>
      </c>
      <c r="M1377" s="52">
        <v>0</v>
      </c>
      <c r="N1377" s="2">
        <f t="shared" si="1149"/>
        <v>-1.5</v>
      </c>
      <c r="O1377" s="2">
        <f t="shared" si="1168"/>
        <v>-6750</v>
      </c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</row>
    <row r="1378" spans="1:33" s="14" customFormat="1">
      <c r="A1378" s="10">
        <v>43277</v>
      </c>
      <c r="B1378" s="3" t="s">
        <v>144</v>
      </c>
      <c r="C1378" s="15" t="s">
        <v>47</v>
      </c>
      <c r="D1378" s="15">
        <v>370</v>
      </c>
      <c r="E1378" s="11">
        <v>1700</v>
      </c>
      <c r="F1378" s="3" t="s">
        <v>8</v>
      </c>
      <c r="G1378" s="46">
        <v>9.3000000000000007</v>
      </c>
      <c r="H1378" s="3">
        <v>10</v>
      </c>
      <c r="I1378" s="46">
        <v>12</v>
      </c>
      <c r="J1378" s="55">
        <v>0</v>
      </c>
      <c r="K1378" s="1">
        <f t="shared" ref="K1378" si="1220">(IF(F1378="SELL",G1378-H1378,IF(F1378="BUY",H1378-G1378)))*E1378</f>
        <v>1189.9999999999989</v>
      </c>
      <c r="L1378" s="51">
        <f t="shared" ref="L1378" si="1221">(IF(F1378="SELL",IF(I1378="",0,H1378-I1378),IF(F1378="BUY",IF(I1378="",0,I1378-H1378))))*E1378</f>
        <v>3400</v>
      </c>
      <c r="M1378" s="52">
        <v>0</v>
      </c>
      <c r="N1378" s="2">
        <f t="shared" si="1149"/>
        <v>2.6999999999999993</v>
      </c>
      <c r="O1378" s="2">
        <f t="shared" si="1168"/>
        <v>4589.9999999999991</v>
      </c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</row>
    <row r="1379" spans="1:33" s="14" customFormat="1">
      <c r="A1379" s="10">
        <v>43277</v>
      </c>
      <c r="B1379" s="3" t="s">
        <v>281</v>
      </c>
      <c r="C1379" s="15" t="s">
        <v>47</v>
      </c>
      <c r="D1379" s="15">
        <v>340</v>
      </c>
      <c r="E1379" s="11">
        <v>2000</v>
      </c>
      <c r="F1379" s="3" t="s">
        <v>8</v>
      </c>
      <c r="G1379" s="46">
        <v>9.3000000000000007</v>
      </c>
      <c r="H1379" s="3">
        <v>10</v>
      </c>
      <c r="I1379" s="46">
        <v>0</v>
      </c>
      <c r="J1379" s="55">
        <v>0</v>
      </c>
      <c r="K1379" s="1">
        <f t="shared" ref="K1379" si="1222">(IF(F1379="SELL",G1379-H1379,IF(F1379="BUY",H1379-G1379)))*E1379</f>
        <v>1399.9999999999986</v>
      </c>
      <c r="L1379" s="51">
        <v>0</v>
      </c>
      <c r="M1379" s="52">
        <v>0</v>
      </c>
      <c r="N1379" s="2">
        <f t="shared" si="1149"/>
        <v>0.69999999999999929</v>
      </c>
      <c r="O1379" s="2">
        <f t="shared" si="1168"/>
        <v>1399.9999999999986</v>
      </c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</row>
    <row r="1380" spans="1:33" s="14" customFormat="1">
      <c r="A1380" s="10">
        <v>43276</v>
      </c>
      <c r="B1380" s="3" t="s">
        <v>331</v>
      </c>
      <c r="C1380" s="15" t="s">
        <v>47</v>
      </c>
      <c r="D1380" s="15">
        <v>580</v>
      </c>
      <c r="E1380" s="11">
        <v>1000</v>
      </c>
      <c r="F1380" s="3" t="s">
        <v>8</v>
      </c>
      <c r="G1380" s="46">
        <v>13.5</v>
      </c>
      <c r="H1380" s="3">
        <v>15</v>
      </c>
      <c r="I1380" s="46">
        <v>17.5</v>
      </c>
      <c r="J1380" s="55">
        <v>20.5</v>
      </c>
      <c r="K1380" s="1">
        <f t="shared" ref="K1380" si="1223">(IF(F1380="SELL",G1380-H1380,IF(F1380="BUY",H1380-G1380)))*E1380</f>
        <v>1500</v>
      </c>
      <c r="L1380" s="51">
        <f t="shared" ref="L1380" si="1224">(IF(F1380="SELL",IF(I1380="",0,H1380-I1380),IF(F1380="BUY",IF(I1380="",0,I1380-H1380))))*E1380</f>
        <v>2500</v>
      </c>
      <c r="M1380" s="52">
        <v>3000</v>
      </c>
      <c r="N1380" s="2">
        <f t="shared" si="1149"/>
        <v>7</v>
      </c>
      <c r="O1380" s="2">
        <f t="shared" si="1168"/>
        <v>7000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</row>
    <row r="1381" spans="1:33" s="14" customFormat="1">
      <c r="A1381" s="10">
        <v>43276</v>
      </c>
      <c r="B1381" s="3" t="s">
        <v>156</v>
      </c>
      <c r="C1381" s="15" t="s">
        <v>47</v>
      </c>
      <c r="D1381" s="15">
        <v>540</v>
      </c>
      <c r="E1381" s="11">
        <v>1000</v>
      </c>
      <c r="F1381" s="3" t="s">
        <v>8</v>
      </c>
      <c r="G1381" s="46">
        <v>8.5</v>
      </c>
      <c r="H1381" s="3">
        <v>10</v>
      </c>
      <c r="I1381" s="46">
        <v>0</v>
      </c>
      <c r="J1381" s="55">
        <v>0</v>
      </c>
      <c r="K1381" s="1">
        <f t="shared" ref="K1381" si="1225">(IF(F1381="SELL",G1381-H1381,IF(F1381="BUY",H1381-G1381)))*E1381</f>
        <v>1500</v>
      </c>
      <c r="L1381" s="51">
        <v>0</v>
      </c>
      <c r="M1381" s="52">
        <v>0</v>
      </c>
      <c r="N1381" s="2">
        <f t="shared" si="1149"/>
        <v>1.5</v>
      </c>
      <c r="O1381" s="2">
        <f t="shared" si="1168"/>
        <v>1500</v>
      </c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</row>
    <row r="1382" spans="1:33" s="14" customFormat="1">
      <c r="A1382" s="10">
        <v>43276</v>
      </c>
      <c r="B1382" s="3" t="s">
        <v>149</v>
      </c>
      <c r="C1382" s="15" t="s">
        <v>47</v>
      </c>
      <c r="D1382" s="15">
        <v>200</v>
      </c>
      <c r="E1382" s="11">
        <v>2500</v>
      </c>
      <c r="F1382" s="3" t="s">
        <v>8</v>
      </c>
      <c r="G1382" s="46">
        <v>8.0500000000000007</v>
      </c>
      <c r="H1382" s="3">
        <v>8.5500000000000007</v>
      </c>
      <c r="I1382" s="46">
        <v>0</v>
      </c>
      <c r="J1382" s="55">
        <v>0</v>
      </c>
      <c r="K1382" s="1">
        <f t="shared" ref="K1382" si="1226">(IF(F1382="SELL",G1382-H1382,IF(F1382="BUY",H1382-G1382)))*E1382</f>
        <v>1250</v>
      </c>
      <c r="L1382" s="51">
        <v>0</v>
      </c>
      <c r="M1382" s="52">
        <v>0</v>
      </c>
      <c r="N1382" s="2">
        <f t="shared" ref="N1382:N1445" si="1227">(L1382+K1382+M1382)/E1382</f>
        <v>0.5</v>
      </c>
      <c r="O1382" s="2">
        <f t="shared" si="1168"/>
        <v>1250</v>
      </c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</row>
    <row r="1383" spans="1:33" s="14" customFormat="1">
      <c r="A1383" s="10">
        <v>43273</v>
      </c>
      <c r="B1383" s="3" t="s">
        <v>149</v>
      </c>
      <c r="C1383" s="15" t="s">
        <v>47</v>
      </c>
      <c r="D1383" s="15">
        <v>200</v>
      </c>
      <c r="E1383" s="11">
        <v>2500</v>
      </c>
      <c r="F1383" s="3" t="s">
        <v>8</v>
      </c>
      <c r="G1383" s="46">
        <v>2.1</v>
      </c>
      <c r="H1383" s="3">
        <v>2.6</v>
      </c>
      <c r="I1383" s="46">
        <v>3.5</v>
      </c>
      <c r="J1383" s="55">
        <v>4.5</v>
      </c>
      <c r="K1383" s="1">
        <f t="shared" ref="K1383" si="1228">(IF(F1383="SELL",G1383-H1383,IF(F1383="BUY",H1383-G1383)))*E1383</f>
        <v>1250</v>
      </c>
      <c r="L1383" s="51">
        <f t="shared" ref="L1383:L1384" si="1229">(IF(F1383="SELL",IF(I1383="",0,H1383-I1383),IF(F1383="BUY",IF(I1383="",0,I1383-H1383))))*E1383</f>
        <v>2250</v>
      </c>
      <c r="M1383" s="52">
        <v>2500</v>
      </c>
      <c r="N1383" s="2">
        <f t="shared" si="1227"/>
        <v>2.4</v>
      </c>
      <c r="O1383" s="2">
        <f t="shared" si="1168"/>
        <v>6000</v>
      </c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</row>
    <row r="1384" spans="1:33" s="14" customFormat="1">
      <c r="A1384" s="10">
        <v>43273</v>
      </c>
      <c r="B1384" s="3" t="s">
        <v>330</v>
      </c>
      <c r="C1384" s="15" t="s">
        <v>47</v>
      </c>
      <c r="D1384" s="15">
        <v>2300</v>
      </c>
      <c r="E1384" s="11">
        <v>500</v>
      </c>
      <c r="F1384" s="3" t="s">
        <v>8</v>
      </c>
      <c r="G1384" s="46">
        <v>41</v>
      </c>
      <c r="H1384" s="3">
        <v>43</v>
      </c>
      <c r="I1384" s="46">
        <v>46</v>
      </c>
      <c r="J1384" s="55">
        <v>50</v>
      </c>
      <c r="K1384" s="1">
        <f t="shared" ref="K1384" si="1230">(IF(F1384="SELL",G1384-H1384,IF(F1384="BUY",H1384-G1384)))*E1384</f>
        <v>1000</v>
      </c>
      <c r="L1384" s="51">
        <f t="shared" si="1229"/>
        <v>1500</v>
      </c>
      <c r="M1384" s="52">
        <v>2000</v>
      </c>
      <c r="N1384" s="2">
        <f t="shared" si="1227"/>
        <v>9</v>
      </c>
      <c r="O1384" s="2">
        <f t="shared" si="1168"/>
        <v>4500</v>
      </c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</row>
    <row r="1385" spans="1:33" s="14" customFormat="1">
      <c r="A1385" s="10">
        <v>43273</v>
      </c>
      <c r="B1385" s="3" t="s">
        <v>141</v>
      </c>
      <c r="C1385" s="15" t="s">
        <v>47</v>
      </c>
      <c r="D1385" s="15">
        <v>340</v>
      </c>
      <c r="E1385" s="11">
        <v>3000</v>
      </c>
      <c r="F1385" s="3" t="s">
        <v>8</v>
      </c>
      <c r="G1385" s="46">
        <v>3</v>
      </c>
      <c r="H1385" s="3">
        <v>3.45</v>
      </c>
      <c r="I1385" s="46">
        <v>0</v>
      </c>
      <c r="J1385" s="55">
        <v>0</v>
      </c>
      <c r="K1385" s="1">
        <f t="shared" ref="K1385" si="1231">(IF(F1385="SELL",G1385-H1385,IF(F1385="BUY",H1385-G1385)))*E1385</f>
        <v>1350.0000000000005</v>
      </c>
      <c r="L1385" s="51">
        <v>0</v>
      </c>
      <c r="M1385" s="52">
        <v>0</v>
      </c>
      <c r="N1385" s="2">
        <f t="shared" si="1227"/>
        <v>0.45000000000000018</v>
      </c>
      <c r="O1385" s="2">
        <f t="shared" si="1168"/>
        <v>1350.0000000000005</v>
      </c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</row>
    <row r="1386" spans="1:33" s="14" customFormat="1">
      <c r="A1386" s="10">
        <v>43272</v>
      </c>
      <c r="B1386" s="3" t="s">
        <v>54</v>
      </c>
      <c r="C1386" s="15" t="s">
        <v>47</v>
      </c>
      <c r="D1386" s="15">
        <v>860</v>
      </c>
      <c r="E1386" s="11">
        <v>1000</v>
      </c>
      <c r="F1386" s="3" t="s">
        <v>8</v>
      </c>
      <c r="G1386" s="46">
        <v>16.5</v>
      </c>
      <c r="H1386" s="3">
        <v>13</v>
      </c>
      <c r="I1386" s="46">
        <v>0</v>
      </c>
      <c r="J1386" s="55">
        <v>0</v>
      </c>
      <c r="K1386" s="1">
        <f t="shared" ref="K1386" si="1232">(IF(F1386="SELL",G1386-H1386,IF(F1386="BUY",H1386-G1386)))*E1386</f>
        <v>-3500</v>
      </c>
      <c r="L1386" s="51">
        <v>0</v>
      </c>
      <c r="M1386" s="52">
        <v>0</v>
      </c>
      <c r="N1386" s="2">
        <f t="shared" si="1227"/>
        <v>-3.5</v>
      </c>
      <c r="O1386" s="2">
        <f t="shared" si="1168"/>
        <v>-3500</v>
      </c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</row>
    <row r="1387" spans="1:33" s="14" customFormat="1">
      <c r="A1387" s="10">
        <v>43272</v>
      </c>
      <c r="B1387" s="3" t="s">
        <v>329</v>
      </c>
      <c r="C1387" s="15" t="s">
        <v>47</v>
      </c>
      <c r="D1387" s="15">
        <v>1150</v>
      </c>
      <c r="E1387" s="11">
        <v>750</v>
      </c>
      <c r="F1387" s="3" t="s">
        <v>8</v>
      </c>
      <c r="G1387" s="46">
        <v>29</v>
      </c>
      <c r="H1387" s="3">
        <v>20</v>
      </c>
      <c r="I1387" s="46">
        <v>0</v>
      </c>
      <c r="J1387" s="55">
        <v>0</v>
      </c>
      <c r="K1387" s="1">
        <f t="shared" ref="K1387" si="1233">(IF(F1387="SELL",G1387-H1387,IF(F1387="BUY",H1387-G1387)))*E1387</f>
        <v>-6750</v>
      </c>
      <c r="L1387" s="51">
        <v>0</v>
      </c>
      <c r="M1387" s="52">
        <v>0</v>
      </c>
      <c r="N1387" s="2">
        <f t="shared" si="1227"/>
        <v>-9</v>
      </c>
      <c r="O1387" s="2">
        <f t="shared" si="1168"/>
        <v>-6750</v>
      </c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</row>
    <row r="1388" spans="1:33" s="14" customFormat="1">
      <c r="A1388" s="10">
        <v>43272</v>
      </c>
      <c r="B1388" s="3" t="s">
        <v>30</v>
      </c>
      <c r="C1388" s="15" t="s">
        <v>47</v>
      </c>
      <c r="D1388" s="15">
        <v>300</v>
      </c>
      <c r="E1388" s="11">
        <v>2750</v>
      </c>
      <c r="F1388" s="3" t="s">
        <v>8</v>
      </c>
      <c r="G1388" s="46">
        <v>4.5</v>
      </c>
      <c r="H1388" s="3">
        <v>5</v>
      </c>
      <c r="I1388" s="46">
        <v>0</v>
      </c>
      <c r="J1388" s="55">
        <v>0</v>
      </c>
      <c r="K1388" s="1">
        <f t="shared" ref="K1388" si="1234">(IF(F1388="SELL",G1388-H1388,IF(F1388="BUY",H1388-G1388)))*E1388</f>
        <v>1375</v>
      </c>
      <c r="L1388" s="51">
        <v>0</v>
      </c>
      <c r="M1388" s="52">
        <v>0</v>
      </c>
      <c r="N1388" s="2">
        <f t="shared" si="1227"/>
        <v>0.5</v>
      </c>
      <c r="O1388" s="2">
        <f t="shared" si="1168"/>
        <v>1375</v>
      </c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</row>
    <row r="1389" spans="1:33" s="14" customFormat="1">
      <c r="A1389" s="10">
        <v>43271</v>
      </c>
      <c r="B1389" s="3" t="s">
        <v>328</v>
      </c>
      <c r="C1389" s="15" t="s">
        <v>47</v>
      </c>
      <c r="D1389" s="15">
        <v>1650</v>
      </c>
      <c r="E1389" s="11">
        <v>500</v>
      </c>
      <c r="F1389" s="3" t="s">
        <v>8</v>
      </c>
      <c r="G1389" s="46">
        <v>25.5</v>
      </c>
      <c r="H1389" s="3">
        <v>29</v>
      </c>
      <c r="I1389" s="46">
        <v>34</v>
      </c>
      <c r="J1389" s="55">
        <v>37</v>
      </c>
      <c r="K1389" s="1">
        <f t="shared" ref="K1389" si="1235">(IF(F1389="SELL",G1389-H1389,IF(F1389="BUY",H1389-G1389)))*E1389</f>
        <v>1750</v>
      </c>
      <c r="L1389" s="51">
        <f t="shared" ref="L1389" si="1236">(IF(F1389="SELL",IF(I1389="",0,H1389-I1389),IF(F1389="BUY",IF(I1389="",0,I1389-H1389))))*E1389</f>
        <v>2500</v>
      </c>
      <c r="M1389" s="52">
        <v>1500</v>
      </c>
      <c r="N1389" s="2">
        <f t="shared" si="1227"/>
        <v>11.5</v>
      </c>
      <c r="O1389" s="2">
        <f t="shared" si="1168"/>
        <v>5750</v>
      </c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</row>
    <row r="1390" spans="1:33" s="14" customFormat="1">
      <c r="A1390" s="10">
        <v>43271</v>
      </c>
      <c r="B1390" s="3" t="s">
        <v>122</v>
      </c>
      <c r="C1390" s="15" t="s">
        <v>47</v>
      </c>
      <c r="D1390" s="15">
        <v>1850</v>
      </c>
      <c r="E1390" s="11">
        <v>500</v>
      </c>
      <c r="F1390" s="3" t="s">
        <v>8</v>
      </c>
      <c r="G1390" s="46">
        <v>14.5</v>
      </c>
      <c r="H1390" s="3">
        <v>17.5</v>
      </c>
      <c r="I1390" s="46">
        <v>0</v>
      </c>
      <c r="J1390" s="55">
        <v>0</v>
      </c>
      <c r="K1390" s="1">
        <f t="shared" ref="K1390" si="1237">(IF(F1390="SELL",G1390-H1390,IF(F1390="BUY",H1390-G1390)))*E1390</f>
        <v>1500</v>
      </c>
      <c r="L1390" s="51">
        <v>0</v>
      </c>
      <c r="M1390" s="52">
        <v>0</v>
      </c>
      <c r="N1390" s="2">
        <f t="shared" si="1227"/>
        <v>3</v>
      </c>
      <c r="O1390" s="2">
        <f t="shared" si="1168"/>
        <v>1500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</row>
    <row r="1391" spans="1:33" s="14" customFormat="1">
      <c r="A1391" s="10">
        <v>43271</v>
      </c>
      <c r="B1391" s="3" t="s">
        <v>175</v>
      </c>
      <c r="C1391" s="15" t="s">
        <v>47</v>
      </c>
      <c r="D1391" s="15">
        <v>2300</v>
      </c>
      <c r="E1391" s="11">
        <v>500</v>
      </c>
      <c r="F1391" s="3" t="s">
        <v>8</v>
      </c>
      <c r="G1391" s="46">
        <v>38.5</v>
      </c>
      <c r="H1391" s="3">
        <v>41.5</v>
      </c>
      <c r="I1391" s="46">
        <v>0</v>
      </c>
      <c r="J1391" s="55">
        <v>0</v>
      </c>
      <c r="K1391" s="1">
        <f t="shared" ref="K1391" si="1238">(IF(F1391="SELL",G1391-H1391,IF(F1391="BUY",H1391-G1391)))*E1391</f>
        <v>1500</v>
      </c>
      <c r="L1391" s="51">
        <v>0</v>
      </c>
      <c r="M1391" s="52">
        <v>0</v>
      </c>
      <c r="N1391" s="2">
        <f t="shared" si="1227"/>
        <v>3</v>
      </c>
      <c r="O1391" s="2">
        <f t="shared" si="1168"/>
        <v>1500</v>
      </c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</row>
    <row r="1392" spans="1:33" s="14" customFormat="1">
      <c r="A1392" s="10">
        <v>43270</v>
      </c>
      <c r="B1392" s="3" t="s">
        <v>327</v>
      </c>
      <c r="C1392" s="15" t="s">
        <v>47</v>
      </c>
      <c r="D1392" s="15">
        <v>580</v>
      </c>
      <c r="E1392" s="11">
        <v>1500</v>
      </c>
      <c r="F1392" s="3" t="s">
        <v>8</v>
      </c>
      <c r="G1392" s="46">
        <v>16.5</v>
      </c>
      <c r="H1392" s="3">
        <v>17.5</v>
      </c>
      <c r="I1392" s="46">
        <v>19</v>
      </c>
      <c r="J1392" s="55">
        <v>21</v>
      </c>
      <c r="K1392" s="1">
        <f t="shared" ref="K1392" si="1239">(IF(F1392="SELL",G1392-H1392,IF(F1392="BUY",H1392-G1392)))*E1392</f>
        <v>1500</v>
      </c>
      <c r="L1392" s="51">
        <f t="shared" ref="L1392" si="1240">(IF(F1392="SELL",IF(I1392="",0,H1392-I1392),IF(F1392="BUY",IF(I1392="",0,I1392-H1392))))*E1392</f>
        <v>2250</v>
      </c>
      <c r="M1392" s="52">
        <v>3000</v>
      </c>
      <c r="N1392" s="2">
        <f t="shared" si="1227"/>
        <v>4.5</v>
      </c>
      <c r="O1392" s="2">
        <f t="shared" si="1168"/>
        <v>6750</v>
      </c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</row>
    <row r="1393" spans="1:33" s="14" customFormat="1">
      <c r="A1393" s="10">
        <v>43270</v>
      </c>
      <c r="B1393" s="3" t="s">
        <v>326</v>
      </c>
      <c r="C1393" s="15" t="s">
        <v>47</v>
      </c>
      <c r="D1393" s="15">
        <v>200</v>
      </c>
      <c r="E1393" s="11">
        <v>4000</v>
      </c>
      <c r="F1393" s="3" t="s">
        <v>8</v>
      </c>
      <c r="G1393" s="46">
        <v>1.9</v>
      </c>
      <c r="H1393" s="3">
        <v>2.2999999999999998</v>
      </c>
      <c r="I1393" s="46">
        <v>0</v>
      </c>
      <c r="J1393" s="55">
        <v>0</v>
      </c>
      <c r="K1393" s="1">
        <f t="shared" ref="K1393" si="1241">(IF(F1393="SELL",G1393-H1393,IF(F1393="BUY",H1393-G1393)))*E1393</f>
        <v>1599.9999999999995</v>
      </c>
      <c r="L1393" s="51">
        <v>0</v>
      </c>
      <c r="M1393" s="52">
        <v>0</v>
      </c>
      <c r="N1393" s="2">
        <f t="shared" si="1227"/>
        <v>0.39999999999999991</v>
      </c>
      <c r="O1393" s="2">
        <f t="shared" ref="O1393:O1456" si="1242">N1393*E1393</f>
        <v>1599.9999999999995</v>
      </c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</row>
    <row r="1394" spans="1:33" s="14" customFormat="1">
      <c r="A1394" s="10">
        <v>43270</v>
      </c>
      <c r="B1394" s="3" t="s">
        <v>74</v>
      </c>
      <c r="C1394" s="15" t="s">
        <v>47</v>
      </c>
      <c r="D1394" s="15">
        <v>1600</v>
      </c>
      <c r="E1394" s="11">
        <v>600</v>
      </c>
      <c r="F1394" s="3" t="s">
        <v>8</v>
      </c>
      <c r="G1394" s="46">
        <v>19.5</v>
      </c>
      <c r="H1394" s="3">
        <v>0</v>
      </c>
      <c r="I1394" s="46">
        <v>0</v>
      </c>
      <c r="J1394" s="55">
        <v>0</v>
      </c>
      <c r="K1394" s="1">
        <v>0</v>
      </c>
      <c r="L1394" s="51">
        <f t="shared" ref="L1394" si="1243">(IF(F1394="SELL",IF(I1394="",0,H1394-I1394),IF(F1394="BUY",IF(I1394="",0,I1394-H1394))))*E1394</f>
        <v>0</v>
      </c>
      <c r="M1394" s="52">
        <v>0</v>
      </c>
      <c r="N1394" s="2">
        <f t="shared" si="1227"/>
        <v>0</v>
      </c>
      <c r="O1394" s="2">
        <f t="shared" si="1242"/>
        <v>0</v>
      </c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</row>
    <row r="1395" spans="1:33" s="14" customFormat="1">
      <c r="A1395" s="10">
        <v>43269</v>
      </c>
      <c r="B1395" s="3" t="s">
        <v>154</v>
      </c>
      <c r="C1395" s="15" t="s">
        <v>47</v>
      </c>
      <c r="D1395" s="15">
        <v>420</v>
      </c>
      <c r="E1395" s="11">
        <v>1800</v>
      </c>
      <c r="F1395" s="3" t="s">
        <v>8</v>
      </c>
      <c r="G1395" s="46">
        <v>14.6</v>
      </c>
      <c r="H1395" s="3">
        <v>15.6</v>
      </c>
      <c r="I1395" s="46">
        <v>16.95</v>
      </c>
      <c r="J1395" s="55">
        <v>0</v>
      </c>
      <c r="K1395" s="1">
        <f t="shared" ref="K1395" si="1244">(IF(F1395="SELL",G1395-H1395,IF(F1395="BUY",H1395-G1395)))*E1395</f>
        <v>1800</v>
      </c>
      <c r="L1395" s="51">
        <f t="shared" ref="L1395" si="1245">(IF(F1395="SELL",IF(I1395="",0,H1395-I1395),IF(F1395="BUY",IF(I1395="",0,I1395-H1395))))*E1395</f>
        <v>2429.9999999999995</v>
      </c>
      <c r="M1395" s="52">
        <v>0</v>
      </c>
      <c r="N1395" s="2">
        <f t="shared" si="1227"/>
        <v>2.35</v>
      </c>
      <c r="O1395" s="2">
        <f t="shared" si="1242"/>
        <v>4230</v>
      </c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</row>
    <row r="1396" spans="1:33" s="14" customFormat="1">
      <c r="A1396" s="10">
        <v>43269</v>
      </c>
      <c r="B1396" s="3" t="s">
        <v>218</v>
      </c>
      <c r="C1396" s="15" t="s">
        <v>47</v>
      </c>
      <c r="D1396" s="15">
        <v>580</v>
      </c>
      <c r="E1396" s="11">
        <v>1500</v>
      </c>
      <c r="F1396" s="3" t="s">
        <v>8</v>
      </c>
      <c r="G1396" s="46">
        <v>15</v>
      </c>
      <c r="H1396" s="3">
        <v>15.95</v>
      </c>
      <c r="I1396" s="46">
        <v>0</v>
      </c>
      <c r="J1396" s="55">
        <v>0</v>
      </c>
      <c r="K1396" s="1">
        <f t="shared" ref="K1396" si="1246">(IF(F1396="SELL",G1396-H1396,IF(F1396="BUY",H1396-G1396)))*E1396</f>
        <v>1424.9999999999989</v>
      </c>
      <c r="L1396" s="51">
        <v>0</v>
      </c>
      <c r="M1396" s="52">
        <v>0</v>
      </c>
      <c r="N1396" s="2">
        <f t="shared" si="1227"/>
        <v>0.94999999999999929</v>
      </c>
      <c r="O1396" s="2">
        <f t="shared" si="1242"/>
        <v>1424.9999999999989</v>
      </c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</row>
    <row r="1397" spans="1:33" s="14" customFormat="1">
      <c r="A1397" s="10">
        <v>43269</v>
      </c>
      <c r="B1397" s="3" t="s">
        <v>218</v>
      </c>
      <c r="C1397" s="15" t="s">
        <v>47</v>
      </c>
      <c r="D1397" s="15">
        <v>580</v>
      </c>
      <c r="E1397" s="11">
        <v>1500</v>
      </c>
      <c r="F1397" s="3" t="s">
        <v>8</v>
      </c>
      <c r="G1397" s="46">
        <v>13.5</v>
      </c>
      <c r="H1397" s="3">
        <v>14.5</v>
      </c>
      <c r="I1397" s="46">
        <v>0</v>
      </c>
      <c r="J1397" s="55">
        <v>0</v>
      </c>
      <c r="K1397" s="1">
        <f t="shared" ref="K1397" si="1247">(IF(F1397="SELL",G1397-H1397,IF(F1397="BUY",H1397-G1397)))*E1397</f>
        <v>1500</v>
      </c>
      <c r="L1397" s="51">
        <v>0</v>
      </c>
      <c r="M1397" s="52">
        <v>0</v>
      </c>
      <c r="N1397" s="2">
        <f t="shared" si="1227"/>
        <v>1</v>
      </c>
      <c r="O1397" s="2">
        <f t="shared" si="1242"/>
        <v>1500</v>
      </c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</row>
    <row r="1398" spans="1:33" s="14" customFormat="1">
      <c r="A1398" s="10">
        <v>43269</v>
      </c>
      <c r="B1398" s="3" t="s">
        <v>321</v>
      </c>
      <c r="C1398" s="15" t="s">
        <v>47</v>
      </c>
      <c r="D1398" s="15">
        <v>1000</v>
      </c>
      <c r="E1398" s="11">
        <v>800</v>
      </c>
      <c r="F1398" s="3" t="s">
        <v>8</v>
      </c>
      <c r="G1398" s="46">
        <v>23</v>
      </c>
      <c r="H1398" s="3">
        <v>25</v>
      </c>
      <c r="I1398" s="46">
        <v>0</v>
      </c>
      <c r="J1398" s="55">
        <v>0</v>
      </c>
      <c r="K1398" s="1">
        <f t="shared" ref="K1398" si="1248">(IF(F1398="SELL",G1398-H1398,IF(F1398="BUY",H1398-G1398)))*E1398</f>
        <v>1600</v>
      </c>
      <c r="L1398" s="51">
        <v>0</v>
      </c>
      <c r="M1398" s="52">
        <v>0</v>
      </c>
      <c r="N1398" s="2">
        <f t="shared" si="1227"/>
        <v>2</v>
      </c>
      <c r="O1398" s="2">
        <f t="shared" si="1242"/>
        <v>1600</v>
      </c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</row>
    <row r="1399" spans="1:33" s="14" customFormat="1">
      <c r="A1399" s="10">
        <v>43269</v>
      </c>
      <c r="B1399" s="3" t="s">
        <v>325</v>
      </c>
      <c r="C1399" s="15" t="s">
        <v>47</v>
      </c>
      <c r="D1399" s="15">
        <v>960</v>
      </c>
      <c r="E1399" s="11">
        <v>750</v>
      </c>
      <c r="F1399" s="3" t="s">
        <v>8</v>
      </c>
      <c r="G1399" s="46">
        <v>15</v>
      </c>
      <c r="H1399" s="3">
        <v>11</v>
      </c>
      <c r="I1399" s="46">
        <v>0</v>
      </c>
      <c r="J1399" s="55">
        <v>0</v>
      </c>
      <c r="K1399" s="1">
        <f t="shared" ref="K1399" si="1249">(IF(F1399="SELL",G1399-H1399,IF(F1399="BUY",H1399-G1399)))*E1399</f>
        <v>-3000</v>
      </c>
      <c r="L1399" s="51">
        <v>0</v>
      </c>
      <c r="M1399" s="52">
        <v>0</v>
      </c>
      <c r="N1399" s="2">
        <f t="shared" si="1227"/>
        <v>-4</v>
      </c>
      <c r="O1399" s="2">
        <f t="shared" si="1242"/>
        <v>-3000</v>
      </c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</row>
    <row r="1400" spans="1:33" s="14" customFormat="1">
      <c r="A1400" s="10">
        <v>43266</v>
      </c>
      <c r="B1400" s="3" t="s">
        <v>309</v>
      </c>
      <c r="C1400" s="15" t="s">
        <v>47</v>
      </c>
      <c r="D1400" s="15">
        <v>1950</v>
      </c>
      <c r="E1400" s="11">
        <v>500</v>
      </c>
      <c r="F1400" s="3" t="s">
        <v>8</v>
      </c>
      <c r="G1400" s="46">
        <v>30.15</v>
      </c>
      <c r="H1400" s="3">
        <v>33.15</v>
      </c>
      <c r="I1400" s="46">
        <v>37</v>
      </c>
      <c r="J1400" s="55">
        <v>0</v>
      </c>
      <c r="K1400" s="1">
        <f t="shared" ref="K1400" si="1250">(IF(F1400="SELL",G1400-H1400,IF(F1400="BUY",H1400-G1400)))*E1400</f>
        <v>1500</v>
      </c>
      <c r="L1400" s="51">
        <f t="shared" ref="L1400" si="1251">(IF(F1400="SELL",IF(I1400="",0,H1400-I1400),IF(F1400="BUY",IF(I1400="",0,I1400-H1400))))*E1400</f>
        <v>1925.0000000000007</v>
      </c>
      <c r="M1400" s="52">
        <v>0</v>
      </c>
      <c r="N1400" s="2">
        <f t="shared" si="1227"/>
        <v>6.8500000000000014</v>
      </c>
      <c r="O1400" s="2">
        <f t="shared" si="1242"/>
        <v>3425.0000000000009</v>
      </c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</row>
    <row r="1401" spans="1:33" s="14" customFormat="1">
      <c r="A1401" s="10">
        <v>43266</v>
      </c>
      <c r="B1401" s="3" t="s">
        <v>208</v>
      </c>
      <c r="C1401" s="15" t="s">
        <v>47</v>
      </c>
      <c r="D1401" s="15">
        <v>1120</v>
      </c>
      <c r="E1401" s="11">
        <v>800</v>
      </c>
      <c r="F1401" s="3" t="s">
        <v>8</v>
      </c>
      <c r="G1401" s="46">
        <v>28.5</v>
      </c>
      <c r="H1401" s="3">
        <v>30.5</v>
      </c>
      <c r="I1401" s="46">
        <v>33.85</v>
      </c>
      <c r="J1401" s="55">
        <v>0</v>
      </c>
      <c r="K1401" s="1">
        <f t="shared" ref="K1401" si="1252">(IF(F1401="SELL",G1401-H1401,IF(F1401="BUY",H1401-G1401)))*E1401</f>
        <v>1600</v>
      </c>
      <c r="L1401" s="51">
        <f t="shared" ref="L1401" si="1253">(IF(F1401="SELL",IF(I1401="",0,H1401-I1401),IF(F1401="BUY",IF(I1401="",0,I1401-H1401))))*E1401</f>
        <v>2680.0000000000009</v>
      </c>
      <c r="M1401" s="52">
        <v>0</v>
      </c>
      <c r="N1401" s="2">
        <f t="shared" si="1227"/>
        <v>5.3500000000000014</v>
      </c>
      <c r="O1401" s="2">
        <f t="shared" si="1242"/>
        <v>4280.0000000000009</v>
      </c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</row>
    <row r="1402" spans="1:33" s="14" customFormat="1">
      <c r="A1402" s="10">
        <v>43266</v>
      </c>
      <c r="B1402" s="3" t="s">
        <v>321</v>
      </c>
      <c r="C1402" s="15" t="s">
        <v>47</v>
      </c>
      <c r="D1402" s="15">
        <v>1000</v>
      </c>
      <c r="E1402" s="11">
        <v>800</v>
      </c>
      <c r="F1402" s="3" t="s">
        <v>8</v>
      </c>
      <c r="G1402" s="46">
        <v>36.5</v>
      </c>
      <c r="H1402" s="3">
        <v>38.5</v>
      </c>
      <c r="I1402" s="46">
        <v>0</v>
      </c>
      <c r="J1402" s="55">
        <v>0</v>
      </c>
      <c r="K1402" s="1">
        <f t="shared" ref="K1402" si="1254">(IF(F1402="SELL",G1402-H1402,IF(F1402="BUY",H1402-G1402)))*E1402</f>
        <v>1600</v>
      </c>
      <c r="L1402" s="51">
        <v>0</v>
      </c>
      <c r="M1402" s="52">
        <v>0</v>
      </c>
      <c r="N1402" s="2">
        <f t="shared" si="1227"/>
        <v>2</v>
      </c>
      <c r="O1402" s="2">
        <f t="shared" si="1242"/>
        <v>1600</v>
      </c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</row>
    <row r="1403" spans="1:33" s="14" customFormat="1">
      <c r="A1403" s="10">
        <v>43266</v>
      </c>
      <c r="B1403" s="3" t="s">
        <v>325</v>
      </c>
      <c r="C1403" s="15" t="s">
        <v>47</v>
      </c>
      <c r="D1403" s="15">
        <v>960</v>
      </c>
      <c r="E1403" s="11">
        <v>700</v>
      </c>
      <c r="F1403" s="3" t="s">
        <v>8</v>
      </c>
      <c r="G1403" s="46">
        <v>11.5</v>
      </c>
      <c r="H1403" s="3">
        <v>13.5</v>
      </c>
      <c r="I1403" s="46">
        <v>0</v>
      </c>
      <c r="J1403" s="55">
        <v>0</v>
      </c>
      <c r="K1403" s="1">
        <f t="shared" ref="K1403" si="1255">(IF(F1403="SELL",G1403-H1403,IF(F1403="BUY",H1403-G1403)))*E1403</f>
        <v>1400</v>
      </c>
      <c r="L1403" s="51">
        <v>0</v>
      </c>
      <c r="M1403" s="52">
        <v>0</v>
      </c>
      <c r="N1403" s="2">
        <f t="shared" si="1227"/>
        <v>2</v>
      </c>
      <c r="O1403" s="2">
        <f t="shared" si="1242"/>
        <v>1400</v>
      </c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</row>
    <row r="1404" spans="1:33" s="14" customFormat="1">
      <c r="A1404" s="10">
        <v>43265</v>
      </c>
      <c r="B1404" s="3" t="s">
        <v>141</v>
      </c>
      <c r="C1404" s="15" t="s">
        <v>46</v>
      </c>
      <c r="D1404" s="15">
        <v>340</v>
      </c>
      <c r="E1404" s="11">
        <v>3000</v>
      </c>
      <c r="F1404" s="3" t="s">
        <v>8</v>
      </c>
      <c r="G1404" s="46">
        <v>8.25</v>
      </c>
      <c r="H1404" s="3">
        <v>9</v>
      </c>
      <c r="I1404" s="46">
        <v>0</v>
      </c>
      <c r="J1404" s="55">
        <v>0</v>
      </c>
      <c r="K1404" s="1">
        <f t="shared" ref="K1404" si="1256">(IF(F1404="SELL",G1404-H1404,IF(F1404="BUY",H1404-G1404)))*E1404</f>
        <v>2250</v>
      </c>
      <c r="L1404" s="51">
        <v>0</v>
      </c>
      <c r="M1404" s="52">
        <v>0</v>
      </c>
      <c r="N1404" s="2">
        <f t="shared" si="1227"/>
        <v>0.75</v>
      </c>
      <c r="O1404" s="2">
        <f t="shared" si="1242"/>
        <v>2250</v>
      </c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</row>
    <row r="1405" spans="1:33" s="14" customFormat="1">
      <c r="A1405" s="10">
        <v>43265</v>
      </c>
      <c r="B1405" s="3" t="s">
        <v>324</v>
      </c>
      <c r="C1405" s="15" t="s">
        <v>47</v>
      </c>
      <c r="D1405" s="15">
        <v>1250</v>
      </c>
      <c r="E1405" s="11">
        <v>600</v>
      </c>
      <c r="F1405" s="3" t="s">
        <v>8</v>
      </c>
      <c r="G1405" s="46">
        <v>22</v>
      </c>
      <c r="H1405" s="3">
        <v>24.5</v>
      </c>
      <c r="I1405" s="46">
        <v>0</v>
      </c>
      <c r="J1405" s="55">
        <v>0</v>
      </c>
      <c r="K1405" s="1">
        <f t="shared" ref="K1405" si="1257">(IF(F1405="SELL",G1405-H1405,IF(F1405="BUY",H1405-G1405)))*E1405</f>
        <v>1500</v>
      </c>
      <c r="L1405" s="51">
        <v>0</v>
      </c>
      <c r="M1405" s="52">
        <v>0</v>
      </c>
      <c r="N1405" s="2">
        <f t="shared" si="1227"/>
        <v>2.5</v>
      </c>
      <c r="O1405" s="2">
        <f t="shared" si="1242"/>
        <v>1500</v>
      </c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</row>
    <row r="1406" spans="1:33" s="14" customFormat="1">
      <c r="A1406" s="10">
        <v>43265</v>
      </c>
      <c r="B1406" s="3" t="s">
        <v>144</v>
      </c>
      <c r="C1406" s="15" t="s">
        <v>47</v>
      </c>
      <c r="D1406" s="15">
        <v>380</v>
      </c>
      <c r="E1406" s="11">
        <v>1700</v>
      </c>
      <c r="F1406" s="3" t="s">
        <v>8</v>
      </c>
      <c r="G1406" s="46">
        <v>11.1</v>
      </c>
      <c r="H1406" s="3">
        <v>12</v>
      </c>
      <c r="I1406" s="46">
        <v>0</v>
      </c>
      <c r="J1406" s="55">
        <v>0</v>
      </c>
      <c r="K1406" s="1">
        <f t="shared" ref="K1406" si="1258">(IF(F1406="SELL",G1406-H1406,IF(F1406="BUY",H1406-G1406)))*E1406</f>
        <v>1530.0000000000007</v>
      </c>
      <c r="L1406" s="51">
        <v>0</v>
      </c>
      <c r="M1406" s="52">
        <v>0</v>
      </c>
      <c r="N1406" s="2">
        <f t="shared" si="1227"/>
        <v>0.90000000000000036</v>
      </c>
      <c r="O1406" s="2">
        <f t="shared" si="1242"/>
        <v>1530.0000000000007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</row>
    <row r="1407" spans="1:33" s="14" customFormat="1">
      <c r="A1407" s="10">
        <v>43264</v>
      </c>
      <c r="B1407" s="3" t="s">
        <v>309</v>
      </c>
      <c r="C1407" s="15" t="s">
        <v>46</v>
      </c>
      <c r="D1407" s="15">
        <v>1850</v>
      </c>
      <c r="E1407" s="11">
        <v>500</v>
      </c>
      <c r="F1407" s="3" t="s">
        <v>8</v>
      </c>
      <c r="G1407" s="46">
        <v>48</v>
      </c>
      <c r="H1407" s="3">
        <v>51</v>
      </c>
      <c r="I1407" s="46">
        <v>55</v>
      </c>
      <c r="J1407" s="55">
        <v>0</v>
      </c>
      <c r="K1407" s="1">
        <f t="shared" ref="K1407" si="1259">(IF(F1407="SELL",G1407-H1407,IF(F1407="BUY",H1407-G1407)))*E1407</f>
        <v>1500</v>
      </c>
      <c r="L1407" s="51">
        <f t="shared" ref="L1407:L1409" si="1260">(IF(F1407="SELL",IF(I1407="",0,H1407-I1407),IF(F1407="BUY",IF(I1407="",0,I1407-H1407))))*E1407</f>
        <v>2000</v>
      </c>
      <c r="M1407" s="52">
        <v>0</v>
      </c>
      <c r="N1407" s="2">
        <f t="shared" si="1227"/>
        <v>7</v>
      </c>
      <c r="O1407" s="2">
        <f t="shared" si="1242"/>
        <v>3500</v>
      </c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</row>
    <row r="1408" spans="1:33" s="14" customFormat="1">
      <c r="A1408" s="10">
        <v>43264</v>
      </c>
      <c r="B1408" s="3" t="s">
        <v>154</v>
      </c>
      <c r="C1408" s="15" t="s">
        <v>47</v>
      </c>
      <c r="D1408" s="15">
        <v>420</v>
      </c>
      <c r="E1408" s="11">
        <v>1800</v>
      </c>
      <c r="F1408" s="3" t="s">
        <v>8</v>
      </c>
      <c r="G1408" s="46">
        <v>13.3</v>
      </c>
      <c r="H1408" s="3">
        <v>13.95</v>
      </c>
      <c r="I1408" s="46">
        <v>0</v>
      </c>
      <c r="J1408" s="55">
        <v>0</v>
      </c>
      <c r="K1408" s="1">
        <f t="shared" ref="K1408" si="1261">(IF(F1408="SELL",G1408-H1408,IF(F1408="BUY",H1408-G1408)))*E1408</f>
        <v>1169.9999999999975</v>
      </c>
      <c r="L1408" s="51">
        <v>0</v>
      </c>
      <c r="M1408" s="52">
        <v>0</v>
      </c>
      <c r="N1408" s="2">
        <f t="shared" si="1227"/>
        <v>0.64999999999999858</v>
      </c>
      <c r="O1408" s="2">
        <f t="shared" si="1242"/>
        <v>1169.9999999999975</v>
      </c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</row>
    <row r="1409" spans="1:33" s="14" customFormat="1">
      <c r="A1409" s="10">
        <v>43263</v>
      </c>
      <c r="B1409" s="3" t="s">
        <v>167</v>
      </c>
      <c r="C1409" s="15" t="s">
        <v>47</v>
      </c>
      <c r="D1409" s="15">
        <v>1180</v>
      </c>
      <c r="E1409" s="11">
        <v>500</v>
      </c>
      <c r="F1409" s="3" t="s">
        <v>8</v>
      </c>
      <c r="G1409" s="46">
        <v>28.5</v>
      </c>
      <c r="H1409" s="3">
        <v>30.5</v>
      </c>
      <c r="I1409" s="46">
        <v>34</v>
      </c>
      <c r="J1409" s="55">
        <v>38</v>
      </c>
      <c r="K1409" s="1">
        <f t="shared" ref="K1409" si="1262">(IF(F1409="SELL",G1409-H1409,IF(F1409="BUY",H1409-G1409)))*E1409</f>
        <v>1000</v>
      </c>
      <c r="L1409" s="51">
        <f t="shared" si="1260"/>
        <v>1750</v>
      </c>
      <c r="M1409" s="52">
        <v>2000</v>
      </c>
      <c r="N1409" s="2">
        <f t="shared" si="1227"/>
        <v>9.5</v>
      </c>
      <c r="O1409" s="2">
        <f t="shared" si="1242"/>
        <v>4750</v>
      </c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</row>
    <row r="1410" spans="1:33" s="14" customFormat="1">
      <c r="A1410" s="10">
        <v>43263</v>
      </c>
      <c r="B1410" s="3" t="s">
        <v>323</v>
      </c>
      <c r="C1410" s="15" t="s">
        <v>47</v>
      </c>
      <c r="D1410" s="15">
        <v>380</v>
      </c>
      <c r="E1410" s="11">
        <v>1600</v>
      </c>
      <c r="F1410" s="3" t="s">
        <v>8</v>
      </c>
      <c r="G1410" s="46">
        <v>11.6</v>
      </c>
      <c r="H1410" s="3">
        <v>12.6</v>
      </c>
      <c r="I1410" s="46">
        <v>0</v>
      </c>
      <c r="J1410" s="55">
        <v>0</v>
      </c>
      <c r="K1410" s="1">
        <f t="shared" ref="K1410" si="1263">(IF(F1410="SELL",G1410-H1410,IF(F1410="BUY",H1410-G1410)))*E1410</f>
        <v>1600</v>
      </c>
      <c r="L1410" s="51">
        <v>0</v>
      </c>
      <c r="M1410" s="52">
        <v>0</v>
      </c>
      <c r="N1410" s="2">
        <f t="shared" si="1227"/>
        <v>1</v>
      </c>
      <c r="O1410" s="2">
        <f t="shared" si="1242"/>
        <v>1600</v>
      </c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</row>
    <row r="1411" spans="1:33" s="14" customFormat="1">
      <c r="A1411" s="10">
        <v>43263</v>
      </c>
      <c r="B1411" s="3" t="s">
        <v>322</v>
      </c>
      <c r="C1411" s="15" t="s">
        <v>46</v>
      </c>
      <c r="D1411" s="15">
        <v>1200</v>
      </c>
      <c r="E1411" s="11">
        <v>700</v>
      </c>
      <c r="F1411" s="3" t="s">
        <v>8</v>
      </c>
      <c r="G1411" s="46">
        <v>12.8</v>
      </c>
      <c r="H1411" s="3">
        <v>15</v>
      </c>
      <c r="I1411" s="46">
        <v>0</v>
      </c>
      <c r="J1411" s="55">
        <v>0</v>
      </c>
      <c r="K1411" s="1">
        <f t="shared" ref="K1411" si="1264">(IF(F1411="SELL",G1411-H1411,IF(F1411="BUY",H1411-G1411)))*E1411</f>
        <v>1539.9999999999995</v>
      </c>
      <c r="L1411" s="51">
        <v>0</v>
      </c>
      <c r="M1411" s="52">
        <v>0</v>
      </c>
      <c r="N1411" s="2">
        <f t="shared" si="1227"/>
        <v>2.1999999999999993</v>
      </c>
      <c r="O1411" s="2">
        <f t="shared" si="1242"/>
        <v>1539.9999999999995</v>
      </c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</row>
    <row r="1412" spans="1:33" s="14" customFormat="1">
      <c r="A1412" s="10">
        <v>43262</v>
      </c>
      <c r="B1412" s="3" t="s">
        <v>321</v>
      </c>
      <c r="C1412" s="15" t="s">
        <v>47</v>
      </c>
      <c r="D1412" s="15">
        <v>1000</v>
      </c>
      <c r="E1412" s="11">
        <v>800</v>
      </c>
      <c r="F1412" s="3" t="s">
        <v>8</v>
      </c>
      <c r="G1412" s="46">
        <v>34</v>
      </c>
      <c r="H1412" s="3">
        <v>38</v>
      </c>
      <c r="I1412" s="46">
        <v>0</v>
      </c>
      <c r="J1412" s="55">
        <v>0</v>
      </c>
      <c r="K1412" s="1">
        <f t="shared" ref="K1412" si="1265">(IF(F1412="SELL",G1412-H1412,IF(F1412="BUY",H1412-G1412)))*E1412</f>
        <v>3200</v>
      </c>
      <c r="L1412" s="51">
        <v>0</v>
      </c>
      <c r="M1412" s="52">
        <v>0</v>
      </c>
      <c r="N1412" s="2">
        <f t="shared" si="1227"/>
        <v>4</v>
      </c>
      <c r="O1412" s="2">
        <f t="shared" si="1242"/>
        <v>3200</v>
      </c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</row>
    <row r="1413" spans="1:33" s="14" customFormat="1">
      <c r="A1413" s="10">
        <v>43262</v>
      </c>
      <c r="B1413" s="3" t="s">
        <v>286</v>
      </c>
      <c r="C1413" s="15" t="s">
        <v>47</v>
      </c>
      <c r="D1413" s="15">
        <v>1600</v>
      </c>
      <c r="E1413" s="11">
        <v>600</v>
      </c>
      <c r="F1413" s="3" t="s">
        <v>8</v>
      </c>
      <c r="G1413" s="46">
        <v>27</v>
      </c>
      <c r="H1413" s="3">
        <v>30</v>
      </c>
      <c r="I1413" s="46">
        <v>0</v>
      </c>
      <c r="J1413" s="55">
        <v>0</v>
      </c>
      <c r="K1413" s="1">
        <f t="shared" ref="K1413" si="1266">(IF(F1413="SELL",G1413-H1413,IF(F1413="BUY",H1413-G1413)))*E1413</f>
        <v>1800</v>
      </c>
      <c r="L1413" s="51">
        <v>0</v>
      </c>
      <c r="M1413" s="52">
        <v>0</v>
      </c>
      <c r="N1413" s="2">
        <f t="shared" si="1227"/>
        <v>3</v>
      </c>
      <c r="O1413" s="2">
        <f t="shared" si="1242"/>
        <v>1800</v>
      </c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</row>
    <row r="1414" spans="1:33" s="14" customFormat="1">
      <c r="A1414" s="10">
        <v>43262</v>
      </c>
      <c r="B1414" s="3" t="s">
        <v>285</v>
      </c>
      <c r="C1414" s="15" t="s">
        <v>47</v>
      </c>
      <c r="D1414" s="15">
        <v>300</v>
      </c>
      <c r="E1414" s="11">
        <v>3200</v>
      </c>
      <c r="F1414" s="3" t="s">
        <v>8</v>
      </c>
      <c r="G1414" s="46">
        <v>7.05</v>
      </c>
      <c r="H1414" s="3">
        <v>7.5</v>
      </c>
      <c r="I1414" s="46">
        <v>0</v>
      </c>
      <c r="J1414" s="55">
        <v>0</v>
      </c>
      <c r="K1414" s="1">
        <f t="shared" ref="K1414" si="1267">(IF(F1414="SELL",G1414-H1414,IF(F1414="BUY",H1414-G1414)))*E1414</f>
        <v>1440.0000000000005</v>
      </c>
      <c r="L1414" s="51">
        <v>0</v>
      </c>
      <c r="M1414" s="52">
        <v>0</v>
      </c>
      <c r="N1414" s="2">
        <f t="shared" si="1227"/>
        <v>0.45000000000000012</v>
      </c>
      <c r="O1414" s="2">
        <f t="shared" si="1242"/>
        <v>1440.0000000000005</v>
      </c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</row>
    <row r="1415" spans="1:33" s="14" customFormat="1">
      <c r="A1415" s="10">
        <v>43259</v>
      </c>
      <c r="B1415" s="3" t="s">
        <v>320</v>
      </c>
      <c r="C1415" s="15" t="s">
        <v>47</v>
      </c>
      <c r="D1415" s="15">
        <v>950</v>
      </c>
      <c r="E1415" s="11">
        <v>300</v>
      </c>
      <c r="F1415" s="3" t="s">
        <v>8</v>
      </c>
      <c r="G1415" s="46">
        <v>32</v>
      </c>
      <c r="H1415" s="3">
        <v>37</v>
      </c>
      <c r="I1415" s="46">
        <v>0</v>
      </c>
      <c r="J1415" s="55">
        <v>0</v>
      </c>
      <c r="K1415" s="1">
        <f t="shared" ref="K1415" si="1268">(IF(F1415="SELL",G1415-H1415,IF(F1415="BUY",H1415-G1415)))*E1415</f>
        <v>1500</v>
      </c>
      <c r="L1415" s="51">
        <v>0</v>
      </c>
      <c r="M1415" s="52">
        <v>0</v>
      </c>
      <c r="N1415" s="2">
        <f t="shared" si="1227"/>
        <v>5</v>
      </c>
      <c r="O1415" s="2">
        <f t="shared" si="1242"/>
        <v>1500</v>
      </c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</row>
    <row r="1416" spans="1:33" s="14" customFormat="1">
      <c r="A1416" s="10">
        <v>43259</v>
      </c>
      <c r="B1416" s="3" t="s">
        <v>319</v>
      </c>
      <c r="C1416" s="15" t="s">
        <v>47</v>
      </c>
      <c r="D1416" s="15">
        <v>210</v>
      </c>
      <c r="E1416" s="11">
        <v>3000</v>
      </c>
      <c r="F1416" s="3" t="s">
        <v>8</v>
      </c>
      <c r="G1416" s="46">
        <v>7.35</v>
      </c>
      <c r="H1416" s="3">
        <v>8</v>
      </c>
      <c r="I1416" s="46">
        <v>0</v>
      </c>
      <c r="J1416" s="55">
        <v>0</v>
      </c>
      <c r="K1416" s="1">
        <f t="shared" ref="K1416" si="1269">(IF(F1416="SELL",G1416-H1416,IF(F1416="BUY",H1416-G1416)))*E1416</f>
        <v>1950.0000000000011</v>
      </c>
      <c r="L1416" s="51">
        <v>0</v>
      </c>
      <c r="M1416" s="52">
        <v>0</v>
      </c>
      <c r="N1416" s="2">
        <f t="shared" si="1227"/>
        <v>0.65000000000000036</v>
      </c>
      <c r="O1416" s="2">
        <f t="shared" si="1242"/>
        <v>1950.0000000000011</v>
      </c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</row>
    <row r="1417" spans="1:33" s="14" customFormat="1">
      <c r="A1417" s="10">
        <v>43259</v>
      </c>
      <c r="B1417" s="3" t="s">
        <v>253</v>
      </c>
      <c r="C1417" s="15" t="s">
        <v>47</v>
      </c>
      <c r="D1417" s="15">
        <v>1040</v>
      </c>
      <c r="E1417" s="11">
        <v>1200</v>
      </c>
      <c r="F1417" s="3" t="s">
        <v>8</v>
      </c>
      <c r="G1417" s="46">
        <v>31</v>
      </c>
      <c r="H1417" s="3">
        <v>32.5</v>
      </c>
      <c r="I1417" s="46">
        <v>0</v>
      </c>
      <c r="J1417" s="55">
        <v>0</v>
      </c>
      <c r="K1417" s="1">
        <f t="shared" ref="K1417" si="1270">(IF(F1417="SELL",G1417-H1417,IF(F1417="BUY",H1417-G1417)))*E1417</f>
        <v>1800</v>
      </c>
      <c r="L1417" s="51">
        <v>0</v>
      </c>
      <c r="M1417" s="52">
        <v>0</v>
      </c>
      <c r="N1417" s="2">
        <f t="shared" si="1227"/>
        <v>1.5</v>
      </c>
      <c r="O1417" s="2">
        <f t="shared" si="1242"/>
        <v>1800</v>
      </c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</row>
    <row r="1418" spans="1:33" s="14" customFormat="1">
      <c r="A1418" s="10">
        <v>43258</v>
      </c>
      <c r="B1418" s="3" t="s">
        <v>318</v>
      </c>
      <c r="C1418" s="15" t="s">
        <v>47</v>
      </c>
      <c r="D1418" s="15">
        <v>250</v>
      </c>
      <c r="E1418" s="11">
        <v>3399</v>
      </c>
      <c r="F1418" s="3" t="s">
        <v>8</v>
      </c>
      <c r="G1418" s="46">
        <v>3.9</v>
      </c>
      <c r="H1418" s="3">
        <v>4.5</v>
      </c>
      <c r="I1418" s="46">
        <v>5</v>
      </c>
      <c r="J1418" s="55">
        <v>0</v>
      </c>
      <c r="K1418" s="1">
        <f t="shared" ref="K1418" si="1271">(IF(F1418="SELL",G1418-H1418,IF(F1418="BUY",H1418-G1418)))*E1418</f>
        <v>2039.4000000000003</v>
      </c>
      <c r="L1418" s="51">
        <f t="shared" ref="L1418" si="1272">(IF(F1418="SELL",IF(I1418="",0,H1418-I1418),IF(F1418="BUY",IF(I1418="",0,I1418-H1418))))*E1418</f>
        <v>1699.5</v>
      </c>
      <c r="M1418" s="52">
        <v>0</v>
      </c>
      <c r="N1418" s="2">
        <f t="shared" si="1227"/>
        <v>1.1000000000000001</v>
      </c>
      <c r="O1418" s="2">
        <f t="shared" si="1242"/>
        <v>3738.9</v>
      </c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</row>
    <row r="1419" spans="1:33" s="14" customFormat="1">
      <c r="A1419" s="10">
        <v>43258</v>
      </c>
      <c r="B1419" s="3" t="s">
        <v>166</v>
      </c>
      <c r="C1419" s="15" t="s">
        <v>47</v>
      </c>
      <c r="D1419" s="15">
        <v>255</v>
      </c>
      <c r="E1419" s="11">
        <v>3500</v>
      </c>
      <c r="F1419" s="3" t="s">
        <v>8</v>
      </c>
      <c r="G1419" s="46">
        <v>7.25</v>
      </c>
      <c r="H1419" s="3">
        <v>7.7</v>
      </c>
      <c r="I1419" s="46">
        <v>0</v>
      </c>
      <c r="J1419" s="55">
        <v>0</v>
      </c>
      <c r="K1419" s="1">
        <f t="shared" ref="K1419" si="1273">(IF(F1419="SELL",G1419-H1419,IF(F1419="BUY",H1419-G1419)))*E1419</f>
        <v>1575.0000000000007</v>
      </c>
      <c r="L1419" s="51">
        <v>0</v>
      </c>
      <c r="M1419" s="52">
        <v>0</v>
      </c>
      <c r="N1419" s="2">
        <f t="shared" si="1227"/>
        <v>0.45000000000000018</v>
      </c>
      <c r="O1419" s="2">
        <f t="shared" si="1242"/>
        <v>1575.0000000000007</v>
      </c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</row>
    <row r="1420" spans="1:33" s="14" customFormat="1">
      <c r="A1420" s="10">
        <v>43258</v>
      </c>
      <c r="B1420" s="3" t="s">
        <v>317</v>
      </c>
      <c r="C1420" s="15" t="s">
        <v>47</v>
      </c>
      <c r="D1420" s="15">
        <v>250</v>
      </c>
      <c r="E1420" s="11">
        <v>2250</v>
      </c>
      <c r="F1420" s="3" t="s">
        <v>8</v>
      </c>
      <c r="G1420" s="46">
        <v>8</v>
      </c>
      <c r="H1420" s="3">
        <v>8.5</v>
      </c>
      <c r="I1420" s="46">
        <v>9</v>
      </c>
      <c r="J1420" s="55">
        <v>0</v>
      </c>
      <c r="K1420" s="1">
        <f t="shared" ref="K1420" si="1274">(IF(F1420="SELL",G1420-H1420,IF(F1420="BUY",H1420-G1420)))*E1420</f>
        <v>1125</v>
      </c>
      <c r="L1420" s="51">
        <f t="shared" ref="L1420" si="1275">(IF(F1420="SELL",IF(I1420="",0,H1420-I1420),IF(F1420="BUY",IF(I1420="",0,I1420-H1420))))*E1420</f>
        <v>1125</v>
      </c>
      <c r="M1420" s="52">
        <v>0</v>
      </c>
      <c r="N1420" s="2">
        <f t="shared" si="1227"/>
        <v>1</v>
      </c>
      <c r="O1420" s="2">
        <f t="shared" si="1242"/>
        <v>2250</v>
      </c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</row>
    <row r="1421" spans="1:33" s="14" customFormat="1">
      <c r="A1421" s="10">
        <v>43258</v>
      </c>
      <c r="B1421" s="3" t="s">
        <v>267</v>
      </c>
      <c r="C1421" s="15" t="s">
        <v>47</v>
      </c>
      <c r="D1421" s="15">
        <v>77.5</v>
      </c>
      <c r="E1421" s="11">
        <v>7500</v>
      </c>
      <c r="F1421" s="3" t="s">
        <v>8</v>
      </c>
      <c r="G1421" s="46">
        <v>2.4500000000000002</v>
      </c>
      <c r="H1421" s="3">
        <v>2.4500000000000002</v>
      </c>
      <c r="I1421" s="46">
        <v>0</v>
      </c>
      <c r="J1421" s="55">
        <v>0</v>
      </c>
      <c r="K1421" s="1">
        <f t="shared" ref="K1421" si="1276">(IF(F1421="SELL",G1421-H1421,IF(F1421="BUY",H1421-G1421)))*E1421</f>
        <v>0</v>
      </c>
      <c r="L1421" s="51">
        <v>0</v>
      </c>
      <c r="M1421" s="52">
        <v>0</v>
      </c>
      <c r="N1421" s="2">
        <f t="shared" si="1227"/>
        <v>0</v>
      </c>
      <c r="O1421" s="2">
        <f t="shared" si="1242"/>
        <v>0</v>
      </c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</row>
    <row r="1422" spans="1:33" s="14" customFormat="1">
      <c r="A1422" s="10">
        <v>43257</v>
      </c>
      <c r="B1422" s="3" t="s">
        <v>139</v>
      </c>
      <c r="C1422" s="15" t="s">
        <v>47</v>
      </c>
      <c r="D1422" s="15">
        <v>2650</v>
      </c>
      <c r="E1422" s="11">
        <v>250</v>
      </c>
      <c r="F1422" s="3" t="s">
        <v>8</v>
      </c>
      <c r="G1422" s="46">
        <v>70</v>
      </c>
      <c r="H1422" s="3">
        <v>77</v>
      </c>
      <c r="I1422" s="46">
        <v>85</v>
      </c>
      <c r="J1422" s="55">
        <v>0</v>
      </c>
      <c r="K1422" s="1">
        <f t="shared" ref="K1422" si="1277">(IF(F1422="SELL",G1422-H1422,IF(F1422="BUY",H1422-G1422)))*E1422</f>
        <v>1750</v>
      </c>
      <c r="L1422" s="51">
        <f t="shared" ref="L1422" si="1278">(IF(F1422="SELL",IF(I1422="",0,H1422-I1422),IF(F1422="BUY",IF(I1422="",0,I1422-H1422))))*E1422</f>
        <v>2000</v>
      </c>
      <c r="M1422" s="52">
        <v>0</v>
      </c>
      <c r="N1422" s="2">
        <f t="shared" si="1227"/>
        <v>15</v>
      </c>
      <c r="O1422" s="2">
        <f t="shared" si="1242"/>
        <v>3750</v>
      </c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</row>
    <row r="1423" spans="1:33" s="14" customFormat="1">
      <c r="A1423" s="10">
        <v>43257</v>
      </c>
      <c r="B1423" s="3" t="s">
        <v>272</v>
      </c>
      <c r="C1423" s="15" t="s">
        <v>47</v>
      </c>
      <c r="D1423" s="15">
        <v>105</v>
      </c>
      <c r="E1423" s="11">
        <v>9000</v>
      </c>
      <c r="F1423" s="3" t="s">
        <v>8</v>
      </c>
      <c r="G1423" s="46">
        <v>2.8</v>
      </c>
      <c r="H1423" s="3">
        <v>3.1</v>
      </c>
      <c r="I1423" s="46">
        <v>0</v>
      </c>
      <c r="J1423" s="55">
        <v>0</v>
      </c>
      <c r="K1423" s="1">
        <f t="shared" ref="K1423" si="1279">(IF(F1423="SELL",G1423-H1423,IF(F1423="BUY",H1423-G1423)))*E1423</f>
        <v>2700.0000000000023</v>
      </c>
      <c r="L1423" s="51">
        <v>0</v>
      </c>
      <c r="M1423" s="52">
        <v>0</v>
      </c>
      <c r="N1423" s="2">
        <f t="shared" si="1227"/>
        <v>0.30000000000000027</v>
      </c>
      <c r="O1423" s="2">
        <f t="shared" si="1242"/>
        <v>2700.0000000000023</v>
      </c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</row>
    <row r="1424" spans="1:33" s="14" customFormat="1">
      <c r="A1424" s="10">
        <v>43257</v>
      </c>
      <c r="B1424" s="3" t="s">
        <v>316</v>
      </c>
      <c r="C1424" s="15" t="s">
        <v>47</v>
      </c>
      <c r="D1424" s="15">
        <v>290</v>
      </c>
      <c r="E1424" s="11">
        <v>1500</v>
      </c>
      <c r="F1424" s="3" t="s">
        <v>8</v>
      </c>
      <c r="G1424" s="46">
        <v>9.6999999999999993</v>
      </c>
      <c r="H1424" s="3">
        <v>11</v>
      </c>
      <c r="I1424" s="46">
        <v>13</v>
      </c>
      <c r="J1424" s="55">
        <v>0</v>
      </c>
      <c r="K1424" s="1">
        <f t="shared" ref="K1424" si="1280">(IF(F1424="SELL",G1424-H1424,IF(F1424="BUY",H1424-G1424)))*E1424</f>
        <v>1950.0000000000011</v>
      </c>
      <c r="L1424" s="51">
        <f t="shared" ref="L1424" si="1281">(IF(F1424="SELL",IF(I1424="",0,H1424-I1424),IF(F1424="BUY",IF(I1424="",0,I1424-H1424))))*E1424</f>
        <v>3000</v>
      </c>
      <c r="M1424" s="52">
        <v>0</v>
      </c>
      <c r="N1424" s="2">
        <f t="shared" si="1227"/>
        <v>3.3000000000000007</v>
      </c>
      <c r="O1424" s="2">
        <f t="shared" si="1242"/>
        <v>4950.0000000000009</v>
      </c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</row>
    <row r="1425" spans="1:33" s="14" customFormat="1">
      <c r="A1425" s="10">
        <v>43257</v>
      </c>
      <c r="B1425" s="3" t="s">
        <v>315</v>
      </c>
      <c r="C1425" s="15" t="s">
        <v>47</v>
      </c>
      <c r="D1425" s="15">
        <v>360</v>
      </c>
      <c r="E1425" s="11">
        <v>1250</v>
      </c>
      <c r="F1425" s="3" t="s">
        <v>8</v>
      </c>
      <c r="G1425" s="46">
        <v>14.4</v>
      </c>
      <c r="H1425" s="3">
        <v>15.4</v>
      </c>
      <c r="I1425" s="46">
        <v>17</v>
      </c>
      <c r="J1425" s="55">
        <v>0</v>
      </c>
      <c r="K1425" s="1">
        <f t="shared" ref="K1425" si="1282">(IF(F1425="SELL",G1425-H1425,IF(F1425="BUY",H1425-G1425)))*E1425</f>
        <v>1250</v>
      </c>
      <c r="L1425" s="51">
        <f t="shared" ref="L1425" si="1283">(IF(F1425="SELL",IF(I1425="",0,H1425-I1425),IF(F1425="BUY",IF(I1425="",0,I1425-H1425))))*E1425</f>
        <v>1999.9999999999995</v>
      </c>
      <c r="M1425" s="52">
        <v>0</v>
      </c>
      <c r="N1425" s="2">
        <f t="shared" si="1227"/>
        <v>2.5999999999999996</v>
      </c>
      <c r="O1425" s="2">
        <f t="shared" si="1242"/>
        <v>3249.9999999999995</v>
      </c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</row>
    <row r="1426" spans="1:33" s="14" customFormat="1">
      <c r="A1426" s="10">
        <v>43257</v>
      </c>
      <c r="B1426" s="3" t="s">
        <v>314</v>
      </c>
      <c r="C1426" s="15" t="s">
        <v>47</v>
      </c>
      <c r="D1426" s="15">
        <v>1350</v>
      </c>
      <c r="E1426" s="11">
        <v>500</v>
      </c>
      <c r="F1426" s="3" t="s">
        <v>8</v>
      </c>
      <c r="G1426" s="46">
        <v>33.700000000000003</v>
      </c>
      <c r="H1426" s="3">
        <v>36</v>
      </c>
      <c r="I1426" s="46">
        <v>0</v>
      </c>
      <c r="J1426" s="55">
        <v>0</v>
      </c>
      <c r="K1426" s="1">
        <f t="shared" ref="K1426" si="1284">(IF(F1426="SELL",G1426-H1426,IF(F1426="BUY",H1426-G1426)))*E1426</f>
        <v>1149.9999999999986</v>
      </c>
      <c r="L1426" s="51">
        <v>0</v>
      </c>
      <c r="M1426" s="52">
        <v>0</v>
      </c>
      <c r="N1426" s="2">
        <f t="shared" si="1227"/>
        <v>2.2999999999999972</v>
      </c>
      <c r="O1426" s="2">
        <f t="shared" si="1242"/>
        <v>1149.9999999999986</v>
      </c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</row>
    <row r="1427" spans="1:33" s="14" customFormat="1">
      <c r="A1427" s="10">
        <v>43256</v>
      </c>
      <c r="B1427" s="3" t="s">
        <v>253</v>
      </c>
      <c r="C1427" s="15" t="s">
        <v>46</v>
      </c>
      <c r="D1427" s="15">
        <v>980</v>
      </c>
      <c r="E1427" s="11">
        <v>1200</v>
      </c>
      <c r="F1427" s="3" t="s">
        <v>8</v>
      </c>
      <c r="G1427" s="46">
        <v>36.15</v>
      </c>
      <c r="H1427" s="3">
        <v>37.15</v>
      </c>
      <c r="I1427" s="46">
        <v>39.15</v>
      </c>
      <c r="J1427" s="55">
        <v>0</v>
      </c>
      <c r="K1427" s="1">
        <f t="shared" ref="K1427" si="1285">(IF(F1427="SELL",G1427-H1427,IF(F1427="BUY",H1427-G1427)))*E1427</f>
        <v>1200</v>
      </c>
      <c r="L1427" s="51">
        <f t="shared" ref="L1427" si="1286">(IF(F1427="SELL",IF(I1427="",0,H1427-I1427),IF(F1427="BUY",IF(I1427="",0,I1427-H1427))))*E1427</f>
        <v>2400</v>
      </c>
      <c r="M1427" s="52">
        <v>0</v>
      </c>
      <c r="N1427" s="2">
        <f t="shared" si="1227"/>
        <v>3</v>
      </c>
      <c r="O1427" s="2">
        <f t="shared" si="1242"/>
        <v>3600</v>
      </c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</row>
    <row r="1428" spans="1:33" s="14" customFormat="1">
      <c r="A1428" s="10">
        <v>43256</v>
      </c>
      <c r="B1428" s="3" t="s">
        <v>219</v>
      </c>
      <c r="C1428" s="15" t="s">
        <v>46</v>
      </c>
      <c r="D1428" s="15">
        <v>580</v>
      </c>
      <c r="E1428" s="11">
        <v>1500</v>
      </c>
      <c r="F1428" s="3" t="s">
        <v>8</v>
      </c>
      <c r="G1428" s="46">
        <v>29.3</v>
      </c>
      <c r="H1428" s="3">
        <v>30.3</v>
      </c>
      <c r="I1428" s="46">
        <v>0</v>
      </c>
      <c r="J1428" s="55">
        <v>0</v>
      </c>
      <c r="K1428" s="1">
        <f t="shared" ref="K1428" si="1287">(IF(F1428="SELL",G1428-H1428,IF(F1428="BUY",H1428-G1428)))*E1428</f>
        <v>1500</v>
      </c>
      <c r="L1428" s="51">
        <v>0</v>
      </c>
      <c r="M1428" s="52">
        <v>0</v>
      </c>
      <c r="N1428" s="2">
        <f t="shared" si="1227"/>
        <v>1</v>
      </c>
      <c r="O1428" s="2">
        <f t="shared" si="1242"/>
        <v>1500</v>
      </c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</row>
    <row r="1429" spans="1:33" s="14" customFormat="1">
      <c r="A1429" s="10">
        <v>43256</v>
      </c>
      <c r="B1429" s="3" t="s">
        <v>280</v>
      </c>
      <c r="C1429" s="15" t="s">
        <v>46</v>
      </c>
      <c r="D1429" s="15">
        <v>1350</v>
      </c>
      <c r="E1429" s="11">
        <v>600</v>
      </c>
      <c r="F1429" s="3" t="s">
        <v>8</v>
      </c>
      <c r="G1429" s="46">
        <v>33.15</v>
      </c>
      <c r="H1429" s="3">
        <v>36.15</v>
      </c>
      <c r="I1429" s="46">
        <v>0</v>
      </c>
      <c r="J1429" s="55">
        <v>0</v>
      </c>
      <c r="K1429" s="1">
        <f t="shared" ref="K1429" si="1288">(IF(F1429="SELL",G1429-H1429,IF(F1429="BUY",H1429-G1429)))*E1429</f>
        <v>1800</v>
      </c>
      <c r="L1429" s="51">
        <v>0</v>
      </c>
      <c r="M1429" s="52">
        <v>0</v>
      </c>
      <c r="N1429" s="2">
        <f t="shared" si="1227"/>
        <v>3</v>
      </c>
      <c r="O1429" s="2">
        <f t="shared" si="1242"/>
        <v>1800</v>
      </c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</row>
    <row r="1430" spans="1:33" s="14" customFormat="1">
      <c r="A1430" s="10">
        <v>43255</v>
      </c>
      <c r="B1430" s="3" t="s">
        <v>277</v>
      </c>
      <c r="C1430" s="15" t="s">
        <v>47</v>
      </c>
      <c r="D1430" s="15">
        <v>170</v>
      </c>
      <c r="E1430" s="11">
        <v>4500</v>
      </c>
      <c r="F1430" s="3" t="s">
        <v>8</v>
      </c>
      <c r="G1430" s="46">
        <v>3.9</v>
      </c>
      <c r="H1430" s="3">
        <v>4.4000000000000004</v>
      </c>
      <c r="I1430" s="46">
        <v>0</v>
      </c>
      <c r="J1430" s="55">
        <v>0</v>
      </c>
      <c r="K1430" s="1">
        <f t="shared" ref="K1430" si="1289">(IF(F1430="SELL",G1430-H1430,IF(F1430="BUY",H1430-G1430)))*E1430</f>
        <v>2250.0000000000018</v>
      </c>
      <c r="L1430" s="51">
        <v>0</v>
      </c>
      <c r="M1430" s="52">
        <v>0</v>
      </c>
      <c r="N1430" s="2">
        <f t="shared" si="1227"/>
        <v>0.50000000000000044</v>
      </c>
      <c r="O1430" s="2">
        <f t="shared" si="1242"/>
        <v>2250.0000000000018</v>
      </c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</row>
    <row r="1431" spans="1:33" s="14" customFormat="1">
      <c r="A1431" s="10">
        <v>43255</v>
      </c>
      <c r="B1431" s="3" t="s">
        <v>166</v>
      </c>
      <c r="C1431" s="15" t="s">
        <v>47</v>
      </c>
      <c r="D1431" s="15">
        <v>245</v>
      </c>
      <c r="E1431" s="11">
        <v>3500</v>
      </c>
      <c r="F1431" s="3" t="s">
        <v>8</v>
      </c>
      <c r="G1431" s="46">
        <v>7.5</v>
      </c>
      <c r="H1431" s="3">
        <v>0</v>
      </c>
      <c r="I1431" s="46">
        <v>0</v>
      </c>
      <c r="J1431" s="55">
        <v>0</v>
      </c>
      <c r="K1431" s="1">
        <v>0</v>
      </c>
      <c r="L1431" s="51">
        <f t="shared" ref="L1431" si="1290">(IF(F1431="SELL",IF(I1431="",0,H1431-I1431),IF(F1431="BUY",IF(I1431="",0,I1431-H1431))))*E1431</f>
        <v>0</v>
      </c>
      <c r="M1431" s="52">
        <v>0</v>
      </c>
      <c r="N1431" s="2">
        <f t="shared" si="1227"/>
        <v>0</v>
      </c>
      <c r="O1431" s="2">
        <f t="shared" si="1242"/>
        <v>0</v>
      </c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</row>
    <row r="1432" spans="1:33" s="14" customFormat="1">
      <c r="A1432" s="10">
        <v>43255</v>
      </c>
      <c r="B1432" s="3" t="s">
        <v>300</v>
      </c>
      <c r="C1432" s="15" t="s">
        <v>47</v>
      </c>
      <c r="D1432" s="15">
        <v>480</v>
      </c>
      <c r="E1432" s="11">
        <v>1250</v>
      </c>
      <c r="F1432" s="3" t="s">
        <v>8</v>
      </c>
      <c r="G1432" s="46">
        <v>18</v>
      </c>
      <c r="H1432" s="3">
        <v>0</v>
      </c>
      <c r="I1432" s="46">
        <v>0</v>
      </c>
      <c r="J1432" s="55">
        <v>0</v>
      </c>
      <c r="K1432" s="1">
        <v>0</v>
      </c>
      <c r="L1432" s="51">
        <f t="shared" ref="L1432" si="1291">(IF(F1432="SELL",IF(I1432="",0,H1432-I1432),IF(F1432="BUY",IF(I1432="",0,I1432-H1432))))*E1432</f>
        <v>0</v>
      </c>
      <c r="M1432" s="52">
        <v>0</v>
      </c>
      <c r="N1432" s="2">
        <f t="shared" si="1227"/>
        <v>0</v>
      </c>
      <c r="O1432" s="2">
        <f t="shared" si="1242"/>
        <v>0</v>
      </c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</row>
    <row r="1433" spans="1:33" s="14" customFormat="1">
      <c r="A1433" s="10">
        <v>43252</v>
      </c>
      <c r="B1433" s="3" t="s">
        <v>314</v>
      </c>
      <c r="C1433" s="15" t="s">
        <v>47</v>
      </c>
      <c r="D1433" s="15">
        <v>1850</v>
      </c>
      <c r="E1433" s="11">
        <v>500</v>
      </c>
      <c r="F1433" s="3" t="s">
        <v>8</v>
      </c>
      <c r="G1433" s="46">
        <v>38</v>
      </c>
      <c r="H1433" s="3">
        <v>42</v>
      </c>
      <c r="I1433" s="46">
        <v>0</v>
      </c>
      <c r="J1433" s="55">
        <v>0</v>
      </c>
      <c r="K1433" s="1">
        <f t="shared" ref="K1433" si="1292">(IF(F1433="SELL",G1433-H1433,IF(F1433="BUY",H1433-G1433)))*E1433</f>
        <v>2000</v>
      </c>
      <c r="L1433" s="51">
        <v>0</v>
      </c>
      <c r="M1433" s="52">
        <v>0</v>
      </c>
      <c r="N1433" s="2">
        <f t="shared" si="1227"/>
        <v>4</v>
      </c>
      <c r="O1433" s="2">
        <f t="shared" si="1242"/>
        <v>2000</v>
      </c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</row>
    <row r="1434" spans="1:33" s="14" customFormat="1">
      <c r="A1434" s="10">
        <v>43252</v>
      </c>
      <c r="B1434" s="3" t="s">
        <v>313</v>
      </c>
      <c r="C1434" s="15" t="s">
        <v>47</v>
      </c>
      <c r="D1434" s="15">
        <v>125</v>
      </c>
      <c r="E1434" s="11">
        <v>6000</v>
      </c>
      <c r="F1434" s="3" t="s">
        <v>8</v>
      </c>
      <c r="G1434" s="46">
        <v>2.75</v>
      </c>
      <c r="H1434" s="3">
        <v>3</v>
      </c>
      <c r="I1434" s="46">
        <v>3.25</v>
      </c>
      <c r="J1434" s="55">
        <v>0</v>
      </c>
      <c r="K1434" s="1">
        <f t="shared" ref="K1434" si="1293">(IF(F1434="SELL",G1434-H1434,IF(F1434="BUY",H1434-G1434)))*E1434</f>
        <v>1500</v>
      </c>
      <c r="L1434" s="51">
        <f t="shared" ref="L1434" si="1294">(IF(F1434="SELL",IF(I1434="",0,H1434-I1434),IF(F1434="BUY",IF(I1434="",0,I1434-H1434))))*E1434</f>
        <v>1500</v>
      </c>
      <c r="M1434" s="52">
        <v>0</v>
      </c>
      <c r="N1434" s="2">
        <f t="shared" si="1227"/>
        <v>0.5</v>
      </c>
      <c r="O1434" s="2">
        <f t="shared" si="1242"/>
        <v>3000</v>
      </c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</row>
    <row r="1435" spans="1:33" s="14" customFormat="1">
      <c r="A1435" s="10">
        <v>43252</v>
      </c>
      <c r="B1435" s="3" t="s">
        <v>312</v>
      </c>
      <c r="C1435" s="15" t="s">
        <v>47</v>
      </c>
      <c r="D1435" s="15">
        <v>410</v>
      </c>
      <c r="E1435" s="11">
        <v>1600</v>
      </c>
      <c r="F1435" s="3" t="s">
        <v>8</v>
      </c>
      <c r="G1435" s="46">
        <v>10</v>
      </c>
      <c r="H1435" s="3">
        <v>11</v>
      </c>
      <c r="I1435" s="46">
        <v>0</v>
      </c>
      <c r="J1435" s="55">
        <v>0</v>
      </c>
      <c r="K1435" s="1">
        <f t="shared" ref="K1435" si="1295">(IF(F1435="SELL",G1435-H1435,IF(F1435="BUY",H1435-G1435)))*E1435</f>
        <v>1600</v>
      </c>
      <c r="L1435" s="51">
        <v>0</v>
      </c>
      <c r="M1435" s="52">
        <v>0</v>
      </c>
      <c r="N1435" s="2">
        <f t="shared" si="1227"/>
        <v>1</v>
      </c>
      <c r="O1435" s="2">
        <f t="shared" si="1242"/>
        <v>1600</v>
      </c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</row>
    <row r="1436" spans="1:33" s="14" customFormat="1">
      <c r="A1436" s="10">
        <v>43251</v>
      </c>
      <c r="B1436" s="3" t="s">
        <v>311</v>
      </c>
      <c r="C1436" s="15" t="s">
        <v>47</v>
      </c>
      <c r="D1436" s="15">
        <v>1340</v>
      </c>
      <c r="E1436" s="11">
        <v>400</v>
      </c>
      <c r="F1436" s="3" t="s">
        <v>8</v>
      </c>
      <c r="G1436" s="46">
        <v>6.15</v>
      </c>
      <c r="H1436" s="3">
        <v>9.15</v>
      </c>
      <c r="I1436" s="46">
        <v>14</v>
      </c>
      <c r="J1436" s="55">
        <v>19.649999999999999</v>
      </c>
      <c r="K1436" s="1">
        <f t="shared" ref="K1436" si="1296">(IF(F1436="SELL",G1436-H1436,IF(F1436="BUY",H1436-G1436)))*E1436</f>
        <v>1200</v>
      </c>
      <c r="L1436" s="51">
        <f t="shared" ref="L1436" si="1297">(IF(F1436="SELL",IF(I1436="",0,H1436-I1436),IF(F1436="BUY",IF(I1436="",0,I1436-H1436))))*E1436</f>
        <v>1939.9999999999998</v>
      </c>
      <c r="M1436" s="52">
        <v>2260</v>
      </c>
      <c r="N1436" s="2">
        <f t="shared" si="1227"/>
        <v>13.5</v>
      </c>
      <c r="O1436" s="2">
        <f t="shared" si="1242"/>
        <v>5400</v>
      </c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</row>
    <row r="1437" spans="1:33" s="14" customFormat="1">
      <c r="A1437" s="10">
        <v>43250</v>
      </c>
      <c r="B1437" s="3" t="s">
        <v>310</v>
      </c>
      <c r="C1437" s="15" t="s">
        <v>47</v>
      </c>
      <c r="D1437" s="15">
        <v>165</v>
      </c>
      <c r="E1437" s="11">
        <v>4000</v>
      </c>
      <c r="F1437" s="3" t="s">
        <v>8</v>
      </c>
      <c r="G1437" s="46">
        <v>2.1</v>
      </c>
      <c r="H1437" s="3">
        <v>2.5</v>
      </c>
      <c r="I1437" s="46">
        <v>3.5</v>
      </c>
      <c r="J1437" s="55">
        <v>0</v>
      </c>
      <c r="K1437" s="1">
        <f t="shared" ref="K1437" si="1298">(IF(F1437="SELL",G1437-H1437,IF(F1437="BUY",H1437-G1437)))*E1437</f>
        <v>1599.9999999999995</v>
      </c>
      <c r="L1437" s="51">
        <f t="shared" ref="L1437" si="1299">(IF(F1437="SELL",IF(I1437="",0,H1437-I1437),IF(F1437="BUY",IF(I1437="",0,I1437-H1437))))*E1437</f>
        <v>4000</v>
      </c>
      <c r="M1437" s="52">
        <v>0</v>
      </c>
      <c r="N1437" s="2">
        <f t="shared" si="1227"/>
        <v>1.4</v>
      </c>
      <c r="O1437" s="2">
        <f t="shared" si="1242"/>
        <v>5600</v>
      </c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</row>
    <row r="1438" spans="1:33" s="14" customFormat="1">
      <c r="A1438" s="10">
        <v>43250</v>
      </c>
      <c r="B1438" s="3" t="s">
        <v>96</v>
      </c>
      <c r="C1438" s="15" t="s">
        <v>47</v>
      </c>
      <c r="D1438" s="15">
        <v>890</v>
      </c>
      <c r="E1438" s="11">
        <v>1000</v>
      </c>
      <c r="F1438" s="3" t="s">
        <v>8</v>
      </c>
      <c r="G1438" s="46">
        <v>8.5</v>
      </c>
      <c r="H1438" s="3">
        <v>10</v>
      </c>
      <c r="I1438" s="46">
        <v>13.2</v>
      </c>
      <c r="J1438" s="55">
        <v>0</v>
      </c>
      <c r="K1438" s="1">
        <f t="shared" ref="K1438" si="1300">(IF(F1438="SELL",G1438-H1438,IF(F1438="BUY",H1438-G1438)))*E1438</f>
        <v>1500</v>
      </c>
      <c r="L1438" s="51">
        <f t="shared" ref="L1438" si="1301">(IF(F1438="SELL",IF(I1438="",0,H1438-I1438),IF(F1438="BUY",IF(I1438="",0,I1438-H1438))))*E1438</f>
        <v>3199.9999999999991</v>
      </c>
      <c r="M1438" s="52">
        <v>0</v>
      </c>
      <c r="N1438" s="2">
        <f t="shared" si="1227"/>
        <v>4.6999999999999993</v>
      </c>
      <c r="O1438" s="2">
        <f t="shared" si="1242"/>
        <v>4699.9999999999991</v>
      </c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</row>
    <row r="1439" spans="1:33" s="14" customFormat="1">
      <c r="A1439" s="10">
        <v>43249</v>
      </c>
      <c r="B1439" s="3" t="s">
        <v>309</v>
      </c>
      <c r="C1439" s="15" t="s">
        <v>47</v>
      </c>
      <c r="D1439" s="15">
        <v>1950</v>
      </c>
      <c r="E1439" s="11">
        <v>500</v>
      </c>
      <c r="F1439" s="3" t="s">
        <v>8</v>
      </c>
      <c r="G1439" s="46">
        <v>40</v>
      </c>
      <c r="H1439" s="3">
        <v>30</v>
      </c>
      <c r="I1439" s="46">
        <v>0</v>
      </c>
      <c r="J1439" s="55">
        <v>0</v>
      </c>
      <c r="K1439" s="1">
        <f t="shared" ref="K1439" si="1302">(IF(F1439="SELL",G1439-H1439,IF(F1439="BUY",H1439-G1439)))*E1439</f>
        <v>-5000</v>
      </c>
      <c r="L1439" s="51">
        <v>0</v>
      </c>
      <c r="M1439" s="52">
        <v>0</v>
      </c>
      <c r="N1439" s="2">
        <f t="shared" si="1227"/>
        <v>-10</v>
      </c>
      <c r="O1439" s="2">
        <f t="shared" si="1242"/>
        <v>-5000</v>
      </c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</row>
    <row r="1440" spans="1:33" s="14" customFormat="1">
      <c r="A1440" s="10">
        <v>43248</v>
      </c>
      <c r="B1440" s="3" t="s">
        <v>308</v>
      </c>
      <c r="C1440" s="15" t="s">
        <v>47</v>
      </c>
      <c r="D1440" s="15">
        <v>1050</v>
      </c>
      <c r="E1440" s="11">
        <v>500</v>
      </c>
      <c r="F1440" s="3" t="s">
        <v>8</v>
      </c>
      <c r="G1440" s="46">
        <v>10</v>
      </c>
      <c r="H1440" s="3">
        <v>12</v>
      </c>
      <c r="I1440" s="46">
        <v>15</v>
      </c>
      <c r="J1440" s="55">
        <v>20</v>
      </c>
      <c r="K1440" s="1">
        <f t="shared" ref="K1440" si="1303">(IF(F1440="SELL",G1440-H1440,IF(F1440="BUY",H1440-G1440)))*E1440</f>
        <v>1000</v>
      </c>
      <c r="L1440" s="51">
        <f t="shared" ref="L1440" si="1304">(IF(F1440="SELL",IF(I1440="",0,H1440-I1440),IF(F1440="BUY",IF(I1440="",0,I1440-H1440))))*E1440</f>
        <v>1500</v>
      </c>
      <c r="M1440" s="52">
        <v>3000</v>
      </c>
      <c r="N1440" s="2">
        <f t="shared" si="1227"/>
        <v>11</v>
      </c>
      <c r="O1440" s="2">
        <f t="shared" si="1242"/>
        <v>5500</v>
      </c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</row>
    <row r="1441" spans="1:33" s="14" customFormat="1">
      <c r="A1441" s="10">
        <v>43248</v>
      </c>
      <c r="B1441" s="3" t="s">
        <v>307</v>
      </c>
      <c r="C1441" s="15" t="s">
        <v>47</v>
      </c>
      <c r="D1441" s="15">
        <v>390</v>
      </c>
      <c r="E1441" s="11">
        <v>1600</v>
      </c>
      <c r="F1441" s="3" t="s">
        <v>8</v>
      </c>
      <c r="G1441" s="46">
        <v>8.5</v>
      </c>
      <c r="H1441" s="3">
        <v>9.5</v>
      </c>
      <c r="I1441" s="46">
        <v>11</v>
      </c>
      <c r="J1441" s="55">
        <v>0</v>
      </c>
      <c r="K1441" s="1">
        <f t="shared" ref="K1441" si="1305">(IF(F1441="SELL",G1441-H1441,IF(F1441="BUY",H1441-G1441)))*E1441</f>
        <v>1600</v>
      </c>
      <c r="L1441" s="51">
        <f t="shared" ref="L1441" si="1306">(IF(F1441="SELL",IF(I1441="",0,H1441-I1441),IF(F1441="BUY",IF(I1441="",0,I1441-H1441))))*E1441</f>
        <v>2400</v>
      </c>
      <c r="M1441" s="52">
        <v>0</v>
      </c>
      <c r="N1441" s="2">
        <f t="shared" si="1227"/>
        <v>2.5</v>
      </c>
      <c r="O1441" s="2">
        <f t="shared" si="1242"/>
        <v>4000</v>
      </c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</row>
    <row r="1442" spans="1:33" s="14" customFormat="1">
      <c r="A1442" s="10">
        <v>43245</v>
      </c>
      <c r="B1442" s="3" t="s">
        <v>211</v>
      </c>
      <c r="C1442" s="15" t="s">
        <v>47</v>
      </c>
      <c r="D1442" s="15">
        <v>1120</v>
      </c>
      <c r="E1442" s="11">
        <v>750</v>
      </c>
      <c r="F1442" s="3" t="s">
        <v>8</v>
      </c>
      <c r="G1442" s="46">
        <v>26</v>
      </c>
      <c r="H1442" s="3">
        <v>28</v>
      </c>
      <c r="I1442" s="46">
        <v>31</v>
      </c>
      <c r="J1442" s="55">
        <v>35</v>
      </c>
      <c r="K1442" s="1">
        <f t="shared" ref="K1442" si="1307">(IF(F1442="SELL",G1442-H1442,IF(F1442="BUY",H1442-G1442)))*E1442</f>
        <v>1500</v>
      </c>
      <c r="L1442" s="51">
        <f t="shared" ref="L1442" si="1308">(IF(F1442="SELL",IF(I1442="",0,H1442-I1442),IF(F1442="BUY",IF(I1442="",0,I1442-H1442))))*E1442</f>
        <v>2250</v>
      </c>
      <c r="M1442" s="52">
        <v>3000</v>
      </c>
      <c r="N1442" s="2">
        <f t="shared" si="1227"/>
        <v>9</v>
      </c>
      <c r="O1442" s="2">
        <f t="shared" si="1242"/>
        <v>6750</v>
      </c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</row>
    <row r="1443" spans="1:33" s="14" customFormat="1">
      <c r="A1443" s="10">
        <v>43245</v>
      </c>
      <c r="B1443" s="3" t="s">
        <v>141</v>
      </c>
      <c r="C1443" s="15" t="s">
        <v>47</v>
      </c>
      <c r="D1443" s="15">
        <v>320</v>
      </c>
      <c r="E1443" s="11">
        <v>3000</v>
      </c>
      <c r="F1443" s="3" t="s">
        <v>8</v>
      </c>
      <c r="G1443" s="46">
        <v>5.5</v>
      </c>
      <c r="H1443" s="3">
        <v>6</v>
      </c>
      <c r="I1443" s="46">
        <v>7</v>
      </c>
      <c r="J1443" s="55">
        <v>8</v>
      </c>
      <c r="K1443" s="1">
        <f t="shared" ref="K1443" si="1309">(IF(F1443="SELL",G1443-H1443,IF(F1443="BUY",H1443-G1443)))*E1443</f>
        <v>1500</v>
      </c>
      <c r="L1443" s="51">
        <f t="shared" ref="L1443" si="1310">(IF(F1443="SELL",IF(I1443="",0,H1443-I1443),IF(F1443="BUY",IF(I1443="",0,I1443-H1443))))*E1443</f>
        <v>3000</v>
      </c>
      <c r="M1443" s="52">
        <v>3000</v>
      </c>
      <c r="N1443" s="2">
        <f t="shared" si="1227"/>
        <v>2.5</v>
      </c>
      <c r="O1443" s="2">
        <f t="shared" si="1242"/>
        <v>7500</v>
      </c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</row>
    <row r="1444" spans="1:33" s="14" customFormat="1">
      <c r="A1444" s="10">
        <v>43244</v>
      </c>
      <c r="B1444" s="3" t="s">
        <v>306</v>
      </c>
      <c r="C1444" s="15" t="s">
        <v>47</v>
      </c>
      <c r="D1444" s="15">
        <v>75</v>
      </c>
      <c r="E1444" s="11">
        <v>6000</v>
      </c>
      <c r="F1444" s="3" t="s">
        <v>8</v>
      </c>
      <c r="G1444" s="46">
        <v>2.5</v>
      </c>
      <c r="H1444" s="3">
        <v>2.8</v>
      </c>
      <c r="I1444" s="46">
        <v>3.5</v>
      </c>
      <c r="J1444" s="55">
        <v>0</v>
      </c>
      <c r="K1444" s="1">
        <f t="shared" ref="K1444" si="1311">(IF(F1444="SELL",G1444-H1444,IF(F1444="BUY",H1444-G1444)))*E1444</f>
        <v>1799.9999999999989</v>
      </c>
      <c r="L1444" s="51">
        <f t="shared" ref="L1444" si="1312">(IF(F1444="SELL",IF(I1444="",0,H1444-I1444),IF(F1444="BUY",IF(I1444="",0,I1444-H1444))))*E1444</f>
        <v>4200.0000000000009</v>
      </c>
      <c r="M1444" s="52">
        <v>0</v>
      </c>
      <c r="N1444" s="2">
        <f t="shared" si="1227"/>
        <v>1</v>
      </c>
      <c r="O1444" s="2">
        <f t="shared" si="1242"/>
        <v>6000</v>
      </c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</row>
    <row r="1445" spans="1:33" s="14" customFormat="1">
      <c r="A1445" s="10">
        <v>43244</v>
      </c>
      <c r="B1445" s="3" t="s">
        <v>196</v>
      </c>
      <c r="C1445" s="15" t="s">
        <v>47</v>
      </c>
      <c r="D1445" s="15">
        <v>710</v>
      </c>
      <c r="E1445" s="11">
        <v>1200</v>
      </c>
      <c r="F1445" s="3" t="s">
        <v>8</v>
      </c>
      <c r="G1445" s="46">
        <v>19.3</v>
      </c>
      <c r="H1445" s="3">
        <v>20.5</v>
      </c>
      <c r="I1445" s="46">
        <v>0</v>
      </c>
      <c r="J1445" s="55">
        <v>0</v>
      </c>
      <c r="K1445" s="1">
        <f t="shared" ref="K1445" si="1313">(IF(F1445="SELL",G1445-H1445,IF(F1445="BUY",H1445-G1445)))*E1445</f>
        <v>1439.9999999999991</v>
      </c>
      <c r="L1445" s="51">
        <v>0</v>
      </c>
      <c r="M1445" s="52">
        <v>0</v>
      </c>
      <c r="N1445" s="2">
        <f t="shared" si="1227"/>
        <v>1.1999999999999993</v>
      </c>
      <c r="O1445" s="2">
        <f t="shared" si="1242"/>
        <v>1439.9999999999991</v>
      </c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</row>
    <row r="1446" spans="1:33" s="14" customFormat="1">
      <c r="A1446" s="10">
        <v>43244</v>
      </c>
      <c r="B1446" s="3" t="s">
        <v>213</v>
      </c>
      <c r="C1446" s="15" t="s">
        <v>47</v>
      </c>
      <c r="D1446" s="15">
        <v>390</v>
      </c>
      <c r="E1446" s="11">
        <v>2000</v>
      </c>
      <c r="F1446" s="3" t="s">
        <v>8</v>
      </c>
      <c r="G1446" s="46">
        <v>5.5</v>
      </c>
      <c r="H1446" s="3">
        <v>6.5</v>
      </c>
      <c r="I1446" s="46">
        <v>0</v>
      </c>
      <c r="J1446" s="55">
        <v>0</v>
      </c>
      <c r="K1446" s="1">
        <f t="shared" ref="K1446" si="1314">(IF(F1446="SELL",G1446-H1446,IF(F1446="BUY",H1446-G1446)))*E1446</f>
        <v>2000</v>
      </c>
      <c r="L1446" s="51">
        <v>0</v>
      </c>
      <c r="M1446" s="52">
        <v>0</v>
      </c>
      <c r="N1446" s="2">
        <f t="shared" ref="N1446:N1509" si="1315">(L1446+K1446+M1446)/E1446</f>
        <v>1</v>
      </c>
      <c r="O1446" s="2">
        <f t="shared" si="1242"/>
        <v>2000</v>
      </c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</row>
    <row r="1447" spans="1:33" s="14" customFormat="1">
      <c r="A1447" s="10">
        <v>43244</v>
      </c>
      <c r="B1447" s="3" t="s">
        <v>211</v>
      </c>
      <c r="C1447" s="15" t="s">
        <v>47</v>
      </c>
      <c r="D1447" s="15">
        <v>1100</v>
      </c>
      <c r="E1447" s="11">
        <v>750</v>
      </c>
      <c r="F1447" s="3" t="s">
        <v>8</v>
      </c>
      <c r="G1447" s="46">
        <v>30.5</v>
      </c>
      <c r="H1447" s="3">
        <v>21</v>
      </c>
      <c r="I1447" s="46">
        <v>0</v>
      </c>
      <c r="J1447" s="55">
        <v>0</v>
      </c>
      <c r="K1447" s="1">
        <f t="shared" ref="K1447" si="1316">(IF(F1447="SELL",G1447-H1447,IF(F1447="BUY",H1447-G1447)))*E1447</f>
        <v>-7125</v>
      </c>
      <c r="L1447" s="51">
        <v>0</v>
      </c>
      <c r="M1447" s="52">
        <v>0</v>
      </c>
      <c r="N1447" s="2">
        <f t="shared" si="1315"/>
        <v>-9.5</v>
      </c>
      <c r="O1447" s="2">
        <f t="shared" si="1242"/>
        <v>-7125</v>
      </c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</row>
    <row r="1448" spans="1:33" s="14" customFormat="1">
      <c r="A1448" s="10">
        <v>43243</v>
      </c>
      <c r="B1448" s="3" t="s">
        <v>264</v>
      </c>
      <c r="C1448" s="15" t="s">
        <v>47</v>
      </c>
      <c r="D1448" s="15">
        <v>255</v>
      </c>
      <c r="E1448" s="11">
        <v>4500</v>
      </c>
      <c r="F1448" s="3" t="s">
        <v>8</v>
      </c>
      <c r="G1448" s="46">
        <v>6.5</v>
      </c>
      <c r="H1448" s="3">
        <v>7</v>
      </c>
      <c r="I1448" s="46">
        <v>8</v>
      </c>
      <c r="J1448" s="55">
        <v>9</v>
      </c>
      <c r="K1448" s="1">
        <f t="shared" ref="K1448" si="1317">(IF(F1448="SELL",G1448-H1448,IF(F1448="BUY",H1448-G1448)))*E1448</f>
        <v>2250</v>
      </c>
      <c r="L1448" s="51">
        <f t="shared" ref="L1448" si="1318">(IF(F1448="SELL",IF(I1448="",0,H1448-I1448),IF(F1448="BUY",IF(I1448="",0,I1448-H1448))))*E1448</f>
        <v>4500</v>
      </c>
      <c r="M1448" s="52">
        <v>3000</v>
      </c>
      <c r="N1448" s="2">
        <f t="shared" si="1315"/>
        <v>2.1666666666666665</v>
      </c>
      <c r="O1448" s="2">
        <f t="shared" si="1242"/>
        <v>9750</v>
      </c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</row>
    <row r="1449" spans="1:33" s="14" customFormat="1">
      <c r="A1449" s="10">
        <v>43243</v>
      </c>
      <c r="B1449" s="3" t="s">
        <v>196</v>
      </c>
      <c r="C1449" s="15" t="s">
        <v>47</v>
      </c>
      <c r="D1449" s="15">
        <v>700</v>
      </c>
      <c r="E1449" s="11">
        <v>1200</v>
      </c>
      <c r="F1449" s="3" t="s">
        <v>8</v>
      </c>
      <c r="G1449" s="46">
        <v>18</v>
      </c>
      <c r="H1449" s="3">
        <v>20</v>
      </c>
      <c r="I1449" s="46">
        <v>23</v>
      </c>
      <c r="J1449" s="55">
        <v>0</v>
      </c>
      <c r="K1449" s="1">
        <f t="shared" ref="K1449" si="1319">(IF(F1449="SELL",G1449-H1449,IF(F1449="BUY",H1449-G1449)))*E1449</f>
        <v>2400</v>
      </c>
      <c r="L1449" s="51">
        <f t="shared" ref="L1449" si="1320">(IF(F1449="SELL",IF(I1449="",0,H1449-I1449),IF(F1449="BUY",IF(I1449="",0,I1449-H1449))))*E1449</f>
        <v>3600</v>
      </c>
      <c r="M1449" s="52">
        <v>0</v>
      </c>
      <c r="N1449" s="2">
        <f t="shared" si="1315"/>
        <v>5</v>
      </c>
      <c r="O1449" s="2">
        <f t="shared" si="1242"/>
        <v>6000</v>
      </c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</row>
    <row r="1450" spans="1:33" s="14" customFormat="1">
      <c r="A1450" s="10">
        <v>43243</v>
      </c>
      <c r="B1450" s="3" t="s">
        <v>211</v>
      </c>
      <c r="C1450" s="15" t="s">
        <v>47</v>
      </c>
      <c r="D1450" s="15">
        <v>1080</v>
      </c>
      <c r="E1450" s="11">
        <v>750</v>
      </c>
      <c r="F1450" s="3" t="s">
        <v>8</v>
      </c>
      <c r="G1450" s="46">
        <v>26</v>
      </c>
      <c r="H1450" s="3">
        <v>28</v>
      </c>
      <c r="I1450" s="46">
        <v>32</v>
      </c>
      <c r="J1450" s="55">
        <v>0</v>
      </c>
      <c r="K1450" s="1">
        <f t="shared" ref="K1450" si="1321">(IF(F1450="SELL",G1450-H1450,IF(F1450="BUY",H1450-G1450)))*E1450</f>
        <v>1500</v>
      </c>
      <c r="L1450" s="51">
        <f t="shared" ref="L1450" si="1322">(IF(F1450="SELL",IF(I1450="",0,H1450-I1450),IF(F1450="BUY",IF(I1450="",0,I1450-H1450))))*E1450</f>
        <v>3000</v>
      </c>
      <c r="M1450" s="52">
        <v>0</v>
      </c>
      <c r="N1450" s="2">
        <f t="shared" si="1315"/>
        <v>6</v>
      </c>
      <c r="O1450" s="2">
        <f t="shared" si="1242"/>
        <v>4500</v>
      </c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</row>
    <row r="1451" spans="1:33" s="14" customFormat="1">
      <c r="A1451" s="10">
        <v>43243</v>
      </c>
      <c r="B1451" s="3" t="s">
        <v>305</v>
      </c>
      <c r="C1451" s="15" t="s">
        <v>47</v>
      </c>
      <c r="D1451" s="15">
        <v>105</v>
      </c>
      <c r="E1451" s="11">
        <v>9000</v>
      </c>
      <c r="F1451" s="3" t="s">
        <v>8</v>
      </c>
      <c r="G1451" s="46">
        <v>3.15</v>
      </c>
      <c r="H1451" s="3">
        <v>3.4</v>
      </c>
      <c r="I1451" s="46">
        <v>0</v>
      </c>
      <c r="J1451" s="55">
        <v>0</v>
      </c>
      <c r="K1451" s="1">
        <f t="shared" ref="K1451" si="1323">(IF(F1451="SELL",G1451-H1451,IF(F1451="BUY",H1451-G1451)))*E1451</f>
        <v>2250</v>
      </c>
      <c r="L1451" s="51">
        <v>0</v>
      </c>
      <c r="M1451" s="52">
        <v>0</v>
      </c>
      <c r="N1451" s="2">
        <f t="shared" si="1315"/>
        <v>0.25</v>
      </c>
      <c r="O1451" s="2">
        <f t="shared" si="1242"/>
        <v>2250</v>
      </c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</row>
    <row r="1452" spans="1:33" s="14" customFormat="1">
      <c r="A1452" s="10">
        <v>43242</v>
      </c>
      <c r="B1452" s="3" t="s">
        <v>198</v>
      </c>
      <c r="C1452" s="15" t="s">
        <v>47</v>
      </c>
      <c r="D1452" s="15">
        <v>250</v>
      </c>
      <c r="E1452" s="11">
        <v>3000</v>
      </c>
      <c r="F1452" s="3" t="s">
        <v>8</v>
      </c>
      <c r="G1452" s="46">
        <v>6.5</v>
      </c>
      <c r="H1452" s="3">
        <v>7</v>
      </c>
      <c r="I1452" s="46">
        <v>8</v>
      </c>
      <c r="J1452" s="55">
        <v>9</v>
      </c>
      <c r="K1452" s="1">
        <f t="shared" ref="K1452" si="1324">(IF(F1452="SELL",G1452-H1452,IF(F1452="BUY",H1452-G1452)))*E1452</f>
        <v>1500</v>
      </c>
      <c r="L1452" s="51">
        <f t="shared" ref="L1452" si="1325">(IF(F1452="SELL",IF(I1452="",0,H1452-I1452),IF(F1452="BUY",IF(I1452="",0,I1452-H1452))))*E1452</f>
        <v>3000</v>
      </c>
      <c r="M1452" s="52">
        <v>3000</v>
      </c>
      <c r="N1452" s="2">
        <f t="shared" si="1315"/>
        <v>2.5</v>
      </c>
      <c r="O1452" s="2">
        <f t="shared" si="1242"/>
        <v>7500</v>
      </c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</row>
    <row r="1453" spans="1:33" s="14" customFormat="1">
      <c r="A1453" s="10">
        <v>43242</v>
      </c>
      <c r="B1453" s="3" t="s">
        <v>304</v>
      </c>
      <c r="C1453" s="15" t="s">
        <v>47</v>
      </c>
      <c r="D1453" s="15">
        <v>290</v>
      </c>
      <c r="E1453" s="11">
        <v>2200</v>
      </c>
      <c r="F1453" s="3" t="s">
        <v>8</v>
      </c>
      <c r="G1453" s="46">
        <v>7.5</v>
      </c>
      <c r="H1453" s="3">
        <v>8.5</v>
      </c>
      <c r="I1453" s="46">
        <v>0</v>
      </c>
      <c r="J1453" s="55">
        <v>0</v>
      </c>
      <c r="K1453" s="1">
        <f t="shared" ref="K1453" si="1326">(IF(F1453="SELL",G1453-H1453,IF(F1453="BUY",H1453-G1453)))*E1453</f>
        <v>2200</v>
      </c>
      <c r="L1453" s="51">
        <v>0</v>
      </c>
      <c r="M1453" s="52">
        <v>0</v>
      </c>
      <c r="N1453" s="2">
        <f t="shared" si="1315"/>
        <v>1</v>
      </c>
      <c r="O1453" s="2">
        <f t="shared" si="1242"/>
        <v>2200</v>
      </c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</row>
    <row r="1454" spans="1:33" s="14" customFormat="1">
      <c r="A1454" s="10">
        <v>43242</v>
      </c>
      <c r="B1454" s="3" t="s">
        <v>303</v>
      </c>
      <c r="C1454" s="15" t="s">
        <v>47</v>
      </c>
      <c r="D1454" s="15">
        <v>580</v>
      </c>
      <c r="E1454" s="11">
        <v>800</v>
      </c>
      <c r="F1454" s="3" t="s">
        <v>8</v>
      </c>
      <c r="G1454" s="46">
        <v>15.1</v>
      </c>
      <c r="H1454" s="3">
        <v>17</v>
      </c>
      <c r="I1454" s="46">
        <v>0</v>
      </c>
      <c r="J1454" s="55">
        <v>0</v>
      </c>
      <c r="K1454" s="1">
        <f t="shared" ref="K1454" si="1327">(IF(F1454="SELL",G1454-H1454,IF(F1454="BUY",H1454-G1454)))*E1454</f>
        <v>1520.0000000000002</v>
      </c>
      <c r="L1454" s="51">
        <v>0</v>
      </c>
      <c r="M1454" s="52">
        <v>0</v>
      </c>
      <c r="N1454" s="2">
        <f t="shared" si="1315"/>
        <v>1.9000000000000004</v>
      </c>
      <c r="O1454" s="2">
        <f t="shared" si="1242"/>
        <v>1520.0000000000002</v>
      </c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</row>
    <row r="1455" spans="1:33" s="14" customFormat="1">
      <c r="A1455" s="10">
        <v>43241</v>
      </c>
      <c r="B1455" s="3" t="s">
        <v>302</v>
      </c>
      <c r="C1455" s="15" t="s">
        <v>46</v>
      </c>
      <c r="D1455" s="15">
        <v>225</v>
      </c>
      <c r="E1455" s="11">
        <v>3500</v>
      </c>
      <c r="F1455" s="3" t="s">
        <v>8</v>
      </c>
      <c r="G1455" s="46">
        <v>4.5999999999999996</v>
      </c>
      <c r="H1455" s="3">
        <v>5</v>
      </c>
      <c r="I1455" s="46">
        <v>5.7</v>
      </c>
      <c r="J1455" s="55">
        <v>0</v>
      </c>
      <c r="K1455" s="1">
        <f t="shared" ref="K1455" si="1328">(IF(F1455="SELL",G1455-H1455,IF(F1455="BUY",H1455-G1455)))*E1455</f>
        <v>1400.0000000000011</v>
      </c>
      <c r="L1455" s="51">
        <f t="shared" ref="L1455" si="1329">(IF(F1455="SELL",IF(I1455="",0,H1455-I1455),IF(F1455="BUY",IF(I1455="",0,I1455-H1455))))*E1455</f>
        <v>2450.0000000000005</v>
      </c>
      <c r="M1455" s="52">
        <v>0</v>
      </c>
      <c r="N1455" s="2">
        <f t="shared" si="1315"/>
        <v>1.1000000000000005</v>
      </c>
      <c r="O1455" s="2">
        <f t="shared" si="1242"/>
        <v>3850.0000000000018</v>
      </c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</row>
    <row r="1456" spans="1:33" s="14" customFormat="1">
      <c r="A1456" s="10">
        <v>43241</v>
      </c>
      <c r="B1456" s="3" t="s">
        <v>252</v>
      </c>
      <c r="C1456" s="15" t="s">
        <v>46</v>
      </c>
      <c r="D1456" s="15">
        <v>120</v>
      </c>
      <c r="E1456" s="11">
        <v>4000</v>
      </c>
      <c r="F1456" s="3" t="s">
        <v>8</v>
      </c>
      <c r="G1456" s="46">
        <v>6.35</v>
      </c>
      <c r="H1456" s="3">
        <v>6.75</v>
      </c>
      <c r="I1456" s="46">
        <v>0</v>
      </c>
      <c r="J1456" s="55">
        <v>0</v>
      </c>
      <c r="K1456" s="1">
        <f t="shared" ref="K1456" si="1330">(IF(F1456="SELL",G1456-H1456,IF(F1456="BUY",H1456-G1456)))*E1456</f>
        <v>1600.0000000000014</v>
      </c>
      <c r="L1456" s="51">
        <v>0</v>
      </c>
      <c r="M1456" s="52">
        <v>0</v>
      </c>
      <c r="N1456" s="2">
        <f t="shared" si="1315"/>
        <v>0.40000000000000036</v>
      </c>
      <c r="O1456" s="2">
        <f t="shared" si="1242"/>
        <v>1600.0000000000014</v>
      </c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</row>
    <row r="1457" spans="1:33" s="14" customFormat="1">
      <c r="A1457" s="10">
        <v>43238</v>
      </c>
      <c r="B1457" s="3" t="s">
        <v>198</v>
      </c>
      <c r="C1457" s="15" t="s">
        <v>46</v>
      </c>
      <c r="D1457" s="15">
        <v>235</v>
      </c>
      <c r="E1457" s="11">
        <v>3000</v>
      </c>
      <c r="F1457" s="3" t="s">
        <v>8</v>
      </c>
      <c r="G1457" s="46">
        <v>5.75</v>
      </c>
      <c r="H1457" s="3">
        <v>6.25</v>
      </c>
      <c r="I1457" s="46">
        <v>0</v>
      </c>
      <c r="J1457" s="55">
        <v>0</v>
      </c>
      <c r="K1457" s="1">
        <f t="shared" ref="K1457" si="1331">(IF(F1457="SELL",G1457-H1457,IF(F1457="BUY",H1457-G1457)))*E1457</f>
        <v>1500</v>
      </c>
      <c r="L1457" s="51">
        <v>0</v>
      </c>
      <c r="M1457" s="52">
        <v>0</v>
      </c>
      <c r="N1457" s="2">
        <f t="shared" si="1315"/>
        <v>0.5</v>
      </c>
      <c r="O1457" s="2">
        <f t="shared" ref="O1457:O1520" si="1332">N1457*E1457</f>
        <v>1500</v>
      </c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</row>
    <row r="1458" spans="1:33" s="14" customFormat="1">
      <c r="A1458" s="10">
        <v>43238</v>
      </c>
      <c r="B1458" s="3" t="s">
        <v>196</v>
      </c>
      <c r="C1458" s="15" t="s">
        <v>47</v>
      </c>
      <c r="D1458" s="15">
        <v>700</v>
      </c>
      <c r="E1458" s="11">
        <v>1200</v>
      </c>
      <c r="F1458" s="3" t="s">
        <v>8</v>
      </c>
      <c r="G1458" s="46">
        <v>17.2</v>
      </c>
      <c r="H1458" s="3">
        <v>18.2</v>
      </c>
      <c r="I1458" s="46">
        <v>0</v>
      </c>
      <c r="J1458" s="55">
        <v>0</v>
      </c>
      <c r="K1458" s="1">
        <f t="shared" ref="K1458" si="1333">(IF(F1458="SELL",G1458-H1458,IF(F1458="BUY",H1458-G1458)))*E1458</f>
        <v>1200</v>
      </c>
      <c r="L1458" s="51">
        <v>0</v>
      </c>
      <c r="M1458" s="52">
        <v>0</v>
      </c>
      <c r="N1458" s="2">
        <f t="shared" si="1315"/>
        <v>1</v>
      </c>
      <c r="O1458" s="2">
        <f t="shared" si="1332"/>
        <v>1200</v>
      </c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</row>
    <row r="1459" spans="1:33" s="14" customFormat="1">
      <c r="A1459" s="10">
        <v>43238</v>
      </c>
      <c r="B1459" s="3" t="s">
        <v>213</v>
      </c>
      <c r="C1459" s="15" t="s">
        <v>47</v>
      </c>
      <c r="D1459" s="15">
        <v>410</v>
      </c>
      <c r="E1459" s="11">
        <v>2000</v>
      </c>
      <c r="F1459" s="3" t="s">
        <v>8</v>
      </c>
      <c r="G1459" s="46">
        <v>8.8000000000000007</v>
      </c>
      <c r="H1459" s="3">
        <v>0</v>
      </c>
      <c r="I1459" s="46">
        <v>0</v>
      </c>
      <c r="J1459" s="55">
        <v>0</v>
      </c>
      <c r="K1459" s="1">
        <v>0</v>
      </c>
      <c r="L1459" s="51">
        <f t="shared" ref="L1459" si="1334">(IF(F1459="SELL",IF(I1459="",0,H1459-I1459),IF(F1459="BUY",IF(I1459="",0,I1459-H1459))))*E1459</f>
        <v>0</v>
      </c>
      <c r="M1459" s="52">
        <v>0</v>
      </c>
      <c r="N1459" s="2">
        <f t="shared" si="1315"/>
        <v>0</v>
      </c>
      <c r="O1459" s="2">
        <f t="shared" si="1332"/>
        <v>0</v>
      </c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</row>
    <row r="1460" spans="1:33" s="14" customFormat="1">
      <c r="A1460" s="10">
        <v>43237</v>
      </c>
      <c r="B1460" s="3" t="s">
        <v>301</v>
      </c>
      <c r="C1460" s="15" t="s">
        <v>47</v>
      </c>
      <c r="D1460" s="15">
        <v>120</v>
      </c>
      <c r="E1460" s="11">
        <v>6000</v>
      </c>
      <c r="F1460" s="3" t="s">
        <v>8</v>
      </c>
      <c r="G1460" s="46">
        <v>2.2000000000000002</v>
      </c>
      <c r="H1460" s="3">
        <v>2.5</v>
      </c>
      <c r="I1460" s="46">
        <v>3</v>
      </c>
      <c r="J1460" s="55">
        <v>0</v>
      </c>
      <c r="K1460" s="1">
        <f t="shared" ref="K1460" si="1335">(IF(F1460="SELL",G1460-H1460,IF(F1460="BUY",H1460-G1460)))*E1460</f>
        <v>1799.9999999999989</v>
      </c>
      <c r="L1460" s="51">
        <f t="shared" ref="L1460" si="1336">(IF(F1460="SELL",IF(I1460="",0,H1460-I1460),IF(F1460="BUY",IF(I1460="",0,I1460-H1460))))*E1460</f>
        <v>3000</v>
      </c>
      <c r="M1460" s="52">
        <v>0</v>
      </c>
      <c r="N1460" s="2">
        <f t="shared" si="1315"/>
        <v>0.79999999999999982</v>
      </c>
      <c r="O1460" s="2">
        <f t="shared" si="1332"/>
        <v>4799.9999999999991</v>
      </c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</row>
    <row r="1461" spans="1:33" s="14" customFormat="1">
      <c r="A1461" s="10">
        <v>43237</v>
      </c>
      <c r="B1461" s="3" t="s">
        <v>232</v>
      </c>
      <c r="C1461" s="15" t="s">
        <v>47</v>
      </c>
      <c r="D1461" s="15">
        <v>400</v>
      </c>
      <c r="E1461" s="11">
        <v>1300</v>
      </c>
      <c r="F1461" s="3" t="s">
        <v>8</v>
      </c>
      <c r="G1461" s="46">
        <v>14.5</v>
      </c>
      <c r="H1461" s="3">
        <v>15.5</v>
      </c>
      <c r="I1461" s="46">
        <v>0</v>
      </c>
      <c r="J1461" s="55">
        <v>0</v>
      </c>
      <c r="K1461" s="1">
        <f t="shared" ref="K1461" si="1337">(IF(F1461="SELL",G1461-H1461,IF(F1461="BUY",H1461-G1461)))*E1461</f>
        <v>1300</v>
      </c>
      <c r="L1461" s="51">
        <v>0</v>
      </c>
      <c r="M1461" s="52">
        <f t="shared" ref="M1461:M1470" si="1338">(IF(F1461="SELL",IF(J1461="",0,I1461-J1461),IF(F1461="BUY",IF(J1461="",0,(J1461-I1461)))))*E1461</f>
        <v>0</v>
      </c>
      <c r="N1461" s="2">
        <f t="shared" si="1315"/>
        <v>1</v>
      </c>
      <c r="O1461" s="2">
        <f t="shared" si="1332"/>
        <v>1300</v>
      </c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</row>
    <row r="1462" spans="1:33" s="14" customFormat="1">
      <c r="A1462" s="10">
        <v>43237</v>
      </c>
      <c r="B1462" s="3" t="s">
        <v>251</v>
      </c>
      <c r="C1462" s="15" t="s">
        <v>47</v>
      </c>
      <c r="D1462" s="15">
        <v>1120</v>
      </c>
      <c r="E1462" s="11">
        <v>800</v>
      </c>
      <c r="F1462" s="3" t="s">
        <v>8</v>
      </c>
      <c r="G1462" s="46">
        <v>12.05</v>
      </c>
      <c r="H1462" s="3">
        <v>15</v>
      </c>
      <c r="I1462" s="46">
        <v>0</v>
      </c>
      <c r="J1462" s="55">
        <v>0</v>
      </c>
      <c r="K1462" s="1">
        <f t="shared" ref="K1462" si="1339">(IF(F1462="SELL",G1462-H1462,IF(F1462="BUY",H1462-G1462)))*E1462</f>
        <v>2359.9999999999995</v>
      </c>
      <c r="L1462" s="51">
        <v>0</v>
      </c>
      <c r="M1462" s="52">
        <f t="shared" si="1338"/>
        <v>0</v>
      </c>
      <c r="N1462" s="2">
        <f t="shared" si="1315"/>
        <v>2.9499999999999993</v>
      </c>
      <c r="O1462" s="2">
        <f t="shared" si="1332"/>
        <v>2359.9999999999995</v>
      </c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</row>
    <row r="1463" spans="1:33" s="14" customFormat="1">
      <c r="A1463" s="10">
        <v>43236</v>
      </c>
      <c r="B1463" s="3" t="s">
        <v>141</v>
      </c>
      <c r="C1463" s="15" t="s">
        <v>47</v>
      </c>
      <c r="D1463" s="15">
        <v>440</v>
      </c>
      <c r="E1463" s="11">
        <v>3000</v>
      </c>
      <c r="F1463" s="3" t="s">
        <v>8</v>
      </c>
      <c r="G1463" s="46">
        <v>9.4</v>
      </c>
      <c r="H1463" s="3">
        <v>10</v>
      </c>
      <c r="I1463" s="46">
        <v>0</v>
      </c>
      <c r="J1463" s="55">
        <v>0</v>
      </c>
      <c r="K1463" s="1">
        <f t="shared" ref="K1463" si="1340">(IF(F1463="SELL",G1463-H1463,IF(F1463="BUY",H1463-G1463)))*E1463</f>
        <v>1799.9999999999989</v>
      </c>
      <c r="L1463" s="51">
        <v>0</v>
      </c>
      <c r="M1463" s="52">
        <f t="shared" si="1338"/>
        <v>0</v>
      </c>
      <c r="N1463" s="2">
        <f t="shared" si="1315"/>
        <v>0.59999999999999964</v>
      </c>
      <c r="O1463" s="2">
        <f t="shared" si="1332"/>
        <v>1799.9999999999989</v>
      </c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</row>
    <row r="1464" spans="1:33" s="14" customFormat="1">
      <c r="A1464" s="10">
        <v>43236</v>
      </c>
      <c r="B1464" s="3" t="s">
        <v>213</v>
      </c>
      <c r="C1464" s="15" t="s">
        <v>47</v>
      </c>
      <c r="D1464" s="15">
        <v>420</v>
      </c>
      <c r="E1464" s="11">
        <v>2000</v>
      </c>
      <c r="F1464" s="3" t="s">
        <v>8</v>
      </c>
      <c r="G1464" s="46">
        <v>10.5</v>
      </c>
      <c r="H1464" s="3">
        <v>11.5</v>
      </c>
      <c r="I1464" s="46">
        <v>0</v>
      </c>
      <c r="J1464" s="55">
        <v>0</v>
      </c>
      <c r="K1464" s="1">
        <f t="shared" ref="K1464" si="1341">(IF(F1464="SELL",G1464-H1464,IF(F1464="BUY",H1464-G1464)))*E1464</f>
        <v>2000</v>
      </c>
      <c r="L1464" s="51">
        <v>0</v>
      </c>
      <c r="M1464" s="52">
        <f t="shared" si="1338"/>
        <v>0</v>
      </c>
      <c r="N1464" s="2">
        <f t="shared" si="1315"/>
        <v>1</v>
      </c>
      <c r="O1464" s="2">
        <f t="shared" si="1332"/>
        <v>2000</v>
      </c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</row>
    <row r="1465" spans="1:33" s="14" customFormat="1">
      <c r="A1465" s="10">
        <v>43235</v>
      </c>
      <c r="B1465" s="3" t="s">
        <v>167</v>
      </c>
      <c r="C1465" s="15" t="s">
        <v>47</v>
      </c>
      <c r="D1465" s="15">
        <v>1200</v>
      </c>
      <c r="E1465" s="11">
        <v>500</v>
      </c>
      <c r="F1465" s="3" t="s">
        <v>8</v>
      </c>
      <c r="G1465" s="46">
        <v>14.5</v>
      </c>
      <c r="H1465" s="3">
        <v>0</v>
      </c>
      <c r="I1465" s="46">
        <v>0</v>
      </c>
      <c r="J1465" s="55">
        <v>0</v>
      </c>
      <c r="K1465" s="1">
        <v>0</v>
      </c>
      <c r="L1465" s="51">
        <f t="shared" ref="L1465" si="1342">(IF(F1465="SELL",IF(I1465="",0,H1465-I1465),IF(F1465="BUY",IF(I1465="",0,I1465-H1465))))*E1465</f>
        <v>0</v>
      </c>
      <c r="M1465" s="52">
        <f t="shared" si="1338"/>
        <v>0</v>
      </c>
      <c r="N1465" s="2">
        <f t="shared" si="1315"/>
        <v>0</v>
      </c>
      <c r="O1465" s="2">
        <f t="shared" si="1332"/>
        <v>0</v>
      </c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</row>
    <row r="1466" spans="1:33" s="14" customFormat="1">
      <c r="A1466" s="10">
        <v>43235</v>
      </c>
      <c r="B1466" s="3" t="s">
        <v>126</v>
      </c>
      <c r="C1466" s="15" t="s">
        <v>47</v>
      </c>
      <c r="D1466" s="15">
        <v>1400</v>
      </c>
      <c r="E1466" s="11">
        <v>750</v>
      </c>
      <c r="F1466" s="3" t="s">
        <v>8</v>
      </c>
      <c r="G1466" s="46">
        <v>27</v>
      </c>
      <c r="H1466" s="3">
        <v>30</v>
      </c>
      <c r="I1466" s="46">
        <v>0</v>
      </c>
      <c r="J1466" s="55">
        <v>0</v>
      </c>
      <c r="K1466" s="1">
        <f t="shared" ref="K1466" si="1343">(IF(F1466="SELL",G1466-H1466,IF(F1466="BUY",H1466-G1466)))*E1466</f>
        <v>2250</v>
      </c>
      <c r="L1466" s="51">
        <v>0</v>
      </c>
      <c r="M1466" s="52">
        <f t="shared" si="1338"/>
        <v>0</v>
      </c>
      <c r="N1466" s="2">
        <f t="shared" si="1315"/>
        <v>3</v>
      </c>
      <c r="O1466" s="2">
        <f t="shared" si="1332"/>
        <v>2250</v>
      </c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</row>
    <row r="1467" spans="1:33" s="14" customFormat="1">
      <c r="A1467" s="10">
        <v>43235</v>
      </c>
      <c r="B1467" s="3" t="s">
        <v>211</v>
      </c>
      <c r="C1467" s="15" t="s">
        <v>47</v>
      </c>
      <c r="D1467" s="15">
        <v>1100</v>
      </c>
      <c r="E1467" s="11">
        <v>750</v>
      </c>
      <c r="F1467" s="3" t="s">
        <v>8</v>
      </c>
      <c r="G1467" s="46">
        <v>36</v>
      </c>
      <c r="H1467" s="3">
        <v>38</v>
      </c>
      <c r="I1467" s="46">
        <v>0</v>
      </c>
      <c r="J1467" s="55">
        <v>0</v>
      </c>
      <c r="K1467" s="1">
        <f t="shared" ref="K1467:K1468" si="1344">(IF(F1467="SELL",G1467-H1467,IF(F1467="BUY",H1467-G1467)))*E1467</f>
        <v>1500</v>
      </c>
      <c r="L1467" s="51">
        <v>0</v>
      </c>
      <c r="M1467" s="52">
        <f t="shared" si="1338"/>
        <v>0</v>
      </c>
      <c r="N1467" s="2">
        <f t="shared" si="1315"/>
        <v>2</v>
      </c>
      <c r="O1467" s="2">
        <f t="shared" si="1332"/>
        <v>1500</v>
      </c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</row>
    <row r="1468" spans="1:33" s="14" customFormat="1">
      <c r="A1468" s="10">
        <v>43234</v>
      </c>
      <c r="B1468" s="3" t="s">
        <v>300</v>
      </c>
      <c r="C1468" s="15" t="s">
        <v>46</v>
      </c>
      <c r="D1468" s="15">
        <v>490</v>
      </c>
      <c r="E1468" s="11">
        <v>1250</v>
      </c>
      <c r="F1468" s="3" t="s">
        <v>8</v>
      </c>
      <c r="G1468" s="46">
        <v>11.5</v>
      </c>
      <c r="H1468" s="3">
        <v>12.5</v>
      </c>
      <c r="I1468" s="46">
        <v>0</v>
      </c>
      <c r="J1468" s="55">
        <v>0</v>
      </c>
      <c r="K1468" s="1">
        <f t="shared" si="1344"/>
        <v>1250</v>
      </c>
      <c r="L1468" s="51">
        <v>0</v>
      </c>
      <c r="M1468" s="52">
        <f t="shared" si="1338"/>
        <v>0</v>
      </c>
      <c r="N1468" s="2">
        <f t="shared" si="1315"/>
        <v>1</v>
      </c>
      <c r="O1468" s="2">
        <f t="shared" si="1332"/>
        <v>1250</v>
      </c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</row>
    <row r="1469" spans="1:33" s="14" customFormat="1">
      <c r="A1469" s="10">
        <v>43234</v>
      </c>
      <c r="B1469" s="3" t="s">
        <v>213</v>
      </c>
      <c r="C1469" s="15" t="s">
        <v>47</v>
      </c>
      <c r="D1469" s="15">
        <v>440</v>
      </c>
      <c r="E1469" s="11">
        <v>2000</v>
      </c>
      <c r="F1469" s="3" t="s">
        <v>8</v>
      </c>
      <c r="G1469" s="46">
        <v>10</v>
      </c>
      <c r="H1469" s="3">
        <v>0</v>
      </c>
      <c r="I1469" s="46">
        <v>0</v>
      </c>
      <c r="J1469" s="55">
        <v>0</v>
      </c>
      <c r="K1469" s="1">
        <v>0</v>
      </c>
      <c r="L1469" s="51">
        <f t="shared" ref="L1469" si="1345">(IF(F1469="SELL",IF(I1469="",0,H1469-I1469),IF(F1469="BUY",IF(I1469="",0,I1469-H1469))))*E1469</f>
        <v>0</v>
      </c>
      <c r="M1469" s="52">
        <f t="shared" si="1338"/>
        <v>0</v>
      </c>
      <c r="N1469" s="2">
        <f t="shared" si="1315"/>
        <v>0</v>
      </c>
      <c r="O1469" s="2">
        <f t="shared" si="1332"/>
        <v>0</v>
      </c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</row>
    <row r="1470" spans="1:33" s="14" customFormat="1">
      <c r="A1470" s="10">
        <v>43231</v>
      </c>
      <c r="B1470" s="3" t="s">
        <v>154</v>
      </c>
      <c r="C1470" s="15" t="s">
        <v>47</v>
      </c>
      <c r="D1470" s="15">
        <v>400</v>
      </c>
      <c r="E1470" s="11">
        <v>1800</v>
      </c>
      <c r="F1470" s="3" t="s">
        <v>8</v>
      </c>
      <c r="G1470" s="46">
        <v>13.5</v>
      </c>
      <c r="H1470" s="3">
        <v>14.5</v>
      </c>
      <c r="I1470" s="46">
        <v>0</v>
      </c>
      <c r="J1470" s="55">
        <v>0</v>
      </c>
      <c r="K1470" s="1">
        <f t="shared" ref="K1470" si="1346">(IF(F1470="SELL",G1470-H1470,IF(F1470="BUY",H1470-G1470)))*E1470</f>
        <v>1800</v>
      </c>
      <c r="L1470" s="51">
        <v>0</v>
      </c>
      <c r="M1470" s="52">
        <f t="shared" si="1338"/>
        <v>0</v>
      </c>
      <c r="N1470" s="2">
        <f t="shared" si="1315"/>
        <v>1</v>
      </c>
      <c r="O1470" s="2">
        <f t="shared" si="1332"/>
        <v>1800</v>
      </c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</row>
    <row r="1471" spans="1:33" s="14" customFormat="1">
      <c r="A1471" s="10">
        <v>43231</v>
      </c>
      <c r="B1471" s="3" t="s">
        <v>172</v>
      </c>
      <c r="C1471" s="15" t="s">
        <v>47</v>
      </c>
      <c r="D1471" s="15">
        <v>320</v>
      </c>
      <c r="E1471" s="11">
        <v>1575</v>
      </c>
      <c r="F1471" s="3" t="s">
        <v>8</v>
      </c>
      <c r="G1471" s="46">
        <v>10.5</v>
      </c>
      <c r="H1471" s="3">
        <v>11.5</v>
      </c>
      <c r="I1471" s="46">
        <v>13</v>
      </c>
      <c r="J1471" s="55">
        <v>0</v>
      </c>
      <c r="K1471" s="1">
        <f t="shared" ref="K1471" si="1347">(IF(F1471="SELL",G1471-H1471,IF(F1471="BUY",H1471-G1471)))*E1471</f>
        <v>1575</v>
      </c>
      <c r="L1471" s="51">
        <f t="shared" ref="L1471" si="1348">(IF(F1471="SELL",IF(I1471="",0,H1471-I1471),IF(F1471="BUY",IF(I1471="",0,I1471-H1471))))*E1471</f>
        <v>2362.5</v>
      </c>
      <c r="M1471" s="52">
        <v>0</v>
      </c>
      <c r="N1471" s="2">
        <f t="shared" si="1315"/>
        <v>2.5</v>
      </c>
      <c r="O1471" s="2">
        <f t="shared" si="1332"/>
        <v>3937.5</v>
      </c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</row>
    <row r="1472" spans="1:33" s="14" customFormat="1">
      <c r="A1472" s="10">
        <v>43231</v>
      </c>
      <c r="B1472" s="3" t="s">
        <v>299</v>
      </c>
      <c r="C1472" s="15" t="s">
        <v>47</v>
      </c>
      <c r="D1472" s="15">
        <v>175</v>
      </c>
      <c r="E1472" s="11">
        <v>3000</v>
      </c>
      <c r="F1472" s="3" t="s">
        <v>8</v>
      </c>
      <c r="G1472" s="46">
        <v>4</v>
      </c>
      <c r="H1472" s="3">
        <v>4.5</v>
      </c>
      <c r="I1472" s="46">
        <v>0</v>
      </c>
      <c r="J1472" s="55">
        <v>0</v>
      </c>
      <c r="K1472" s="1">
        <f t="shared" ref="K1472" si="1349">(IF(F1472="SELL",G1472-H1472,IF(F1472="BUY",H1472-G1472)))*E1472</f>
        <v>1500</v>
      </c>
      <c r="L1472" s="51">
        <v>0</v>
      </c>
      <c r="M1472" s="52">
        <f t="shared" ref="M1472:M1478" si="1350">(IF(F1472="SELL",IF(J1472="",0,I1472-J1472),IF(F1472="BUY",IF(J1472="",0,(J1472-I1472)))))*E1472</f>
        <v>0</v>
      </c>
      <c r="N1472" s="2">
        <f t="shared" si="1315"/>
        <v>0.5</v>
      </c>
      <c r="O1472" s="2">
        <f t="shared" si="1332"/>
        <v>1500</v>
      </c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</row>
    <row r="1473" spans="1:33" s="14" customFormat="1">
      <c r="A1473" s="10">
        <v>43230</v>
      </c>
      <c r="B1473" s="3" t="s">
        <v>22</v>
      </c>
      <c r="C1473" s="15" t="s">
        <v>47</v>
      </c>
      <c r="D1473" s="15">
        <v>220</v>
      </c>
      <c r="E1473" s="11">
        <v>2500</v>
      </c>
      <c r="F1473" s="3" t="s">
        <v>8</v>
      </c>
      <c r="G1473" s="46">
        <v>6.7</v>
      </c>
      <c r="H1473" s="3">
        <v>7.5</v>
      </c>
      <c r="I1473" s="46">
        <v>0</v>
      </c>
      <c r="J1473" s="55">
        <v>0</v>
      </c>
      <c r="K1473" s="1">
        <f t="shared" ref="K1473" si="1351">(IF(F1473="SELL",G1473-H1473,IF(F1473="BUY",H1473-G1473)))*E1473</f>
        <v>1999.9999999999995</v>
      </c>
      <c r="L1473" s="51">
        <v>0</v>
      </c>
      <c r="M1473" s="52">
        <f t="shared" si="1350"/>
        <v>0</v>
      </c>
      <c r="N1473" s="2">
        <f t="shared" si="1315"/>
        <v>0.79999999999999982</v>
      </c>
      <c r="O1473" s="2">
        <f t="shared" si="1332"/>
        <v>1999.9999999999995</v>
      </c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</row>
    <row r="1474" spans="1:33" s="14" customFormat="1">
      <c r="A1474" s="10">
        <v>43230</v>
      </c>
      <c r="B1474" s="3" t="s">
        <v>298</v>
      </c>
      <c r="C1474" s="15" t="s">
        <v>46</v>
      </c>
      <c r="D1474" s="15">
        <v>500</v>
      </c>
      <c r="E1474" s="11">
        <v>2500</v>
      </c>
      <c r="F1474" s="3" t="s">
        <v>8</v>
      </c>
      <c r="G1474" s="46">
        <v>36</v>
      </c>
      <c r="H1474" s="3">
        <v>39</v>
      </c>
      <c r="I1474" s="46">
        <v>0</v>
      </c>
      <c r="J1474" s="55">
        <v>0</v>
      </c>
      <c r="K1474" s="1">
        <f t="shared" ref="K1474" si="1352">(IF(F1474="SELL",G1474-H1474,IF(F1474="BUY",H1474-G1474)))*E1474</f>
        <v>7500</v>
      </c>
      <c r="L1474" s="51">
        <v>0</v>
      </c>
      <c r="M1474" s="52">
        <f t="shared" si="1350"/>
        <v>0</v>
      </c>
      <c r="N1474" s="2">
        <f t="shared" si="1315"/>
        <v>3</v>
      </c>
      <c r="O1474" s="2">
        <f t="shared" si="1332"/>
        <v>7500</v>
      </c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</row>
    <row r="1475" spans="1:33" s="14" customFormat="1">
      <c r="A1475" s="10">
        <v>43230</v>
      </c>
      <c r="B1475" s="3" t="s">
        <v>192</v>
      </c>
      <c r="C1475" s="15" t="s">
        <v>47</v>
      </c>
      <c r="D1475" s="15">
        <v>1100</v>
      </c>
      <c r="E1475" s="11">
        <v>550</v>
      </c>
      <c r="F1475" s="3" t="s">
        <v>8</v>
      </c>
      <c r="G1475" s="46">
        <v>28</v>
      </c>
      <c r="H1475" s="3">
        <v>31</v>
      </c>
      <c r="I1475" s="46">
        <v>0</v>
      </c>
      <c r="J1475" s="55">
        <v>0</v>
      </c>
      <c r="K1475" s="1">
        <f t="shared" ref="K1475" si="1353">(IF(F1475="SELL",G1475-H1475,IF(F1475="BUY",H1475-G1475)))*E1475</f>
        <v>1650</v>
      </c>
      <c r="L1475" s="51">
        <v>0</v>
      </c>
      <c r="M1475" s="52">
        <f t="shared" si="1350"/>
        <v>0</v>
      </c>
      <c r="N1475" s="2">
        <f t="shared" si="1315"/>
        <v>3</v>
      </c>
      <c r="O1475" s="2">
        <f t="shared" si="1332"/>
        <v>1650</v>
      </c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</row>
    <row r="1476" spans="1:33" s="14" customFormat="1">
      <c r="A1476" s="10">
        <v>43229</v>
      </c>
      <c r="B1476" s="3" t="s">
        <v>297</v>
      </c>
      <c r="C1476" s="15" t="s">
        <v>46</v>
      </c>
      <c r="D1476" s="15">
        <v>105</v>
      </c>
      <c r="E1476" s="11">
        <v>5500</v>
      </c>
      <c r="F1476" s="3" t="s">
        <v>8</v>
      </c>
      <c r="G1476" s="46">
        <v>6.8</v>
      </c>
      <c r="H1476" s="3">
        <v>7.1</v>
      </c>
      <c r="I1476" s="46">
        <v>0</v>
      </c>
      <c r="J1476" s="55">
        <v>0</v>
      </c>
      <c r="K1476" s="1">
        <f t="shared" ref="K1476" si="1354">(IF(F1476="SELL",G1476-H1476,IF(F1476="BUY",H1476-G1476)))*E1476</f>
        <v>1649.9999999999991</v>
      </c>
      <c r="L1476" s="51">
        <v>0</v>
      </c>
      <c r="M1476" s="52">
        <f t="shared" si="1350"/>
        <v>0</v>
      </c>
      <c r="N1476" s="2">
        <f t="shared" si="1315"/>
        <v>0.29999999999999982</v>
      </c>
      <c r="O1476" s="2">
        <f t="shared" si="1332"/>
        <v>1649.9999999999991</v>
      </c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</row>
    <row r="1477" spans="1:33" s="14" customFormat="1">
      <c r="A1477" s="10">
        <v>43228</v>
      </c>
      <c r="B1477" s="3" t="s">
        <v>22</v>
      </c>
      <c r="C1477" s="15" t="s">
        <v>47</v>
      </c>
      <c r="D1477" s="15">
        <v>220</v>
      </c>
      <c r="E1477" s="11">
        <v>2500</v>
      </c>
      <c r="F1477" s="3" t="s">
        <v>8</v>
      </c>
      <c r="G1477" s="46">
        <v>8.8000000000000007</v>
      </c>
      <c r="H1477" s="3">
        <v>9.5</v>
      </c>
      <c r="I1477" s="46">
        <v>11</v>
      </c>
      <c r="J1477" s="55">
        <v>12.5</v>
      </c>
      <c r="K1477" s="1">
        <f t="shared" ref="K1477" si="1355">(IF(F1477="SELL",G1477-H1477,IF(F1477="BUY",H1477-G1477)))*E1477</f>
        <v>1749.9999999999982</v>
      </c>
      <c r="L1477" s="51">
        <f t="shared" ref="L1477" si="1356">(IF(F1477="SELL",IF(I1477="",0,H1477-I1477),IF(F1477="BUY",IF(I1477="",0,I1477-H1477))))*E1477</f>
        <v>3750</v>
      </c>
      <c r="M1477" s="52">
        <f t="shared" si="1350"/>
        <v>3750</v>
      </c>
      <c r="N1477" s="2">
        <f t="shared" si="1315"/>
        <v>3.6999999999999993</v>
      </c>
      <c r="O1477" s="2">
        <f t="shared" si="1332"/>
        <v>9249.9999999999982</v>
      </c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</row>
    <row r="1478" spans="1:33" s="14" customFormat="1">
      <c r="A1478" s="10">
        <v>43228</v>
      </c>
      <c r="B1478" s="3" t="s">
        <v>264</v>
      </c>
      <c r="C1478" s="15" t="s">
        <v>47</v>
      </c>
      <c r="D1478" s="15">
        <v>260</v>
      </c>
      <c r="E1478" s="11">
        <v>4500</v>
      </c>
      <c r="F1478" s="3" t="s">
        <v>8</v>
      </c>
      <c r="G1478" s="46">
        <v>9.5</v>
      </c>
      <c r="H1478" s="3">
        <v>10</v>
      </c>
      <c r="I1478" s="46">
        <v>11</v>
      </c>
      <c r="J1478" s="55">
        <v>12</v>
      </c>
      <c r="K1478" s="1">
        <f t="shared" ref="K1478" si="1357">(IF(F1478="SELL",G1478-H1478,IF(F1478="BUY",H1478-G1478)))*E1478</f>
        <v>2250</v>
      </c>
      <c r="L1478" s="51">
        <f t="shared" ref="L1478" si="1358">(IF(F1478="SELL",IF(I1478="",0,H1478-I1478),IF(F1478="BUY",IF(I1478="",0,I1478-H1478))))*E1478</f>
        <v>4500</v>
      </c>
      <c r="M1478" s="52">
        <f t="shared" si="1350"/>
        <v>4500</v>
      </c>
      <c r="N1478" s="2">
        <f t="shared" si="1315"/>
        <v>2.5</v>
      </c>
      <c r="O1478" s="2">
        <f t="shared" si="1332"/>
        <v>11250</v>
      </c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</row>
    <row r="1479" spans="1:33" s="14" customFormat="1">
      <c r="A1479" s="10">
        <v>43228</v>
      </c>
      <c r="B1479" s="3" t="s">
        <v>253</v>
      </c>
      <c r="C1479" s="15" t="s">
        <v>47</v>
      </c>
      <c r="D1479" s="15">
        <v>1060</v>
      </c>
      <c r="E1479" s="11">
        <v>1200</v>
      </c>
      <c r="F1479" s="3" t="s">
        <v>8</v>
      </c>
      <c r="G1479" s="46">
        <v>33</v>
      </c>
      <c r="H1479" s="3">
        <v>34.5</v>
      </c>
      <c r="I1479" s="46">
        <v>0</v>
      </c>
      <c r="J1479" s="55">
        <v>0</v>
      </c>
      <c r="K1479" s="1">
        <f t="shared" ref="K1479" si="1359">(IF(F1479="SELL",G1479-H1479,IF(F1479="BUY",H1479-G1479)))*E1479</f>
        <v>1800</v>
      </c>
      <c r="L1479" s="51">
        <v>0</v>
      </c>
      <c r="M1479" s="52">
        <v>0</v>
      </c>
      <c r="N1479" s="2">
        <f t="shared" si="1315"/>
        <v>1.5</v>
      </c>
      <c r="O1479" s="2">
        <f t="shared" si="1332"/>
        <v>1800</v>
      </c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</row>
    <row r="1480" spans="1:33" s="14" customFormat="1">
      <c r="A1480" s="10">
        <v>43227</v>
      </c>
      <c r="B1480" s="3" t="s">
        <v>96</v>
      </c>
      <c r="C1480" s="15" t="s">
        <v>47</v>
      </c>
      <c r="D1480" s="15">
        <v>890</v>
      </c>
      <c r="E1480" s="11">
        <v>1000</v>
      </c>
      <c r="F1480" s="3" t="s">
        <v>8</v>
      </c>
      <c r="G1480" s="46">
        <v>19</v>
      </c>
      <c r="H1480" s="3">
        <v>20.5</v>
      </c>
      <c r="I1480" s="46">
        <v>22</v>
      </c>
      <c r="J1480" s="55">
        <v>0</v>
      </c>
      <c r="K1480" s="1">
        <f t="shared" ref="K1480" si="1360">(IF(F1480="SELL",G1480-H1480,IF(F1480="BUY",H1480-G1480)))*E1480</f>
        <v>1500</v>
      </c>
      <c r="L1480" s="51">
        <f t="shared" ref="L1480" si="1361">(IF(F1480="SELL",IF(I1480="",0,H1480-I1480),IF(F1480="BUY",IF(I1480="",0,I1480-H1480))))*E1480</f>
        <v>1500</v>
      </c>
      <c r="M1480" s="52">
        <v>0</v>
      </c>
      <c r="N1480" s="2">
        <f t="shared" si="1315"/>
        <v>3</v>
      </c>
      <c r="O1480" s="2">
        <f t="shared" si="1332"/>
        <v>3000</v>
      </c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</row>
    <row r="1481" spans="1:33" s="14" customFormat="1">
      <c r="A1481" s="10">
        <v>43227</v>
      </c>
      <c r="B1481" s="3" t="s">
        <v>209</v>
      </c>
      <c r="C1481" s="15" t="s">
        <v>47</v>
      </c>
      <c r="D1481" s="15">
        <v>640</v>
      </c>
      <c r="E1481" s="11">
        <v>1000</v>
      </c>
      <c r="F1481" s="3" t="s">
        <v>8</v>
      </c>
      <c r="G1481" s="46">
        <v>19</v>
      </c>
      <c r="H1481" s="3">
        <v>21</v>
      </c>
      <c r="I1481" s="46">
        <v>0</v>
      </c>
      <c r="J1481" s="55">
        <v>0</v>
      </c>
      <c r="K1481" s="1">
        <f t="shared" ref="K1481" si="1362">(IF(F1481="SELL",G1481-H1481,IF(F1481="BUY",H1481-G1481)))*E1481</f>
        <v>2000</v>
      </c>
      <c r="L1481" s="51">
        <v>0</v>
      </c>
      <c r="M1481" s="52">
        <v>0</v>
      </c>
      <c r="N1481" s="2">
        <f t="shared" si="1315"/>
        <v>2</v>
      </c>
      <c r="O1481" s="2">
        <f t="shared" si="1332"/>
        <v>2000</v>
      </c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</row>
    <row r="1482" spans="1:33" s="14" customFormat="1">
      <c r="A1482" s="10">
        <v>43227</v>
      </c>
      <c r="B1482" s="3" t="s">
        <v>96</v>
      </c>
      <c r="C1482" s="15" t="s">
        <v>47</v>
      </c>
      <c r="D1482" s="15">
        <v>890</v>
      </c>
      <c r="E1482" s="11">
        <v>1000</v>
      </c>
      <c r="F1482" s="3" t="s">
        <v>8</v>
      </c>
      <c r="G1482" s="46">
        <v>17.149999999999999</v>
      </c>
      <c r="H1482" s="3">
        <v>18.5</v>
      </c>
      <c r="I1482" s="46">
        <v>0</v>
      </c>
      <c r="J1482" s="55">
        <v>0</v>
      </c>
      <c r="K1482" s="1">
        <f t="shared" ref="K1482" si="1363">(IF(F1482="SELL",G1482-H1482,IF(F1482="BUY",H1482-G1482)))*E1482</f>
        <v>1350.0000000000014</v>
      </c>
      <c r="L1482" s="51">
        <v>0</v>
      </c>
      <c r="M1482" s="52">
        <f>(IF(F1482="SELL",IF(J1482="",0,I1482-J1482),IF(F1482="BUY",IF(J1482="",0,(J1482-I1482)))))*E1482</f>
        <v>0</v>
      </c>
      <c r="N1482" s="2">
        <f t="shared" si="1315"/>
        <v>1.3500000000000014</v>
      </c>
      <c r="O1482" s="2">
        <f t="shared" si="1332"/>
        <v>1350.0000000000014</v>
      </c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</row>
    <row r="1483" spans="1:33" s="14" customFormat="1">
      <c r="A1483" s="10">
        <v>43224</v>
      </c>
      <c r="B1483" s="3" t="s">
        <v>211</v>
      </c>
      <c r="C1483" s="15" t="s">
        <v>47</v>
      </c>
      <c r="D1483" s="15">
        <v>1080</v>
      </c>
      <c r="E1483" s="11">
        <v>700</v>
      </c>
      <c r="F1483" s="3" t="s">
        <v>8</v>
      </c>
      <c r="G1483" s="46">
        <v>45</v>
      </c>
      <c r="H1483" s="3">
        <v>50</v>
      </c>
      <c r="I1483" s="46">
        <v>55</v>
      </c>
      <c r="J1483" s="55">
        <v>60</v>
      </c>
      <c r="K1483" s="1">
        <f t="shared" ref="K1483" si="1364">(IF(F1483="SELL",G1483-H1483,IF(F1483="BUY",H1483-G1483)))*E1483</f>
        <v>3500</v>
      </c>
      <c r="L1483" s="51">
        <f t="shared" ref="L1483" si="1365">(IF(F1483="SELL",IF(I1483="",0,H1483-I1483),IF(F1483="BUY",IF(I1483="",0,I1483-H1483))))*E1483</f>
        <v>3500</v>
      </c>
      <c r="M1483" s="52">
        <f>(IF(F1483="SELL",IF(J1483="",0,I1483-J1483),IF(F1483="BUY",IF(J1483="",0,(J1483-I1483)))))*E1483</f>
        <v>3500</v>
      </c>
      <c r="N1483" s="2">
        <f t="shared" si="1315"/>
        <v>15</v>
      </c>
      <c r="O1483" s="2">
        <f t="shared" si="1332"/>
        <v>10500</v>
      </c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</row>
    <row r="1484" spans="1:33" s="14" customFormat="1">
      <c r="A1484" s="10">
        <v>43224</v>
      </c>
      <c r="B1484" s="3" t="s">
        <v>170</v>
      </c>
      <c r="C1484" s="15" t="s">
        <v>47</v>
      </c>
      <c r="D1484" s="15">
        <v>145</v>
      </c>
      <c r="E1484" s="11">
        <v>4000</v>
      </c>
      <c r="F1484" s="3" t="s">
        <v>8</v>
      </c>
      <c r="G1484" s="46">
        <v>7.5</v>
      </c>
      <c r="H1484" s="3">
        <v>5.5</v>
      </c>
      <c r="I1484" s="46">
        <v>0</v>
      </c>
      <c r="J1484" s="55">
        <v>0</v>
      </c>
      <c r="K1484" s="1">
        <f t="shared" ref="K1484" si="1366">(IF(F1484="SELL",G1484-H1484,IF(F1484="BUY",H1484-G1484)))*E1484</f>
        <v>-8000</v>
      </c>
      <c r="L1484" s="51">
        <v>0</v>
      </c>
      <c r="M1484" s="52">
        <v>0</v>
      </c>
      <c r="N1484" s="2">
        <f t="shared" si="1315"/>
        <v>-2</v>
      </c>
      <c r="O1484" s="2">
        <f t="shared" si="1332"/>
        <v>-8000</v>
      </c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</row>
    <row r="1485" spans="1:33" s="14" customFormat="1">
      <c r="A1485" s="10">
        <v>43224</v>
      </c>
      <c r="B1485" s="3" t="s">
        <v>144</v>
      </c>
      <c r="C1485" s="15" t="s">
        <v>47</v>
      </c>
      <c r="D1485" s="15">
        <v>420</v>
      </c>
      <c r="E1485" s="11">
        <v>1700</v>
      </c>
      <c r="F1485" s="3" t="s">
        <v>8</v>
      </c>
      <c r="G1485" s="46">
        <v>12.5</v>
      </c>
      <c r="H1485" s="3">
        <v>9.5</v>
      </c>
      <c r="I1485" s="46">
        <v>0</v>
      </c>
      <c r="J1485" s="55">
        <v>0</v>
      </c>
      <c r="K1485" s="1">
        <f t="shared" ref="K1485" si="1367">(IF(F1485="SELL",G1485-H1485,IF(F1485="BUY",H1485-G1485)))*E1485</f>
        <v>-5100</v>
      </c>
      <c r="L1485" s="51">
        <v>0</v>
      </c>
      <c r="M1485" s="52">
        <f>(IF(F1485="SELL",IF(J1485="",0,I1485-J1485),IF(F1485="BUY",IF(J1485="",0,(J1485-I1485)))))*E1485</f>
        <v>0</v>
      </c>
      <c r="N1485" s="2">
        <f t="shared" si="1315"/>
        <v>-3</v>
      </c>
      <c r="O1485" s="2">
        <f t="shared" si="1332"/>
        <v>-5100</v>
      </c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</row>
    <row r="1486" spans="1:33" s="14" customFormat="1">
      <c r="A1486" s="10">
        <v>43223</v>
      </c>
      <c r="B1486" s="3" t="s">
        <v>107</v>
      </c>
      <c r="C1486" s="15" t="s">
        <v>47</v>
      </c>
      <c r="D1486" s="15">
        <v>530</v>
      </c>
      <c r="E1486" s="11">
        <v>1100</v>
      </c>
      <c r="F1486" s="3" t="s">
        <v>8</v>
      </c>
      <c r="G1486" s="46">
        <v>13.8</v>
      </c>
      <c r="H1486" s="3">
        <v>15</v>
      </c>
      <c r="I1486" s="46">
        <v>17.5</v>
      </c>
      <c r="J1486" s="55">
        <v>22</v>
      </c>
      <c r="K1486" s="1">
        <f t="shared" ref="K1486" si="1368">(IF(F1486="SELL",G1486-H1486,IF(F1486="BUY",H1486-G1486)))*E1486</f>
        <v>1319.9999999999993</v>
      </c>
      <c r="L1486" s="51">
        <f t="shared" ref="L1486" si="1369">(IF(F1486="SELL",IF(I1486="",0,H1486-I1486),IF(F1486="BUY",IF(I1486="",0,I1486-H1486))))*E1486</f>
        <v>2750</v>
      </c>
      <c r="M1486" s="52">
        <f>(IF(F1486="SELL",IF(J1486="",0,I1486-J1486),IF(F1486="BUY",IF(J1486="",0,(J1486-I1486)))))*E1486</f>
        <v>4950</v>
      </c>
      <c r="N1486" s="2">
        <f t="shared" si="1315"/>
        <v>8.1999999999999993</v>
      </c>
      <c r="O1486" s="2">
        <f t="shared" si="1332"/>
        <v>9020</v>
      </c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</row>
    <row r="1487" spans="1:33" s="14" customFormat="1">
      <c r="A1487" s="10">
        <v>43223</v>
      </c>
      <c r="B1487" s="3" t="s">
        <v>296</v>
      </c>
      <c r="C1487" s="15" t="s">
        <v>47</v>
      </c>
      <c r="D1487" s="15">
        <v>1880</v>
      </c>
      <c r="E1487" s="11">
        <v>300</v>
      </c>
      <c r="F1487" s="3" t="s">
        <v>8</v>
      </c>
      <c r="G1487" s="46">
        <v>28</v>
      </c>
      <c r="H1487" s="3">
        <v>32</v>
      </c>
      <c r="I1487" s="46">
        <v>37.549999999999997</v>
      </c>
      <c r="J1487" s="55">
        <v>0</v>
      </c>
      <c r="K1487" s="1">
        <f t="shared" ref="K1487" si="1370">(IF(F1487="SELL",G1487-H1487,IF(F1487="BUY",H1487-G1487)))*E1487</f>
        <v>1200</v>
      </c>
      <c r="L1487" s="51">
        <f t="shared" ref="L1487" si="1371">(IF(F1487="SELL",IF(I1487="",0,H1487-I1487),IF(F1487="BUY",IF(I1487="",0,I1487-H1487))))*E1487</f>
        <v>1664.9999999999991</v>
      </c>
      <c r="M1487" s="52">
        <v>0</v>
      </c>
      <c r="N1487" s="2">
        <f t="shared" si="1315"/>
        <v>9.5499999999999972</v>
      </c>
      <c r="O1487" s="2">
        <f t="shared" si="1332"/>
        <v>2864.9999999999991</v>
      </c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</row>
    <row r="1488" spans="1:33" s="14" customFormat="1">
      <c r="A1488" s="10">
        <v>43223</v>
      </c>
      <c r="B1488" s="3" t="s">
        <v>295</v>
      </c>
      <c r="C1488" s="15" t="s">
        <v>47</v>
      </c>
      <c r="D1488" s="15">
        <v>880</v>
      </c>
      <c r="E1488" s="11">
        <v>700</v>
      </c>
      <c r="F1488" s="3" t="s">
        <v>8</v>
      </c>
      <c r="G1488" s="46">
        <v>26</v>
      </c>
      <c r="H1488" s="3">
        <v>30</v>
      </c>
      <c r="I1488" s="46">
        <v>0</v>
      </c>
      <c r="J1488" s="55">
        <v>0</v>
      </c>
      <c r="K1488" s="1">
        <f t="shared" ref="K1488" si="1372">(IF(F1488="SELL",G1488-H1488,IF(F1488="BUY",H1488-G1488)))*E1488</f>
        <v>2800</v>
      </c>
      <c r="L1488" s="51">
        <v>0</v>
      </c>
      <c r="M1488" s="52">
        <f>(IF(F1488="SELL",IF(J1488="",0,I1488-J1488),IF(F1488="BUY",IF(J1488="",0,(J1488-I1488)))))*E1488</f>
        <v>0</v>
      </c>
      <c r="N1488" s="2">
        <f t="shared" si="1315"/>
        <v>4</v>
      </c>
      <c r="O1488" s="2">
        <f t="shared" si="1332"/>
        <v>2800</v>
      </c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</row>
    <row r="1489" spans="1:33" s="14" customFormat="1">
      <c r="A1489" s="10">
        <v>43223</v>
      </c>
      <c r="B1489" s="3" t="s">
        <v>22</v>
      </c>
      <c r="C1489" s="15" t="s">
        <v>47</v>
      </c>
      <c r="D1489" s="15">
        <v>220</v>
      </c>
      <c r="E1489" s="11">
        <v>2500</v>
      </c>
      <c r="F1489" s="3" t="s">
        <v>8</v>
      </c>
      <c r="G1489" s="46">
        <v>6.5</v>
      </c>
      <c r="H1489" s="3">
        <v>7</v>
      </c>
      <c r="I1489" s="46">
        <v>7.6</v>
      </c>
      <c r="J1489" s="55">
        <v>0</v>
      </c>
      <c r="K1489" s="1">
        <f t="shared" ref="K1489" si="1373">(IF(F1489="SELL",G1489-H1489,IF(F1489="BUY",H1489-G1489)))*E1489</f>
        <v>1250</v>
      </c>
      <c r="L1489" s="51">
        <f t="shared" ref="L1489" si="1374">(IF(F1489="SELL",IF(I1489="",0,H1489-I1489),IF(F1489="BUY",IF(I1489="",0,I1489-H1489))))*E1489</f>
        <v>1499.9999999999991</v>
      </c>
      <c r="M1489" s="52">
        <v>0</v>
      </c>
      <c r="N1489" s="2">
        <f t="shared" si="1315"/>
        <v>1.0999999999999996</v>
      </c>
      <c r="O1489" s="2">
        <f t="shared" si="1332"/>
        <v>2749.9999999999991</v>
      </c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</row>
    <row r="1490" spans="1:33" s="14" customFormat="1">
      <c r="A1490" s="10">
        <v>43222</v>
      </c>
      <c r="B1490" s="3" t="s">
        <v>169</v>
      </c>
      <c r="C1490" s="15" t="s">
        <v>47</v>
      </c>
      <c r="D1490" s="15">
        <v>920</v>
      </c>
      <c r="E1490" s="11">
        <v>1000</v>
      </c>
      <c r="F1490" s="3" t="s">
        <v>8</v>
      </c>
      <c r="G1490" s="46">
        <v>26</v>
      </c>
      <c r="H1490" s="3">
        <v>27.5</v>
      </c>
      <c r="I1490" s="46">
        <v>29</v>
      </c>
      <c r="J1490" s="55">
        <v>31</v>
      </c>
      <c r="K1490" s="1">
        <f t="shared" ref="K1490:K1491" si="1375">(IF(F1490="SELL",G1490-H1490,IF(F1490="BUY",H1490-G1490)))*E1490</f>
        <v>1500</v>
      </c>
      <c r="L1490" s="51">
        <f t="shared" ref="L1490:L1491" si="1376">(IF(F1490="SELL",IF(I1490="",0,H1490-I1490),IF(F1490="BUY",IF(I1490="",0,I1490-H1490))))*E1490</f>
        <v>1500</v>
      </c>
      <c r="M1490" s="52">
        <f>(IF(F1490="SELL",IF(J1490="",0,I1490-J1490),IF(F1490="BUY",IF(J1490="",0,(J1490-I1490)))))*E1490</f>
        <v>2000</v>
      </c>
      <c r="N1490" s="2">
        <f t="shared" si="1315"/>
        <v>5</v>
      </c>
      <c r="O1490" s="2">
        <f t="shared" si="1332"/>
        <v>5000</v>
      </c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</row>
    <row r="1491" spans="1:33" s="14" customFormat="1">
      <c r="A1491" s="10">
        <v>43222</v>
      </c>
      <c r="B1491" s="3" t="s">
        <v>169</v>
      </c>
      <c r="C1491" s="15" t="s">
        <v>47</v>
      </c>
      <c r="D1491" s="15">
        <v>920</v>
      </c>
      <c r="E1491" s="11">
        <v>1000</v>
      </c>
      <c r="F1491" s="3" t="s">
        <v>8</v>
      </c>
      <c r="G1491" s="46">
        <v>24</v>
      </c>
      <c r="H1491" s="3">
        <v>25</v>
      </c>
      <c r="I1491" s="46">
        <v>27</v>
      </c>
      <c r="J1491" s="55">
        <v>0</v>
      </c>
      <c r="K1491" s="1">
        <f t="shared" si="1375"/>
        <v>1000</v>
      </c>
      <c r="L1491" s="51">
        <f t="shared" si="1376"/>
        <v>2000</v>
      </c>
      <c r="M1491" s="52">
        <v>0</v>
      </c>
      <c r="N1491" s="2">
        <f t="shared" si="1315"/>
        <v>3</v>
      </c>
      <c r="O1491" s="2">
        <f t="shared" si="1332"/>
        <v>3000</v>
      </c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</row>
    <row r="1492" spans="1:33" s="14" customFormat="1">
      <c r="A1492" s="10">
        <v>43220</v>
      </c>
      <c r="B1492" s="3" t="s">
        <v>294</v>
      </c>
      <c r="C1492" s="15" t="s">
        <v>47</v>
      </c>
      <c r="D1492" s="15">
        <v>290</v>
      </c>
      <c r="E1492" s="11">
        <v>2500</v>
      </c>
      <c r="F1492" s="3" t="s">
        <v>8</v>
      </c>
      <c r="G1492" s="46">
        <v>15</v>
      </c>
      <c r="H1492" s="3">
        <v>15.8</v>
      </c>
      <c r="I1492" s="46">
        <v>17</v>
      </c>
      <c r="J1492" s="55">
        <v>0</v>
      </c>
      <c r="K1492" s="1">
        <f t="shared" ref="K1492" si="1377">(IF(F1492="SELL",G1492-H1492,IF(F1492="BUY",H1492-G1492)))*E1492</f>
        <v>2000.0000000000018</v>
      </c>
      <c r="L1492" s="51">
        <v>0</v>
      </c>
      <c r="M1492" s="52">
        <v>0</v>
      </c>
      <c r="N1492" s="2">
        <f t="shared" si="1315"/>
        <v>0.80000000000000071</v>
      </c>
      <c r="O1492" s="2">
        <f t="shared" si="1332"/>
        <v>2000.0000000000018</v>
      </c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</row>
    <row r="1493" spans="1:33" s="14" customFormat="1">
      <c r="A1493" s="10">
        <v>43220</v>
      </c>
      <c r="B1493" s="3" t="s">
        <v>293</v>
      </c>
      <c r="C1493" s="15" t="s">
        <v>46</v>
      </c>
      <c r="D1493" s="15">
        <v>520</v>
      </c>
      <c r="E1493" s="11">
        <v>1200</v>
      </c>
      <c r="F1493" s="3" t="s">
        <v>8</v>
      </c>
      <c r="G1493" s="46">
        <v>17.5</v>
      </c>
      <c r="H1493" s="3">
        <v>18.7</v>
      </c>
      <c r="I1493" s="46">
        <v>0</v>
      </c>
      <c r="J1493" s="55">
        <v>0</v>
      </c>
      <c r="K1493" s="1">
        <f t="shared" ref="K1493" si="1378">(IF(F1493="SELL",G1493-H1493,IF(F1493="BUY",H1493-G1493)))*E1493</f>
        <v>1439.9999999999991</v>
      </c>
      <c r="L1493" s="51">
        <v>0</v>
      </c>
      <c r="M1493" s="52">
        <f>(IF(F1493="SELL",IF(J1493="",0,I1493-J1493),IF(F1493="BUY",IF(J1493="",0,(J1493-I1493)))))*E1493</f>
        <v>0</v>
      </c>
      <c r="N1493" s="2">
        <f t="shared" si="1315"/>
        <v>1.1999999999999993</v>
      </c>
      <c r="O1493" s="2">
        <f t="shared" si="1332"/>
        <v>1439.9999999999991</v>
      </c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</row>
    <row r="1494" spans="1:33" s="14" customFormat="1">
      <c r="A1494" s="10">
        <v>43217</v>
      </c>
      <c r="B1494" s="3" t="s">
        <v>292</v>
      </c>
      <c r="C1494" s="15" t="s">
        <v>47</v>
      </c>
      <c r="D1494" s="15">
        <v>150</v>
      </c>
      <c r="E1494" s="11">
        <v>4000</v>
      </c>
      <c r="F1494" s="3" t="s">
        <v>8</v>
      </c>
      <c r="G1494" s="46">
        <v>4.8</v>
      </c>
      <c r="H1494" s="3">
        <v>5.3</v>
      </c>
      <c r="I1494" s="46">
        <v>6</v>
      </c>
      <c r="J1494" s="55">
        <v>7</v>
      </c>
      <c r="K1494" s="1">
        <f t="shared" ref="K1494" si="1379">(IF(F1494="SELL",G1494-H1494,IF(F1494="BUY",H1494-G1494)))*E1494</f>
        <v>2000</v>
      </c>
      <c r="L1494" s="51">
        <f t="shared" ref="L1494" si="1380">(IF(F1494="SELL",IF(I1494="",0,H1494-I1494),IF(F1494="BUY",IF(I1494="",0,I1494-H1494))))*E1494</f>
        <v>2800.0000000000009</v>
      </c>
      <c r="M1494" s="52">
        <f>(IF(F1494="SELL",IF(J1494="",0,I1494-J1494),IF(F1494="BUY",IF(J1494="",0,(J1494-I1494)))))*E1494</f>
        <v>4000</v>
      </c>
      <c r="N1494" s="2">
        <f t="shared" si="1315"/>
        <v>2.2000000000000002</v>
      </c>
      <c r="O1494" s="2">
        <f t="shared" si="1332"/>
        <v>8800</v>
      </c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</row>
    <row r="1495" spans="1:33" s="14" customFormat="1">
      <c r="A1495" s="10">
        <v>43217</v>
      </c>
      <c r="B1495" s="3" t="s">
        <v>165</v>
      </c>
      <c r="C1495" s="15" t="s">
        <v>47</v>
      </c>
      <c r="D1495" s="15">
        <v>410</v>
      </c>
      <c r="E1495" s="11">
        <v>2500</v>
      </c>
      <c r="F1495" s="3" t="s">
        <v>8</v>
      </c>
      <c r="G1495" s="46">
        <v>12.5</v>
      </c>
      <c r="H1495" s="3">
        <v>13.5</v>
      </c>
      <c r="I1495" s="46">
        <v>0</v>
      </c>
      <c r="J1495" s="55">
        <v>0</v>
      </c>
      <c r="K1495" s="1">
        <f t="shared" ref="K1495" si="1381">(IF(F1495="SELL",G1495-H1495,IF(F1495="BUY",H1495-G1495)))*E1495</f>
        <v>2500</v>
      </c>
      <c r="L1495" s="51">
        <v>0</v>
      </c>
      <c r="M1495" s="52">
        <f>(IF(F1495="SELL",IF(J1495="",0,I1495-J1495),IF(F1495="BUY",IF(J1495="",0,(J1495-I1495)))))*E1495</f>
        <v>0</v>
      </c>
      <c r="N1495" s="2">
        <f t="shared" si="1315"/>
        <v>1</v>
      </c>
      <c r="O1495" s="2">
        <f t="shared" si="1332"/>
        <v>2500</v>
      </c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</row>
    <row r="1496" spans="1:33" s="14" customFormat="1">
      <c r="A1496" s="10">
        <v>43216</v>
      </c>
      <c r="B1496" s="3" t="s">
        <v>139</v>
      </c>
      <c r="C1496" s="15" t="s">
        <v>47</v>
      </c>
      <c r="D1496" s="15">
        <v>2500</v>
      </c>
      <c r="E1496" s="11">
        <v>500</v>
      </c>
      <c r="F1496" s="3" t="s">
        <v>8</v>
      </c>
      <c r="G1496" s="46">
        <v>23.15</v>
      </c>
      <c r="H1496" s="3">
        <v>27</v>
      </c>
      <c r="I1496" s="46">
        <v>0</v>
      </c>
      <c r="J1496" s="55">
        <v>0</v>
      </c>
      <c r="K1496" s="1">
        <f t="shared" ref="K1496" si="1382">(IF(F1496="SELL",G1496-H1496,IF(F1496="BUY",H1496-G1496)))*E1496</f>
        <v>1925.0000000000007</v>
      </c>
      <c r="L1496" s="51">
        <v>0</v>
      </c>
      <c r="M1496" s="52">
        <f>(IF(F1496="SELL",IF(J1496="",0,I1496-J1496),IF(F1496="BUY",IF(J1496="",0,(J1496-I1496)))))*E1496</f>
        <v>0</v>
      </c>
      <c r="N1496" s="2">
        <f t="shared" si="1315"/>
        <v>3.8500000000000014</v>
      </c>
      <c r="O1496" s="2">
        <f t="shared" si="1332"/>
        <v>1925.0000000000007</v>
      </c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</row>
    <row r="1497" spans="1:33" s="14" customFormat="1">
      <c r="A1497" s="10">
        <v>43216</v>
      </c>
      <c r="B1497" s="3" t="s">
        <v>141</v>
      </c>
      <c r="C1497" s="15" t="s">
        <v>47</v>
      </c>
      <c r="D1497" s="15">
        <v>325</v>
      </c>
      <c r="E1497" s="11">
        <v>3000</v>
      </c>
      <c r="F1497" s="3" t="s">
        <v>8</v>
      </c>
      <c r="G1497" s="46">
        <v>2.6</v>
      </c>
      <c r="H1497" s="3">
        <v>3.4</v>
      </c>
      <c r="I1497" s="46">
        <v>4.5</v>
      </c>
      <c r="J1497" s="55">
        <v>0</v>
      </c>
      <c r="K1497" s="1">
        <f t="shared" ref="K1497" si="1383">(IF(F1497="SELL",G1497-H1497,IF(F1497="BUY",H1497-G1497)))*E1497</f>
        <v>2399.9999999999995</v>
      </c>
      <c r="L1497" s="51">
        <f t="shared" ref="L1497" si="1384">(IF(F1497="SELL",IF(I1497="",0,H1497-I1497),IF(F1497="BUY",IF(I1497="",0,I1497-H1497))))*E1497</f>
        <v>3300.0000000000005</v>
      </c>
      <c r="M1497" s="52">
        <v>0</v>
      </c>
      <c r="N1497" s="2">
        <f t="shared" si="1315"/>
        <v>1.9</v>
      </c>
      <c r="O1497" s="2">
        <f t="shared" si="1332"/>
        <v>5700</v>
      </c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</row>
    <row r="1498" spans="1:33" s="14" customFormat="1">
      <c r="A1498" s="10">
        <v>43216</v>
      </c>
      <c r="B1498" s="3" t="s">
        <v>139</v>
      </c>
      <c r="C1498" s="15" t="s">
        <v>47</v>
      </c>
      <c r="D1498" s="15">
        <v>2500</v>
      </c>
      <c r="E1498" s="11">
        <v>500</v>
      </c>
      <c r="F1498" s="3" t="s">
        <v>8</v>
      </c>
      <c r="G1498" s="46">
        <v>21</v>
      </c>
      <c r="H1498" s="3">
        <v>25</v>
      </c>
      <c r="I1498" s="46">
        <v>33</v>
      </c>
      <c r="J1498" s="55">
        <v>0</v>
      </c>
      <c r="K1498" s="1">
        <f t="shared" ref="K1498" si="1385">(IF(F1498="SELL",G1498-H1498,IF(F1498="BUY",H1498-G1498)))*E1498</f>
        <v>2000</v>
      </c>
      <c r="L1498" s="51">
        <f t="shared" ref="L1498" si="1386">(IF(F1498="SELL",IF(I1498="",0,H1498-I1498),IF(F1498="BUY",IF(I1498="",0,I1498-H1498))))*E1498</f>
        <v>4000</v>
      </c>
      <c r="M1498" s="52">
        <v>0</v>
      </c>
      <c r="N1498" s="2">
        <f t="shared" si="1315"/>
        <v>12</v>
      </c>
      <c r="O1498" s="2">
        <f t="shared" si="1332"/>
        <v>6000</v>
      </c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</row>
    <row r="1499" spans="1:33" s="14" customFormat="1">
      <c r="A1499" s="10">
        <v>43215</v>
      </c>
      <c r="B1499" s="3" t="s">
        <v>239</v>
      </c>
      <c r="C1499" s="15" t="s">
        <v>47</v>
      </c>
      <c r="D1499" s="15">
        <v>220</v>
      </c>
      <c r="E1499" s="11">
        <v>5000</v>
      </c>
      <c r="F1499" s="3" t="s">
        <v>8</v>
      </c>
      <c r="G1499" s="46">
        <v>2.5</v>
      </c>
      <c r="H1499" s="3">
        <v>3</v>
      </c>
      <c r="I1499" s="46">
        <v>4</v>
      </c>
      <c r="J1499" s="55">
        <v>5</v>
      </c>
      <c r="K1499" s="1">
        <f t="shared" ref="K1499" si="1387">(IF(F1499="SELL",G1499-H1499,IF(F1499="BUY",H1499-G1499)))*E1499</f>
        <v>2500</v>
      </c>
      <c r="L1499" s="51">
        <f t="shared" ref="L1499" si="1388">(IF(F1499="SELL",IF(I1499="",0,H1499-I1499),IF(F1499="BUY",IF(I1499="",0,I1499-H1499))))*E1499</f>
        <v>5000</v>
      </c>
      <c r="M1499" s="52">
        <f>(IF(F1499="SELL",IF(J1499="",0,I1499-J1499),IF(F1499="BUY",IF(J1499="",0,(J1499-I1499)))))*E1499</f>
        <v>5000</v>
      </c>
      <c r="N1499" s="2">
        <f t="shared" si="1315"/>
        <v>2.5</v>
      </c>
      <c r="O1499" s="2">
        <f t="shared" si="1332"/>
        <v>12500</v>
      </c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</row>
    <row r="1500" spans="1:33" s="14" customFormat="1">
      <c r="A1500" s="10">
        <v>43215</v>
      </c>
      <c r="B1500" s="3" t="s">
        <v>291</v>
      </c>
      <c r="C1500" s="15" t="s">
        <v>47</v>
      </c>
      <c r="D1500" s="15">
        <v>3400</v>
      </c>
      <c r="E1500" s="11">
        <v>250</v>
      </c>
      <c r="F1500" s="3" t="s">
        <v>8</v>
      </c>
      <c r="G1500" s="46">
        <v>55</v>
      </c>
      <c r="H1500" s="3">
        <v>60</v>
      </c>
      <c r="I1500" s="46">
        <v>70</v>
      </c>
      <c r="J1500" s="55">
        <v>80</v>
      </c>
      <c r="K1500" s="1">
        <f t="shared" ref="K1500" si="1389">(IF(F1500="SELL",G1500-H1500,IF(F1500="BUY",H1500-G1500)))*E1500</f>
        <v>1250</v>
      </c>
      <c r="L1500" s="51">
        <f t="shared" ref="L1500" si="1390">(IF(F1500="SELL",IF(I1500="",0,H1500-I1500),IF(F1500="BUY",IF(I1500="",0,I1500-H1500))))*E1500</f>
        <v>2500</v>
      </c>
      <c r="M1500" s="52">
        <f>(IF(F1500="SELL",IF(J1500="",0,I1500-J1500),IF(F1500="BUY",IF(J1500="",0,(J1500-I1500)))))*E1500</f>
        <v>2500</v>
      </c>
      <c r="N1500" s="2">
        <f t="shared" si="1315"/>
        <v>25</v>
      </c>
      <c r="O1500" s="2">
        <f t="shared" si="1332"/>
        <v>6250</v>
      </c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</row>
    <row r="1501" spans="1:33" s="14" customFormat="1">
      <c r="A1501" s="10">
        <v>43215</v>
      </c>
      <c r="B1501" s="3" t="s">
        <v>13</v>
      </c>
      <c r="C1501" s="15" t="s">
        <v>47</v>
      </c>
      <c r="D1501" s="15">
        <v>1060</v>
      </c>
      <c r="E1501" s="11">
        <v>700</v>
      </c>
      <c r="F1501" s="3" t="s">
        <v>8</v>
      </c>
      <c r="G1501" s="46">
        <v>17.5</v>
      </c>
      <c r="H1501" s="3">
        <v>19.5</v>
      </c>
      <c r="I1501" s="46">
        <v>23</v>
      </c>
      <c r="J1501" s="55">
        <v>0</v>
      </c>
      <c r="K1501" s="1">
        <f t="shared" ref="K1501" si="1391">(IF(F1501="SELL",G1501-H1501,IF(F1501="BUY",H1501-G1501)))*E1501</f>
        <v>1400</v>
      </c>
      <c r="L1501" s="51">
        <f t="shared" ref="L1501" si="1392">(IF(F1501="SELL",IF(I1501="",0,H1501-I1501),IF(F1501="BUY",IF(I1501="",0,I1501-H1501))))*E1501</f>
        <v>2450</v>
      </c>
      <c r="M1501" s="52">
        <v>0</v>
      </c>
      <c r="N1501" s="2">
        <f t="shared" si="1315"/>
        <v>5.5</v>
      </c>
      <c r="O1501" s="2">
        <f t="shared" si="1332"/>
        <v>3850</v>
      </c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</row>
    <row r="1502" spans="1:33" s="14" customFormat="1">
      <c r="A1502" s="10">
        <v>43215</v>
      </c>
      <c r="B1502" s="3" t="s">
        <v>196</v>
      </c>
      <c r="C1502" s="15" t="s">
        <v>47</v>
      </c>
      <c r="D1502" s="15">
        <v>690</v>
      </c>
      <c r="E1502" s="11">
        <v>1200</v>
      </c>
      <c r="F1502" s="3" t="s">
        <v>8</v>
      </c>
      <c r="G1502" s="46">
        <v>12.5</v>
      </c>
      <c r="H1502" s="3">
        <v>13.5</v>
      </c>
      <c r="I1502" s="46">
        <v>15</v>
      </c>
      <c r="J1502" s="55">
        <v>0</v>
      </c>
      <c r="K1502" s="1">
        <f t="shared" ref="K1502" si="1393">(IF(F1502="SELL",G1502-H1502,IF(F1502="BUY",H1502-G1502)))*E1502</f>
        <v>1200</v>
      </c>
      <c r="L1502" s="51">
        <f t="shared" ref="L1502" si="1394">(IF(F1502="SELL",IF(I1502="",0,H1502-I1502),IF(F1502="BUY",IF(I1502="",0,I1502-H1502))))*E1502</f>
        <v>1800</v>
      </c>
      <c r="M1502" s="52">
        <v>0</v>
      </c>
      <c r="N1502" s="2">
        <f t="shared" si="1315"/>
        <v>2.5</v>
      </c>
      <c r="O1502" s="2">
        <f t="shared" si="1332"/>
        <v>3000</v>
      </c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</row>
    <row r="1503" spans="1:33" s="14" customFormat="1">
      <c r="A1503" s="10">
        <v>43214</v>
      </c>
      <c r="B1503" s="3" t="s">
        <v>73</v>
      </c>
      <c r="C1503" s="15" t="s">
        <v>47</v>
      </c>
      <c r="D1503" s="15">
        <v>1360</v>
      </c>
      <c r="E1503" s="11">
        <v>750</v>
      </c>
      <c r="F1503" s="3" t="s">
        <v>8</v>
      </c>
      <c r="G1503" s="46">
        <v>11</v>
      </c>
      <c r="H1503" s="3">
        <v>13.5</v>
      </c>
      <c r="I1503" s="46">
        <v>17</v>
      </c>
      <c r="J1503" s="55">
        <v>21.35</v>
      </c>
      <c r="K1503" s="1">
        <f t="shared" ref="K1503" si="1395">(IF(F1503="SELL",G1503-H1503,IF(F1503="BUY",H1503-G1503)))*E1503</f>
        <v>1875</v>
      </c>
      <c r="L1503" s="51">
        <f t="shared" ref="L1503" si="1396">(IF(F1503="SELL",IF(I1503="",0,H1503-I1503),IF(F1503="BUY",IF(I1503="",0,I1503-H1503))))*E1503</f>
        <v>2625</v>
      </c>
      <c r="M1503" s="52">
        <f>(IF(F1503="SELL",IF(J1503="",0,I1503-J1503),IF(F1503="BUY",IF(J1503="",0,(J1503-I1503)))))*E1503</f>
        <v>3262.5000000000009</v>
      </c>
      <c r="N1503" s="2">
        <f t="shared" si="1315"/>
        <v>10.350000000000001</v>
      </c>
      <c r="O1503" s="2">
        <f t="shared" si="1332"/>
        <v>7762.5000000000009</v>
      </c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</row>
    <row r="1504" spans="1:33" s="14" customFormat="1">
      <c r="A1504" s="10">
        <v>43214</v>
      </c>
      <c r="B1504" s="3" t="s">
        <v>290</v>
      </c>
      <c r="C1504" s="15" t="s">
        <v>47</v>
      </c>
      <c r="D1504" s="15">
        <v>960</v>
      </c>
      <c r="E1504" s="11">
        <v>500</v>
      </c>
      <c r="F1504" s="3" t="s">
        <v>8</v>
      </c>
      <c r="G1504" s="46">
        <v>25.7</v>
      </c>
      <c r="H1504" s="3">
        <v>29</v>
      </c>
      <c r="I1504" s="46">
        <v>35</v>
      </c>
      <c r="J1504" s="55">
        <v>39</v>
      </c>
      <c r="K1504" s="1">
        <f t="shared" ref="K1504" si="1397">(IF(F1504="SELL",G1504-H1504,IF(F1504="BUY",H1504-G1504)))*E1504</f>
        <v>1650.0000000000005</v>
      </c>
      <c r="L1504" s="51">
        <f t="shared" ref="L1504" si="1398">(IF(F1504="SELL",IF(I1504="",0,H1504-I1504),IF(F1504="BUY",IF(I1504="",0,I1504-H1504))))*E1504</f>
        <v>3000</v>
      </c>
      <c r="M1504" s="52">
        <f>(IF(F1504="SELL",IF(J1504="",0,I1504-J1504),IF(F1504="BUY",IF(J1504="",0,(J1504-I1504)))))*E1504</f>
        <v>2000</v>
      </c>
      <c r="N1504" s="2">
        <f t="shared" si="1315"/>
        <v>13.3</v>
      </c>
      <c r="O1504" s="2">
        <f t="shared" si="1332"/>
        <v>6650</v>
      </c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</row>
    <row r="1505" spans="1:33" s="14" customFormat="1">
      <c r="A1505" s="10">
        <v>43213</v>
      </c>
      <c r="B1505" s="3" t="s">
        <v>31</v>
      </c>
      <c r="C1505" s="15" t="s">
        <v>47</v>
      </c>
      <c r="D1505" s="15">
        <v>270</v>
      </c>
      <c r="E1505" s="11">
        <v>2500</v>
      </c>
      <c r="F1505" s="3" t="s">
        <v>8</v>
      </c>
      <c r="G1505" s="46">
        <v>5.5</v>
      </c>
      <c r="H1505" s="3">
        <v>6.2</v>
      </c>
      <c r="I1505" s="46">
        <v>0</v>
      </c>
      <c r="J1505" s="55">
        <v>0</v>
      </c>
      <c r="K1505" s="1">
        <f t="shared" ref="K1505" si="1399">(IF(F1505="SELL",G1505-H1505,IF(F1505="BUY",H1505-G1505)))*E1505</f>
        <v>1750.0000000000005</v>
      </c>
      <c r="L1505" s="51">
        <v>0</v>
      </c>
      <c r="M1505" s="52">
        <f>(IF(F1505="SELL",IF(J1505="",0,I1505-J1505),IF(F1505="BUY",IF(J1505="",0,(J1505-I1505)))))*E1505</f>
        <v>0</v>
      </c>
      <c r="N1505" s="2">
        <f t="shared" si="1315"/>
        <v>0.70000000000000018</v>
      </c>
      <c r="O1505" s="2">
        <f t="shared" si="1332"/>
        <v>1750.0000000000005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</row>
    <row r="1506" spans="1:33" s="14" customFormat="1">
      <c r="A1506" s="10">
        <v>43213</v>
      </c>
      <c r="B1506" s="3" t="s">
        <v>31</v>
      </c>
      <c r="C1506" s="15" t="s">
        <v>47</v>
      </c>
      <c r="D1506" s="15">
        <v>270</v>
      </c>
      <c r="E1506" s="11">
        <v>2500</v>
      </c>
      <c r="F1506" s="3" t="s">
        <v>8</v>
      </c>
      <c r="G1506" s="46">
        <v>4</v>
      </c>
      <c r="H1506" s="3">
        <v>5.5</v>
      </c>
      <c r="I1506" s="46">
        <v>0</v>
      </c>
      <c r="J1506" s="55">
        <v>0</v>
      </c>
      <c r="K1506" s="1">
        <f t="shared" ref="K1506" si="1400">(IF(F1506="SELL",G1506-H1506,IF(F1506="BUY",H1506-G1506)))*E1506</f>
        <v>3750</v>
      </c>
      <c r="L1506" s="51">
        <v>0</v>
      </c>
      <c r="M1506" s="52">
        <f>(IF(F1506="SELL",IF(J1506="",0,I1506-J1506),IF(F1506="BUY",IF(J1506="",0,(J1506-I1506)))))*E1506</f>
        <v>0</v>
      </c>
      <c r="N1506" s="2">
        <f t="shared" si="1315"/>
        <v>1.5</v>
      </c>
      <c r="O1506" s="2">
        <f t="shared" si="1332"/>
        <v>3750</v>
      </c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</row>
    <row r="1507" spans="1:33" s="14" customFormat="1">
      <c r="A1507" s="10">
        <v>43210</v>
      </c>
      <c r="B1507" s="3" t="s">
        <v>211</v>
      </c>
      <c r="C1507" s="15" t="s">
        <v>47</v>
      </c>
      <c r="D1507" s="15">
        <v>960</v>
      </c>
      <c r="E1507" s="11">
        <v>1500</v>
      </c>
      <c r="F1507" s="3" t="s">
        <v>8</v>
      </c>
      <c r="G1507" s="46">
        <v>18</v>
      </c>
      <c r="H1507" s="3">
        <v>19.5</v>
      </c>
      <c r="I1507" s="46">
        <v>21</v>
      </c>
      <c r="J1507" s="55">
        <v>23</v>
      </c>
      <c r="K1507" s="1">
        <f t="shared" ref="K1507" si="1401">(IF(F1507="SELL",G1507-H1507,IF(F1507="BUY",H1507-G1507)))*E1507</f>
        <v>2250</v>
      </c>
      <c r="L1507" s="51">
        <f t="shared" ref="L1507" si="1402">(IF(F1507="SELL",IF(I1507="",0,H1507-I1507),IF(F1507="BUY",IF(I1507="",0,I1507-H1507))))*E1507</f>
        <v>2250</v>
      </c>
      <c r="M1507" s="52">
        <f>(IF(F1507="SELL",IF(J1507="",0,I1507-J1507),IF(F1507="BUY",IF(J1507="",0,(J1507-I1507)))))*E1507</f>
        <v>3000</v>
      </c>
      <c r="N1507" s="2">
        <f t="shared" si="1315"/>
        <v>5</v>
      </c>
      <c r="O1507" s="2">
        <f t="shared" si="1332"/>
        <v>7500</v>
      </c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</row>
    <row r="1508" spans="1:33" s="14" customFormat="1">
      <c r="A1508" s="10">
        <v>43210</v>
      </c>
      <c r="B1508" s="3" t="s">
        <v>213</v>
      </c>
      <c r="C1508" s="15" t="s">
        <v>47</v>
      </c>
      <c r="D1508" s="15">
        <v>420</v>
      </c>
      <c r="E1508" s="11">
        <v>2000</v>
      </c>
      <c r="F1508" s="3" t="s">
        <v>8</v>
      </c>
      <c r="G1508" s="46">
        <v>8.5</v>
      </c>
      <c r="H1508" s="3">
        <v>9.15</v>
      </c>
      <c r="I1508" s="46">
        <v>0</v>
      </c>
      <c r="J1508" s="55">
        <v>0</v>
      </c>
      <c r="K1508" s="1">
        <f t="shared" ref="K1508" si="1403">(IF(F1508="SELL",G1508-H1508,IF(F1508="BUY",H1508-G1508)))*E1508</f>
        <v>1300.0000000000007</v>
      </c>
      <c r="L1508" s="51">
        <v>0</v>
      </c>
      <c r="M1508" s="52">
        <v>0</v>
      </c>
      <c r="N1508" s="2">
        <f t="shared" si="1315"/>
        <v>0.65000000000000036</v>
      </c>
      <c r="O1508" s="2">
        <f t="shared" si="1332"/>
        <v>1300.0000000000007</v>
      </c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</row>
    <row r="1509" spans="1:33" s="14" customFormat="1">
      <c r="A1509" s="10">
        <v>43209</v>
      </c>
      <c r="B1509" s="3" t="s">
        <v>269</v>
      </c>
      <c r="C1509" s="15" t="s">
        <v>47</v>
      </c>
      <c r="D1509" s="15">
        <v>80</v>
      </c>
      <c r="E1509" s="11">
        <v>12000</v>
      </c>
      <c r="F1509" s="3" t="s">
        <v>8</v>
      </c>
      <c r="G1509" s="46">
        <v>1.6</v>
      </c>
      <c r="H1509" s="3">
        <v>1.8</v>
      </c>
      <c r="I1509" s="46">
        <v>2.1</v>
      </c>
      <c r="J1509" s="55">
        <v>2.5</v>
      </c>
      <c r="K1509" s="1">
        <f t="shared" ref="K1509" si="1404">(IF(F1509="SELL",G1509-H1509,IF(F1509="BUY",H1509-G1509)))*E1509</f>
        <v>2399.9999999999995</v>
      </c>
      <c r="L1509" s="51">
        <f t="shared" ref="L1509" si="1405">(IF(F1509="SELL",IF(I1509="",0,H1509-I1509),IF(F1509="BUY",IF(I1509="",0,I1509-H1509))))*E1509</f>
        <v>3600.0000000000005</v>
      </c>
      <c r="M1509" s="52">
        <f>(IF(F1509="SELL",IF(J1509="",0,I1509-J1509),IF(F1509="BUY",IF(J1509="",0,(J1509-I1509)))))*E1509</f>
        <v>4799.9999999999991</v>
      </c>
      <c r="N1509" s="2">
        <f t="shared" si="1315"/>
        <v>0.9</v>
      </c>
      <c r="O1509" s="2">
        <f t="shared" si="1332"/>
        <v>10800</v>
      </c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</row>
    <row r="1510" spans="1:33" s="14" customFormat="1">
      <c r="A1510" s="10">
        <v>43209</v>
      </c>
      <c r="B1510" s="3" t="s">
        <v>289</v>
      </c>
      <c r="C1510" s="15" t="s">
        <v>47</v>
      </c>
      <c r="D1510" s="15">
        <v>760</v>
      </c>
      <c r="E1510" s="11">
        <v>1200</v>
      </c>
      <c r="F1510" s="3" t="s">
        <v>8</v>
      </c>
      <c r="G1510" s="46">
        <v>6.7</v>
      </c>
      <c r="H1510" s="3">
        <v>8.1999999999999993</v>
      </c>
      <c r="I1510" s="46">
        <v>0</v>
      </c>
      <c r="J1510" s="55">
        <v>0</v>
      </c>
      <c r="K1510" s="1">
        <f t="shared" ref="K1510" si="1406">(IF(F1510="SELL",G1510-H1510,IF(F1510="BUY",H1510-G1510)))*E1510</f>
        <v>1799.9999999999989</v>
      </c>
      <c r="L1510" s="51">
        <v>0</v>
      </c>
      <c r="M1510" s="52">
        <v>0</v>
      </c>
      <c r="N1510" s="2">
        <f t="shared" ref="N1510:N1573" si="1407">(L1510+K1510+M1510)/E1510</f>
        <v>1.4999999999999991</v>
      </c>
      <c r="O1510" s="2">
        <f t="shared" si="1332"/>
        <v>1799.9999999999989</v>
      </c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</row>
    <row r="1511" spans="1:33" s="14" customFormat="1">
      <c r="A1511" s="10">
        <v>43208</v>
      </c>
      <c r="B1511" s="3" t="s">
        <v>288</v>
      </c>
      <c r="C1511" s="15" t="s">
        <v>47</v>
      </c>
      <c r="D1511" s="15">
        <v>150</v>
      </c>
      <c r="E1511" s="11">
        <v>3500</v>
      </c>
      <c r="F1511" s="3" t="s">
        <v>8</v>
      </c>
      <c r="G1511" s="46">
        <v>4</v>
      </c>
      <c r="H1511" s="3">
        <v>4</v>
      </c>
      <c r="I1511" s="46">
        <v>0</v>
      </c>
      <c r="J1511" s="55">
        <v>0</v>
      </c>
      <c r="K1511" s="1">
        <v>0</v>
      </c>
      <c r="L1511" s="51">
        <v>0</v>
      </c>
      <c r="M1511" s="52">
        <v>0</v>
      </c>
      <c r="N1511" s="2">
        <f t="shared" si="1407"/>
        <v>0</v>
      </c>
      <c r="O1511" s="2">
        <f t="shared" si="1332"/>
        <v>0</v>
      </c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</row>
    <row r="1512" spans="1:33" s="14" customFormat="1">
      <c r="A1512" s="10">
        <v>43207</v>
      </c>
      <c r="B1512" s="3" t="s">
        <v>211</v>
      </c>
      <c r="C1512" s="15" t="s">
        <v>47</v>
      </c>
      <c r="D1512" s="15">
        <v>940</v>
      </c>
      <c r="E1512" s="11">
        <v>1500</v>
      </c>
      <c r="F1512" s="3" t="s">
        <v>8</v>
      </c>
      <c r="G1512" s="46">
        <v>21</v>
      </c>
      <c r="H1512" s="3">
        <v>22.5</v>
      </c>
      <c r="I1512" s="46">
        <v>25</v>
      </c>
      <c r="J1512" s="55">
        <v>0</v>
      </c>
      <c r="K1512" s="1">
        <f t="shared" ref="K1512" si="1408">(IF(F1512="SELL",G1512-H1512,IF(F1512="BUY",H1512-G1512)))*E1512</f>
        <v>2250</v>
      </c>
      <c r="L1512" s="51">
        <f t="shared" ref="L1512" si="1409">(IF(F1512="SELL",IF(I1512="",0,H1512-I1512),IF(F1512="BUY",IF(I1512="",0,I1512-H1512))))*E1512</f>
        <v>3750</v>
      </c>
      <c r="M1512" s="52">
        <v>0</v>
      </c>
      <c r="N1512" s="2">
        <f t="shared" si="1407"/>
        <v>4</v>
      </c>
      <c r="O1512" s="2">
        <f t="shared" si="1332"/>
        <v>6000</v>
      </c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</row>
    <row r="1513" spans="1:33" s="14" customFormat="1">
      <c r="A1513" s="10">
        <v>43207</v>
      </c>
      <c r="B1513" s="3" t="s">
        <v>239</v>
      </c>
      <c r="C1513" s="15" t="s">
        <v>47</v>
      </c>
      <c r="D1513" s="15">
        <v>220</v>
      </c>
      <c r="E1513" s="11">
        <v>5000</v>
      </c>
      <c r="F1513" s="3" t="s">
        <v>8</v>
      </c>
      <c r="G1513" s="46">
        <v>4.3499999999999996</v>
      </c>
      <c r="H1513" s="3">
        <v>4.7</v>
      </c>
      <c r="I1513" s="46">
        <v>0</v>
      </c>
      <c r="J1513" s="55">
        <v>0</v>
      </c>
      <c r="K1513" s="1">
        <f t="shared" ref="K1513" si="1410">(IF(F1513="SELL",G1513-H1513,IF(F1513="BUY",H1513-G1513)))*E1513</f>
        <v>1750.0000000000027</v>
      </c>
      <c r="L1513" s="51">
        <v>0</v>
      </c>
      <c r="M1513" s="52">
        <f>(IF(F1513="SELL",IF(J1513="",0,I1513-J1513),IF(F1513="BUY",IF(J1513="",0,(J1513-I1513)))))*E1513</f>
        <v>0</v>
      </c>
      <c r="N1513" s="2">
        <f t="shared" si="1407"/>
        <v>0.35000000000000053</v>
      </c>
      <c r="O1513" s="2">
        <f t="shared" si="1332"/>
        <v>1750.0000000000027</v>
      </c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</row>
    <row r="1514" spans="1:33" s="14" customFormat="1">
      <c r="A1514" s="10">
        <v>43207</v>
      </c>
      <c r="B1514" s="3" t="s">
        <v>211</v>
      </c>
      <c r="C1514" s="15" t="s">
        <v>47</v>
      </c>
      <c r="D1514" s="15">
        <v>940</v>
      </c>
      <c r="E1514" s="11">
        <v>1500</v>
      </c>
      <c r="F1514" s="3" t="s">
        <v>8</v>
      </c>
      <c r="G1514" s="46">
        <v>19.5</v>
      </c>
      <c r="H1514" s="3">
        <v>21</v>
      </c>
      <c r="I1514" s="46">
        <v>0</v>
      </c>
      <c r="J1514" s="55">
        <v>0</v>
      </c>
      <c r="K1514" s="1">
        <f t="shared" ref="K1514" si="1411">(IF(F1514="SELL",G1514-H1514,IF(F1514="BUY",H1514-G1514)))*E1514</f>
        <v>2250</v>
      </c>
      <c r="L1514" s="51">
        <v>0</v>
      </c>
      <c r="M1514" s="52">
        <v>0</v>
      </c>
      <c r="N1514" s="2">
        <f t="shared" si="1407"/>
        <v>1.5</v>
      </c>
      <c r="O1514" s="2">
        <f t="shared" si="1332"/>
        <v>2250</v>
      </c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</row>
    <row r="1515" spans="1:33" s="14" customFormat="1">
      <c r="A1515" s="10">
        <v>43207</v>
      </c>
      <c r="B1515" s="3" t="s">
        <v>269</v>
      </c>
      <c r="C1515" s="15" t="s">
        <v>47</v>
      </c>
      <c r="D1515" s="15">
        <v>77.5</v>
      </c>
      <c r="E1515" s="11">
        <v>12000</v>
      </c>
      <c r="F1515" s="3" t="s">
        <v>8</v>
      </c>
      <c r="G1515" s="46">
        <v>2.6</v>
      </c>
      <c r="H1515" s="3">
        <v>2</v>
      </c>
      <c r="I1515" s="46">
        <v>0</v>
      </c>
      <c r="J1515" s="55">
        <v>0</v>
      </c>
      <c r="K1515" s="1">
        <f t="shared" ref="K1515" si="1412">(IF(F1515="SELL",G1515-H1515,IF(F1515="BUY",H1515-G1515)))*E1515</f>
        <v>-7200.0000000000009</v>
      </c>
      <c r="L1515" s="51">
        <v>0</v>
      </c>
      <c r="M1515" s="52">
        <f t="shared" ref="M1515:M1521" si="1413">(IF(F1515="SELL",IF(J1515="",0,I1515-J1515),IF(F1515="BUY",IF(J1515="",0,(J1515-I1515)))))*E1515</f>
        <v>0</v>
      </c>
      <c r="N1515" s="2">
        <f t="shared" si="1407"/>
        <v>-0.60000000000000009</v>
      </c>
      <c r="O1515" s="2">
        <f t="shared" si="1332"/>
        <v>-7200.0000000000009</v>
      </c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</row>
    <row r="1516" spans="1:33" s="14" customFormat="1">
      <c r="A1516" s="10">
        <v>43206</v>
      </c>
      <c r="B1516" s="3" t="s">
        <v>219</v>
      </c>
      <c r="C1516" s="15" t="s">
        <v>47</v>
      </c>
      <c r="D1516" s="15">
        <v>560</v>
      </c>
      <c r="E1516" s="11">
        <v>1500</v>
      </c>
      <c r="F1516" s="3" t="s">
        <v>8</v>
      </c>
      <c r="G1516" s="46">
        <v>13.5</v>
      </c>
      <c r="H1516" s="3">
        <v>15</v>
      </c>
      <c r="I1516" s="46">
        <v>17</v>
      </c>
      <c r="J1516" s="55">
        <v>20</v>
      </c>
      <c r="K1516" s="1">
        <f t="shared" ref="K1516:K1517" si="1414">(IF(F1516="SELL",G1516-H1516,IF(F1516="BUY",H1516-G1516)))*E1516</f>
        <v>2250</v>
      </c>
      <c r="L1516" s="51">
        <f t="shared" ref="L1516" si="1415">(IF(F1516="SELL",IF(I1516="",0,H1516-I1516),IF(F1516="BUY",IF(I1516="",0,I1516-H1516))))*E1516</f>
        <v>3000</v>
      </c>
      <c r="M1516" s="52">
        <f t="shared" si="1413"/>
        <v>4500</v>
      </c>
      <c r="N1516" s="2">
        <f t="shared" si="1407"/>
        <v>6.5</v>
      </c>
      <c r="O1516" s="2">
        <f t="shared" si="1332"/>
        <v>9750</v>
      </c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</row>
    <row r="1517" spans="1:33" s="14" customFormat="1">
      <c r="A1517" s="10">
        <v>43206</v>
      </c>
      <c r="B1517" s="3" t="s">
        <v>218</v>
      </c>
      <c r="C1517" s="15" t="s">
        <v>47</v>
      </c>
      <c r="D1517" s="15">
        <v>560</v>
      </c>
      <c r="E1517" s="11">
        <v>1500</v>
      </c>
      <c r="F1517" s="3" t="s">
        <v>8</v>
      </c>
      <c r="G1517" s="46">
        <v>8</v>
      </c>
      <c r="H1517" s="3">
        <v>9</v>
      </c>
      <c r="I1517" s="46">
        <v>0</v>
      </c>
      <c r="J1517" s="55">
        <v>0</v>
      </c>
      <c r="K1517" s="1">
        <f t="shared" si="1414"/>
        <v>1500</v>
      </c>
      <c r="L1517" s="51">
        <v>0</v>
      </c>
      <c r="M1517" s="52">
        <f t="shared" si="1413"/>
        <v>0</v>
      </c>
      <c r="N1517" s="2">
        <f t="shared" si="1407"/>
        <v>1</v>
      </c>
      <c r="O1517" s="2">
        <f t="shared" si="1332"/>
        <v>1500</v>
      </c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</row>
    <row r="1518" spans="1:33" s="14" customFormat="1">
      <c r="A1518" s="10">
        <v>43206</v>
      </c>
      <c r="B1518" s="3" t="s">
        <v>270</v>
      </c>
      <c r="C1518" s="15" t="s">
        <v>47</v>
      </c>
      <c r="D1518" s="15">
        <v>255</v>
      </c>
      <c r="E1518" s="11">
        <v>4500</v>
      </c>
      <c r="F1518" s="3" t="s">
        <v>8</v>
      </c>
      <c r="G1518" s="46">
        <v>6.9</v>
      </c>
      <c r="H1518" s="3">
        <v>7.5</v>
      </c>
      <c r="I1518" s="46">
        <v>0</v>
      </c>
      <c r="J1518" s="55">
        <v>0</v>
      </c>
      <c r="K1518" s="1">
        <f t="shared" ref="K1518" si="1416">(IF(F1518="SELL",G1518-H1518,IF(F1518="BUY",H1518-G1518)))*E1518</f>
        <v>2699.9999999999982</v>
      </c>
      <c r="L1518" s="51">
        <v>0</v>
      </c>
      <c r="M1518" s="52">
        <f t="shared" si="1413"/>
        <v>0</v>
      </c>
      <c r="N1518" s="2">
        <f t="shared" si="1407"/>
        <v>0.59999999999999964</v>
      </c>
      <c r="O1518" s="2">
        <f t="shared" si="1332"/>
        <v>2699.9999999999982</v>
      </c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</row>
    <row r="1519" spans="1:33" s="14" customFormat="1">
      <c r="A1519" s="10">
        <v>43203</v>
      </c>
      <c r="B1519" s="3" t="s">
        <v>280</v>
      </c>
      <c r="C1519" s="15" t="s">
        <v>47</v>
      </c>
      <c r="D1519" s="15">
        <v>1650</v>
      </c>
      <c r="E1519" s="11">
        <v>600</v>
      </c>
      <c r="F1519" s="3" t="s">
        <v>8</v>
      </c>
      <c r="G1519" s="46">
        <v>22.5</v>
      </c>
      <c r="H1519" s="3">
        <v>25.5</v>
      </c>
      <c r="I1519" s="46">
        <v>0</v>
      </c>
      <c r="J1519" s="55">
        <v>0</v>
      </c>
      <c r="K1519" s="1">
        <f t="shared" ref="K1519" si="1417">(IF(F1519="SELL",G1519-H1519,IF(F1519="BUY",H1519-G1519)))*E1519</f>
        <v>1800</v>
      </c>
      <c r="L1519" s="51">
        <v>0</v>
      </c>
      <c r="M1519" s="52">
        <f t="shared" si="1413"/>
        <v>0</v>
      </c>
      <c r="N1519" s="2">
        <f t="shared" si="1407"/>
        <v>3</v>
      </c>
      <c r="O1519" s="2">
        <f t="shared" si="1332"/>
        <v>1800</v>
      </c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</row>
    <row r="1520" spans="1:33" s="14" customFormat="1">
      <c r="A1520" s="10">
        <v>43202</v>
      </c>
      <c r="B1520" s="3" t="s">
        <v>264</v>
      </c>
      <c r="C1520" s="15" t="s">
        <v>47</v>
      </c>
      <c r="D1520" s="15">
        <v>225</v>
      </c>
      <c r="E1520" s="11">
        <v>4500</v>
      </c>
      <c r="F1520" s="3" t="s">
        <v>8</v>
      </c>
      <c r="G1520" s="46">
        <v>8.85</v>
      </c>
      <c r="H1520" s="3">
        <v>9.4</v>
      </c>
      <c r="I1520" s="46">
        <v>0</v>
      </c>
      <c r="J1520" s="55">
        <v>0</v>
      </c>
      <c r="K1520" s="1">
        <f t="shared" ref="K1520" si="1418">(IF(F1520="SELL",G1520-H1520,IF(F1520="BUY",H1520-G1520)))*E1520</f>
        <v>2475.0000000000032</v>
      </c>
      <c r="L1520" s="51">
        <v>0</v>
      </c>
      <c r="M1520" s="52">
        <f t="shared" si="1413"/>
        <v>0</v>
      </c>
      <c r="N1520" s="2">
        <f t="shared" si="1407"/>
        <v>0.55000000000000071</v>
      </c>
      <c r="O1520" s="2">
        <f t="shared" si="1332"/>
        <v>2475.0000000000032</v>
      </c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</row>
    <row r="1521" spans="1:33" s="14" customFormat="1">
      <c r="A1521" s="10">
        <v>43201</v>
      </c>
      <c r="B1521" s="3" t="s">
        <v>37</v>
      </c>
      <c r="C1521" s="15" t="s">
        <v>47</v>
      </c>
      <c r="D1521" s="15">
        <v>3000</v>
      </c>
      <c r="E1521" s="11">
        <v>250</v>
      </c>
      <c r="F1521" s="3" t="s">
        <v>8</v>
      </c>
      <c r="G1521" s="46">
        <v>57</v>
      </c>
      <c r="H1521" s="3">
        <v>65</v>
      </c>
      <c r="I1521" s="46">
        <v>75</v>
      </c>
      <c r="J1521" s="55">
        <v>83.5</v>
      </c>
      <c r="K1521" s="1">
        <f t="shared" ref="K1521" si="1419">(IF(F1521="SELL",G1521-H1521,IF(F1521="BUY",H1521-G1521)))*E1521</f>
        <v>2000</v>
      </c>
      <c r="L1521" s="51">
        <f t="shared" ref="L1521" si="1420">(IF(F1521="SELL",IF(I1521="",0,H1521-I1521),IF(F1521="BUY",IF(I1521="",0,I1521-H1521))))*E1521</f>
        <v>2500</v>
      </c>
      <c r="M1521" s="52">
        <f t="shared" si="1413"/>
        <v>2125</v>
      </c>
      <c r="N1521" s="2">
        <f t="shared" si="1407"/>
        <v>26.5</v>
      </c>
      <c r="O1521" s="2">
        <f t="shared" ref="O1521:O1584" si="1421">N1521*E1521</f>
        <v>6625</v>
      </c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</row>
    <row r="1522" spans="1:33" s="14" customFormat="1">
      <c r="A1522" s="10">
        <v>43201</v>
      </c>
      <c r="B1522" s="3" t="s">
        <v>287</v>
      </c>
      <c r="C1522" s="15" t="s">
        <v>47</v>
      </c>
      <c r="D1522" s="15">
        <v>1340</v>
      </c>
      <c r="E1522" s="11">
        <v>750</v>
      </c>
      <c r="F1522" s="3" t="s">
        <v>8</v>
      </c>
      <c r="G1522" s="46">
        <v>26</v>
      </c>
      <c r="H1522" s="3">
        <v>29</v>
      </c>
      <c r="I1522" s="46">
        <v>0</v>
      </c>
      <c r="J1522" s="55">
        <v>0</v>
      </c>
      <c r="K1522" s="1">
        <f t="shared" ref="K1522" si="1422">(IF(F1522="SELL",G1522-H1522,IF(F1522="BUY",H1522-G1522)))*E1522</f>
        <v>2250</v>
      </c>
      <c r="L1522" s="51">
        <v>0</v>
      </c>
      <c r="M1522" s="52">
        <v>0</v>
      </c>
      <c r="N1522" s="2">
        <f t="shared" si="1407"/>
        <v>3</v>
      </c>
      <c r="O1522" s="2">
        <f t="shared" si="1421"/>
        <v>2250</v>
      </c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</row>
    <row r="1523" spans="1:33" s="14" customFormat="1">
      <c r="A1523" s="10">
        <v>43200</v>
      </c>
      <c r="B1523" s="3" t="s">
        <v>287</v>
      </c>
      <c r="C1523" s="15" t="s">
        <v>47</v>
      </c>
      <c r="D1523" s="15">
        <v>1360</v>
      </c>
      <c r="E1523" s="11">
        <v>750</v>
      </c>
      <c r="F1523" s="3" t="s">
        <v>8</v>
      </c>
      <c r="G1523" s="46">
        <v>18</v>
      </c>
      <c r="H1523" s="3">
        <v>21</v>
      </c>
      <c r="I1523" s="46">
        <v>0</v>
      </c>
      <c r="J1523" s="55">
        <v>0</v>
      </c>
      <c r="K1523" s="1">
        <f t="shared" ref="K1523" si="1423">(IF(F1523="SELL",G1523-H1523,IF(F1523="BUY",H1523-G1523)))*E1523</f>
        <v>2250</v>
      </c>
      <c r="L1523" s="51">
        <v>0</v>
      </c>
      <c r="M1523" s="52">
        <v>0</v>
      </c>
      <c r="N1523" s="2">
        <f t="shared" si="1407"/>
        <v>3</v>
      </c>
      <c r="O1523" s="2">
        <f t="shared" si="1421"/>
        <v>2250</v>
      </c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</row>
    <row r="1524" spans="1:33" s="14" customFormat="1">
      <c r="A1524" s="10">
        <v>43200</v>
      </c>
      <c r="B1524" s="3" t="s">
        <v>196</v>
      </c>
      <c r="C1524" s="15" t="s">
        <v>47</v>
      </c>
      <c r="D1524" s="15">
        <v>630</v>
      </c>
      <c r="E1524" s="11">
        <v>1200</v>
      </c>
      <c r="F1524" s="3" t="s">
        <v>8</v>
      </c>
      <c r="G1524" s="46">
        <v>13.7</v>
      </c>
      <c r="H1524" s="3">
        <v>15</v>
      </c>
      <c r="I1524" s="46">
        <v>6.25</v>
      </c>
      <c r="J1524" s="55">
        <v>0</v>
      </c>
      <c r="K1524" s="1">
        <f t="shared" ref="K1524" si="1424">(IF(F1524="SELL",G1524-H1524,IF(F1524="BUY",H1524-G1524)))*E1524</f>
        <v>1560.0000000000009</v>
      </c>
      <c r="L1524" s="51">
        <v>0</v>
      </c>
      <c r="M1524" s="52">
        <v>0</v>
      </c>
      <c r="N1524" s="2">
        <f t="shared" si="1407"/>
        <v>1.3000000000000007</v>
      </c>
      <c r="O1524" s="2">
        <f t="shared" si="1421"/>
        <v>1560.0000000000009</v>
      </c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</row>
    <row r="1525" spans="1:33" s="14" customFormat="1">
      <c r="A1525" s="10">
        <v>43200</v>
      </c>
      <c r="B1525" s="3" t="s">
        <v>211</v>
      </c>
      <c r="C1525" s="15" t="s">
        <v>47</v>
      </c>
      <c r="D1525" s="15">
        <v>920</v>
      </c>
      <c r="E1525" s="11">
        <v>1500</v>
      </c>
      <c r="F1525" s="3" t="s">
        <v>8</v>
      </c>
      <c r="G1525" s="46">
        <v>21</v>
      </c>
      <c r="H1525" s="3">
        <v>0</v>
      </c>
      <c r="I1525" s="46">
        <v>0</v>
      </c>
      <c r="J1525" s="55">
        <v>0</v>
      </c>
      <c r="K1525" s="1">
        <v>0</v>
      </c>
      <c r="L1525" s="51">
        <f t="shared" ref="L1525" si="1425">(IF(F1525="SELL",IF(I1525="",0,H1525-I1525),IF(F1525="BUY",IF(I1525="",0,I1525-H1525))))*E1525</f>
        <v>0</v>
      </c>
      <c r="M1525" s="52">
        <v>0</v>
      </c>
      <c r="N1525" s="2">
        <f t="shared" si="1407"/>
        <v>0</v>
      </c>
      <c r="O1525" s="2">
        <f t="shared" si="1421"/>
        <v>0</v>
      </c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</row>
    <row r="1526" spans="1:33" s="14" customFormat="1">
      <c r="A1526" s="10">
        <v>43199</v>
      </c>
      <c r="B1526" s="3" t="s">
        <v>179</v>
      </c>
      <c r="C1526" s="15" t="s">
        <v>47</v>
      </c>
      <c r="D1526" s="15">
        <v>155</v>
      </c>
      <c r="E1526" s="11">
        <v>4000</v>
      </c>
      <c r="F1526" s="3" t="s">
        <v>8</v>
      </c>
      <c r="G1526" s="46">
        <v>4.75</v>
      </c>
      <c r="H1526" s="3">
        <v>5.25</v>
      </c>
      <c r="I1526" s="46">
        <v>6.25</v>
      </c>
      <c r="J1526" s="55">
        <v>0</v>
      </c>
      <c r="K1526" s="1">
        <f t="shared" ref="K1526" si="1426">(IF(F1526="SELL",G1526-H1526,IF(F1526="BUY",H1526-G1526)))*E1526</f>
        <v>2000</v>
      </c>
      <c r="L1526" s="51">
        <f t="shared" ref="L1526:L1527" si="1427">(IF(F1526="SELL",IF(I1526="",0,H1526-I1526),IF(F1526="BUY",IF(I1526="",0,I1526-H1526))))*E1526</f>
        <v>4000</v>
      </c>
      <c r="M1526" s="52">
        <v>0</v>
      </c>
      <c r="N1526" s="2">
        <f t="shared" si="1407"/>
        <v>1.5</v>
      </c>
      <c r="O1526" s="2">
        <f t="shared" si="1421"/>
        <v>6000</v>
      </c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</row>
    <row r="1527" spans="1:33" s="14" customFormat="1">
      <c r="A1527" s="10">
        <v>43199</v>
      </c>
      <c r="B1527" s="3" t="s">
        <v>286</v>
      </c>
      <c r="C1527" s="15" t="s">
        <v>47</v>
      </c>
      <c r="D1527" s="15">
        <v>1400</v>
      </c>
      <c r="E1527" s="11">
        <v>600</v>
      </c>
      <c r="F1527" s="3" t="s">
        <v>8</v>
      </c>
      <c r="G1527" s="46">
        <v>14</v>
      </c>
      <c r="H1527" s="3">
        <v>17</v>
      </c>
      <c r="I1527" s="46">
        <v>19.5</v>
      </c>
      <c r="J1527" s="55">
        <v>0</v>
      </c>
      <c r="K1527" s="1">
        <f t="shared" ref="K1527" si="1428">(IF(F1527="SELL",G1527-H1527,IF(F1527="BUY",H1527-G1527)))*E1527</f>
        <v>1800</v>
      </c>
      <c r="L1527" s="51">
        <f t="shared" si="1427"/>
        <v>1500</v>
      </c>
      <c r="M1527" s="52">
        <v>0</v>
      </c>
      <c r="N1527" s="2">
        <f t="shared" si="1407"/>
        <v>5.5</v>
      </c>
      <c r="O1527" s="2">
        <f t="shared" si="1421"/>
        <v>3300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</row>
    <row r="1528" spans="1:33" s="14" customFormat="1">
      <c r="A1528" s="10">
        <v>43199</v>
      </c>
      <c r="B1528" s="3" t="s">
        <v>270</v>
      </c>
      <c r="C1528" s="15" t="s">
        <v>47</v>
      </c>
      <c r="D1528" s="15">
        <v>245</v>
      </c>
      <c r="E1528" s="11">
        <v>4500</v>
      </c>
      <c r="F1528" s="3" t="s">
        <v>8</v>
      </c>
      <c r="G1528" s="46">
        <v>9</v>
      </c>
      <c r="H1528" s="3">
        <v>9.5</v>
      </c>
      <c r="I1528" s="46">
        <v>0</v>
      </c>
      <c r="J1528" s="55">
        <v>0</v>
      </c>
      <c r="K1528" s="1">
        <f t="shared" ref="K1528" si="1429">(IF(F1528="SELL",G1528-H1528,IF(F1528="BUY",H1528-G1528)))*E1528</f>
        <v>2250</v>
      </c>
      <c r="L1528" s="51">
        <v>0</v>
      </c>
      <c r="M1528" s="52">
        <v>0</v>
      </c>
      <c r="N1528" s="2">
        <f t="shared" si="1407"/>
        <v>0.5</v>
      </c>
      <c r="O1528" s="2">
        <f t="shared" si="1421"/>
        <v>2250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</row>
    <row r="1529" spans="1:33" s="14" customFormat="1">
      <c r="A1529" s="10">
        <v>43196</v>
      </c>
      <c r="B1529" s="3" t="s">
        <v>258</v>
      </c>
      <c r="C1529" s="15" t="s">
        <v>47</v>
      </c>
      <c r="D1529" s="15">
        <v>115</v>
      </c>
      <c r="E1529" s="11">
        <v>6000</v>
      </c>
      <c r="F1529" s="3" t="s">
        <v>8</v>
      </c>
      <c r="G1529" s="46">
        <v>4.5</v>
      </c>
      <c r="H1529" s="3">
        <v>5</v>
      </c>
      <c r="I1529" s="46">
        <v>0</v>
      </c>
      <c r="J1529" s="55">
        <v>0</v>
      </c>
      <c r="K1529" s="1">
        <f t="shared" ref="K1529" si="1430">(IF(F1529="SELL",G1529-H1529,IF(F1529="BUY",H1529-G1529)))*E1529</f>
        <v>3000</v>
      </c>
      <c r="L1529" s="51">
        <v>0</v>
      </c>
      <c r="M1529" s="52">
        <v>0</v>
      </c>
      <c r="N1529" s="2">
        <f t="shared" si="1407"/>
        <v>0.5</v>
      </c>
      <c r="O1529" s="2">
        <f t="shared" si="1421"/>
        <v>3000</v>
      </c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</row>
    <row r="1530" spans="1:33" s="14" customFormat="1">
      <c r="A1530" s="10">
        <v>43196</v>
      </c>
      <c r="B1530" s="3" t="s">
        <v>264</v>
      </c>
      <c r="C1530" s="15" t="s">
        <v>47</v>
      </c>
      <c r="D1530" s="15">
        <v>115</v>
      </c>
      <c r="E1530" s="11">
        <v>4500</v>
      </c>
      <c r="F1530" s="3" t="s">
        <v>8</v>
      </c>
      <c r="G1530" s="46">
        <v>6</v>
      </c>
      <c r="H1530" s="3">
        <v>6.4</v>
      </c>
      <c r="I1530" s="46">
        <v>6.75</v>
      </c>
      <c r="J1530" s="55">
        <v>0</v>
      </c>
      <c r="K1530" s="1">
        <f t="shared" ref="K1530" si="1431">(IF(F1530="SELL",G1530-H1530,IF(F1530="BUY",H1530-G1530)))*E1530</f>
        <v>1800.0000000000016</v>
      </c>
      <c r="L1530" s="51">
        <f t="shared" ref="L1530" si="1432">(IF(F1530="SELL",IF(I1530="",0,H1530-I1530),IF(F1530="BUY",IF(I1530="",0,I1530-H1530))))*E1530</f>
        <v>1574.9999999999984</v>
      </c>
      <c r="M1530" s="52">
        <v>0</v>
      </c>
      <c r="N1530" s="2">
        <f t="shared" si="1407"/>
        <v>0.75</v>
      </c>
      <c r="O1530" s="2">
        <f t="shared" si="1421"/>
        <v>3375</v>
      </c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</row>
    <row r="1531" spans="1:33" s="14" customFormat="1">
      <c r="A1531" s="10">
        <v>43195</v>
      </c>
      <c r="B1531" s="3" t="s">
        <v>146</v>
      </c>
      <c r="C1531" s="15" t="s">
        <v>47</v>
      </c>
      <c r="D1531" s="15">
        <v>210</v>
      </c>
      <c r="E1531" s="11">
        <v>2500</v>
      </c>
      <c r="F1531" s="3" t="s">
        <v>8</v>
      </c>
      <c r="G1531" s="46">
        <v>10</v>
      </c>
      <c r="H1531" s="3">
        <v>11</v>
      </c>
      <c r="I1531" s="46">
        <v>12</v>
      </c>
      <c r="J1531" s="55">
        <v>0</v>
      </c>
      <c r="K1531" s="1">
        <f t="shared" ref="K1531" si="1433">(IF(F1531="SELL",G1531-H1531,IF(F1531="BUY",H1531-G1531)))*E1531</f>
        <v>2500</v>
      </c>
      <c r="L1531" s="51">
        <f t="shared" ref="L1531" si="1434">(IF(F1531="SELL",IF(I1531="",0,H1531-I1531),IF(F1531="BUY",IF(I1531="",0,I1531-H1531))))*E1531</f>
        <v>2500</v>
      </c>
      <c r="M1531" s="52">
        <v>0</v>
      </c>
      <c r="N1531" s="2">
        <f t="shared" si="1407"/>
        <v>2</v>
      </c>
      <c r="O1531" s="2">
        <f t="shared" si="1421"/>
        <v>5000</v>
      </c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</row>
    <row r="1532" spans="1:33" s="14" customFormat="1">
      <c r="A1532" s="10">
        <v>43195</v>
      </c>
      <c r="B1532" s="3" t="s">
        <v>285</v>
      </c>
      <c r="C1532" s="15" t="s">
        <v>47</v>
      </c>
      <c r="D1532" s="15">
        <v>380</v>
      </c>
      <c r="E1532" s="11">
        <v>3200</v>
      </c>
      <c r="F1532" s="3" t="s">
        <v>8</v>
      </c>
      <c r="G1532" s="46">
        <v>9</v>
      </c>
      <c r="H1532" s="3">
        <v>9.5</v>
      </c>
      <c r="I1532" s="46">
        <v>10</v>
      </c>
      <c r="J1532" s="55">
        <v>0</v>
      </c>
      <c r="K1532" s="1">
        <f t="shared" ref="K1532" si="1435">(IF(F1532="SELL",G1532-H1532,IF(F1532="BUY",H1532-G1532)))*E1532</f>
        <v>1600</v>
      </c>
      <c r="L1532" s="51">
        <f t="shared" ref="L1532" si="1436">(IF(F1532="SELL",IF(I1532="",0,H1532-I1532),IF(F1532="BUY",IF(I1532="",0,I1532-H1532))))*E1532</f>
        <v>1600</v>
      </c>
      <c r="M1532" s="52">
        <v>0</v>
      </c>
      <c r="N1532" s="2">
        <f t="shared" si="1407"/>
        <v>1</v>
      </c>
      <c r="O1532" s="2">
        <f t="shared" si="1421"/>
        <v>3200</v>
      </c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</row>
    <row r="1533" spans="1:33" s="14" customFormat="1">
      <c r="A1533" s="10">
        <v>43194</v>
      </c>
      <c r="B1533" s="3" t="s">
        <v>239</v>
      </c>
      <c r="C1533" s="15" t="s">
        <v>47</v>
      </c>
      <c r="D1533" s="15">
        <v>210</v>
      </c>
      <c r="E1533" s="11">
        <v>5000</v>
      </c>
      <c r="F1533" s="3" t="s">
        <v>8</v>
      </c>
      <c r="G1533" s="46">
        <v>7</v>
      </c>
      <c r="H1533" s="3">
        <v>7.35</v>
      </c>
      <c r="I1533" s="46">
        <v>8</v>
      </c>
      <c r="J1533" s="55">
        <v>0</v>
      </c>
      <c r="K1533" s="1">
        <f t="shared" ref="K1533:K1534" si="1437">(IF(F1533="SELL",G1533-H1533,IF(F1533="BUY",H1533-G1533)))*E1533</f>
        <v>1749.9999999999982</v>
      </c>
      <c r="L1533" s="51">
        <f t="shared" ref="L1533:L1534" si="1438">(IF(F1533="SELL",IF(I1533="",0,H1533-I1533),IF(F1533="BUY",IF(I1533="",0,I1533-H1533))))*E1533</f>
        <v>3250.0000000000018</v>
      </c>
      <c r="M1533" s="52">
        <v>0</v>
      </c>
      <c r="N1533" s="2">
        <f t="shared" si="1407"/>
        <v>1</v>
      </c>
      <c r="O1533" s="2">
        <f t="shared" si="1421"/>
        <v>5000</v>
      </c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</row>
    <row r="1534" spans="1:33" s="14" customFormat="1">
      <c r="A1534" s="10">
        <v>43194</v>
      </c>
      <c r="B1534" s="3" t="s">
        <v>272</v>
      </c>
      <c r="C1534" s="15" t="s">
        <v>47</v>
      </c>
      <c r="D1534" s="15">
        <v>115</v>
      </c>
      <c r="E1534" s="11">
        <v>9000</v>
      </c>
      <c r="F1534" s="3" t="s">
        <v>8</v>
      </c>
      <c r="G1534" s="46">
        <v>4.5</v>
      </c>
      <c r="H1534" s="3">
        <v>4.8</v>
      </c>
      <c r="I1534" s="46">
        <v>5.25</v>
      </c>
      <c r="J1534" s="55">
        <v>0</v>
      </c>
      <c r="K1534" s="1">
        <f t="shared" si="1437"/>
        <v>2699.9999999999982</v>
      </c>
      <c r="L1534" s="51">
        <f t="shared" si="1438"/>
        <v>4050.0000000000018</v>
      </c>
      <c r="M1534" s="52">
        <v>0</v>
      </c>
      <c r="N1534" s="2">
        <f t="shared" si="1407"/>
        <v>0.75</v>
      </c>
      <c r="O1534" s="2">
        <f t="shared" si="1421"/>
        <v>6750</v>
      </c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</row>
    <row r="1535" spans="1:33" s="14" customFormat="1">
      <c r="A1535" s="10">
        <v>43194</v>
      </c>
      <c r="B1535" s="3" t="s">
        <v>146</v>
      </c>
      <c r="C1535" s="15" t="s">
        <v>47</v>
      </c>
      <c r="D1535" s="15">
        <v>380</v>
      </c>
      <c r="E1535" s="11">
        <v>2500</v>
      </c>
      <c r="F1535" s="3" t="s">
        <v>8</v>
      </c>
      <c r="G1535" s="46">
        <v>8.25</v>
      </c>
      <c r="H1535" s="3">
        <v>9</v>
      </c>
      <c r="I1535" s="46">
        <v>0</v>
      </c>
      <c r="J1535" s="55">
        <v>0</v>
      </c>
      <c r="K1535" s="1">
        <f t="shared" ref="K1535" si="1439">(IF(F1535="SELL",G1535-H1535,IF(F1535="BUY",H1535-G1535)))*E1535</f>
        <v>1875</v>
      </c>
      <c r="L1535" s="51">
        <v>0</v>
      </c>
      <c r="M1535" s="52">
        <v>0</v>
      </c>
      <c r="N1535" s="2">
        <f t="shared" si="1407"/>
        <v>0.75</v>
      </c>
      <c r="O1535" s="2">
        <f t="shared" si="1421"/>
        <v>1875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</row>
    <row r="1536" spans="1:33" s="14" customFormat="1">
      <c r="A1536" s="10">
        <v>43193</v>
      </c>
      <c r="B1536" s="3" t="s">
        <v>284</v>
      </c>
      <c r="C1536" s="15" t="s">
        <v>47</v>
      </c>
      <c r="D1536" s="15">
        <v>760</v>
      </c>
      <c r="E1536" s="11">
        <v>1000</v>
      </c>
      <c r="F1536" s="3" t="s">
        <v>8</v>
      </c>
      <c r="G1536" s="46">
        <v>13</v>
      </c>
      <c r="H1536" s="3">
        <v>14.5</v>
      </c>
      <c r="I1536" s="46">
        <v>16.5</v>
      </c>
      <c r="J1536" s="55">
        <v>18.5</v>
      </c>
      <c r="K1536" s="1">
        <f t="shared" ref="K1536" si="1440">(IF(F1536="SELL",G1536-H1536,IF(F1536="BUY",H1536-G1536)))*E1536</f>
        <v>1500</v>
      </c>
      <c r="L1536" s="51">
        <f t="shared" ref="L1536:L1537" si="1441">(IF(F1536="SELL",IF(I1536="",0,H1536-I1536),IF(F1536="BUY",IF(I1536="",0,I1536-H1536))))*E1536</f>
        <v>2000</v>
      </c>
      <c r="M1536" s="52">
        <f>(IF(F1536="SELL",IF(J1536="",0,I1536-J1536),IF(F1536="BUY",IF(J1536="",0,(J1536-I1536)))))*E1536</f>
        <v>2000</v>
      </c>
      <c r="N1536" s="2">
        <f t="shared" si="1407"/>
        <v>5.5</v>
      </c>
      <c r="O1536" s="2">
        <f t="shared" si="1421"/>
        <v>5500</v>
      </c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</row>
    <row r="1537" spans="1:33" s="14" customFormat="1">
      <c r="A1537" s="10">
        <v>43193</v>
      </c>
      <c r="B1537" s="3" t="s">
        <v>161</v>
      </c>
      <c r="C1537" s="15" t="s">
        <v>47</v>
      </c>
      <c r="D1537" s="15">
        <v>440</v>
      </c>
      <c r="E1537" s="11">
        <v>1500</v>
      </c>
      <c r="F1537" s="3" t="s">
        <v>8</v>
      </c>
      <c r="G1537" s="46">
        <v>12.5</v>
      </c>
      <c r="H1537" s="3">
        <v>13.5</v>
      </c>
      <c r="I1537" s="46">
        <v>14.5</v>
      </c>
      <c r="J1537" s="55">
        <v>0</v>
      </c>
      <c r="K1537" s="1">
        <f t="shared" ref="K1537" si="1442">(IF(F1537="SELL",G1537-H1537,IF(F1537="BUY",H1537-G1537)))*E1537</f>
        <v>1500</v>
      </c>
      <c r="L1537" s="51">
        <f t="shared" si="1441"/>
        <v>1500</v>
      </c>
      <c r="M1537" s="52">
        <v>0</v>
      </c>
      <c r="N1537" s="2">
        <f t="shared" si="1407"/>
        <v>2</v>
      </c>
      <c r="O1537" s="2">
        <f t="shared" si="1421"/>
        <v>3000</v>
      </c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</row>
    <row r="1538" spans="1:33" s="14" customFormat="1">
      <c r="A1538" s="10">
        <v>43193</v>
      </c>
      <c r="B1538" s="3" t="s">
        <v>283</v>
      </c>
      <c r="C1538" s="15" t="s">
        <v>47</v>
      </c>
      <c r="D1538" s="15">
        <v>110</v>
      </c>
      <c r="E1538" s="11">
        <v>6000</v>
      </c>
      <c r="F1538" s="3" t="s">
        <v>8</v>
      </c>
      <c r="G1538" s="46">
        <v>5.5</v>
      </c>
      <c r="H1538" s="3">
        <v>6</v>
      </c>
      <c r="I1538" s="46">
        <v>0</v>
      </c>
      <c r="J1538" s="55">
        <v>0</v>
      </c>
      <c r="K1538" s="1">
        <f t="shared" ref="K1538" si="1443">(IF(F1538="SELL",G1538-H1538,IF(F1538="BUY",H1538-G1538)))*E1538</f>
        <v>3000</v>
      </c>
      <c r="L1538" s="51">
        <v>0</v>
      </c>
      <c r="M1538" s="52">
        <v>0</v>
      </c>
      <c r="N1538" s="2">
        <f t="shared" si="1407"/>
        <v>0.5</v>
      </c>
      <c r="O1538" s="2">
        <f t="shared" si="1421"/>
        <v>3000</v>
      </c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</row>
    <row r="1539" spans="1:33" s="14" customFormat="1">
      <c r="A1539" s="10">
        <v>43192</v>
      </c>
      <c r="B1539" s="3" t="s">
        <v>232</v>
      </c>
      <c r="C1539" s="15" t="s">
        <v>47</v>
      </c>
      <c r="D1539" s="15">
        <v>460</v>
      </c>
      <c r="E1539" s="11">
        <v>1300</v>
      </c>
      <c r="F1539" s="3" t="s">
        <v>8</v>
      </c>
      <c r="G1539" s="46">
        <v>11</v>
      </c>
      <c r="H1539" s="3">
        <v>14</v>
      </c>
      <c r="I1539" s="46">
        <v>0</v>
      </c>
      <c r="J1539" s="55">
        <v>0</v>
      </c>
      <c r="K1539" s="1">
        <f t="shared" ref="K1539" si="1444">(IF(F1539="SELL",G1539-H1539,IF(F1539="BUY",H1539-G1539)))*E1539</f>
        <v>3900</v>
      </c>
      <c r="L1539" s="51">
        <v>0</v>
      </c>
      <c r="M1539" s="52">
        <v>0</v>
      </c>
      <c r="N1539" s="2">
        <f t="shared" si="1407"/>
        <v>3</v>
      </c>
      <c r="O1539" s="2">
        <f t="shared" si="1421"/>
        <v>3900</v>
      </c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</row>
    <row r="1540" spans="1:33" s="14" customFormat="1">
      <c r="A1540" s="10">
        <v>43192</v>
      </c>
      <c r="B1540" s="3" t="s">
        <v>282</v>
      </c>
      <c r="C1540" s="15" t="s">
        <v>47</v>
      </c>
      <c r="D1540" s="15">
        <v>460</v>
      </c>
      <c r="E1540" s="11">
        <v>750</v>
      </c>
      <c r="F1540" s="3" t="s">
        <v>8</v>
      </c>
      <c r="G1540" s="46">
        <v>14</v>
      </c>
      <c r="H1540" s="3">
        <v>16</v>
      </c>
      <c r="I1540" s="46">
        <v>0</v>
      </c>
      <c r="J1540" s="55">
        <v>0</v>
      </c>
      <c r="K1540" s="1">
        <f t="shared" ref="K1540" si="1445">(IF(F1540="SELL",G1540-H1540,IF(F1540="BUY",H1540-G1540)))*E1540</f>
        <v>1500</v>
      </c>
      <c r="L1540" s="51">
        <v>0</v>
      </c>
      <c r="M1540" s="52">
        <v>0</v>
      </c>
      <c r="N1540" s="2">
        <f t="shared" si="1407"/>
        <v>2</v>
      </c>
      <c r="O1540" s="2">
        <f t="shared" si="1421"/>
        <v>1500</v>
      </c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</row>
    <row r="1541" spans="1:33" s="14" customFormat="1">
      <c r="A1541" s="10">
        <v>43187</v>
      </c>
      <c r="B1541" s="3" t="s">
        <v>60</v>
      </c>
      <c r="C1541" s="15" t="s">
        <v>46</v>
      </c>
      <c r="D1541" s="15">
        <v>290</v>
      </c>
      <c r="E1541" s="11">
        <v>1750</v>
      </c>
      <c r="F1541" s="3" t="s">
        <v>8</v>
      </c>
      <c r="G1541" s="46">
        <v>7.1</v>
      </c>
      <c r="H1541" s="3">
        <v>8.6999999999999993</v>
      </c>
      <c r="I1541" s="46">
        <v>10</v>
      </c>
      <c r="J1541" s="55">
        <v>0</v>
      </c>
      <c r="K1541" s="1">
        <f t="shared" ref="K1541" si="1446">(IF(F1541="SELL",G1541-H1541,IF(F1541="BUY",H1541-G1541)))*E1541</f>
        <v>2799.9999999999995</v>
      </c>
      <c r="L1541" s="51">
        <f t="shared" ref="L1541" si="1447">(IF(F1541="SELL",IF(I1541="",0,H1541-I1541),IF(F1541="BUY",IF(I1541="",0,I1541-H1541))))*E1541</f>
        <v>2275.0000000000014</v>
      </c>
      <c r="M1541" s="52">
        <v>0</v>
      </c>
      <c r="N1541" s="2">
        <f t="shared" si="1407"/>
        <v>2.9000000000000004</v>
      </c>
      <c r="O1541" s="2">
        <f t="shared" si="1421"/>
        <v>5075.0000000000009</v>
      </c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</row>
    <row r="1542" spans="1:33" s="14" customFormat="1">
      <c r="A1542" s="10">
        <v>43186</v>
      </c>
      <c r="B1542" s="3" t="s">
        <v>281</v>
      </c>
      <c r="C1542" s="15" t="s">
        <v>47</v>
      </c>
      <c r="D1542" s="15">
        <v>300</v>
      </c>
      <c r="E1542" s="11">
        <v>2000</v>
      </c>
      <c r="F1542" s="3" t="s">
        <v>8</v>
      </c>
      <c r="G1542" s="46">
        <v>4.25</v>
      </c>
      <c r="H1542" s="3">
        <v>6</v>
      </c>
      <c r="I1542" s="46">
        <v>0</v>
      </c>
      <c r="J1542" s="55">
        <v>0</v>
      </c>
      <c r="K1542" s="1">
        <f t="shared" ref="K1542" si="1448">(IF(F1542="SELL",G1542-H1542,IF(F1542="BUY",H1542-G1542)))*E1542</f>
        <v>3500</v>
      </c>
      <c r="L1542" s="51">
        <v>0</v>
      </c>
      <c r="M1542" s="52">
        <v>0</v>
      </c>
      <c r="N1542" s="2">
        <f t="shared" si="1407"/>
        <v>1.75</v>
      </c>
      <c r="O1542" s="2">
        <f t="shared" si="1421"/>
        <v>3500</v>
      </c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</row>
    <row r="1543" spans="1:33" s="14" customFormat="1">
      <c r="A1543" s="10">
        <v>43185</v>
      </c>
      <c r="B1543" s="3" t="s">
        <v>280</v>
      </c>
      <c r="C1543" s="15" t="s">
        <v>47</v>
      </c>
      <c r="D1543" s="15">
        <v>1400</v>
      </c>
      <c r="E1543" s="11">
        <v>600</v>
      </c>
      <c r="F1543" s="3" t="s">
        <v>8</v>
      </c>
      <c r="G1543" s="46">
        <v>23</v>
      </c>
      <c r="H1543" s="3">
        <v>27</v>
      </c>
      <c r="I1543" s="46">
        <v>33.799999999999997</v>
      </c>
      <c r="J1543" s="55">
        <v>0</v>
      </c>
      <c r="K1543" s="1">
        <f t="shared" ref="K1543" si="1449">(IF(F1543="SELL",G1543-H1543,IF(F1543="BUY",H1543-G1543)))*E1543</f>
        <v>2400</v>
      </c>
      <c r="L1543" s="51">
        <f t="shared" ref="L1543" si="1450">(IF(F1543="SELL",IF(I1543="",0,H1543-I1543),IF(F1543="BUY",IF(I1543="",0,I1543-H1543))))*E1543</f>
        <v>4079.9999999999982</v>
      </c>
      <c r="M1543" s="52">
        <v>0</v>
      </c>
      <c r="N1543" s="2">
        <f t="shared" si="1407"/>
        <v>10.799999999999997</v>
      </c>
      <c r="O1543" s="2">
        <f t="shared" si="1421"/>
        <v>6479.9999999999982</v>
      </c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</row>
    <row r="1544" spans="1:33" s="14" customFormat="1">
      <c r="A1544" s="10">
        <v>43182</v>
      </c>
      <c r="B1544" s="3" t="s">
        <v>142</v>
      </c>
      <c r="C1544" s="15" t="s">
        <v>46</v>
      </c>
      <c r="D1544" s="15">
        <v>1260</v>
      </c>
      <c r="E1544" s="11">
        <v>750</v>
      </c>
      <c r="F1544" s="3" t="s">
        <v>8</v>
      </c>
      <c r="G1544" s="46">
        <v>10.1</v>
      </c>
      <c r="H1544" s="3">
        <v>10.1</v>
      </c>
      <c r="I1544" s="46">
        <v>0</v>
      </c>
      <c r="J1544" s="55">
        <v>0</v>
      </c>
      <c r="K1544" s="1">
        <f t="shared" ref="K1544" si="1451">(IF(F1544="SELL",G1544-H1544,IF(F1544="BUY",H1544-G1544)))*E1544</f>
        <v>0</v>
      </c>
      <c r="L1544" s="51">
        <v>0</v>
      </c>
      <c r="M1544" s="52">
        <v>0</v>
      </c>
      <c r="N1544" s="2">
        <f t="shared" si="1407"/>
        <v>0</v>
      </c>
      <c r="O1544" s="2">
        <f t="shared" si="1421"/>
        <v>0</v>
      </c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</row>
    <row r="1545" spans="1:33" s="14" customFormat="1">
      <c r="A1545" s="10">
        <v>43181</v>
      </c>
      <c r="B1545" s="3" t="s">
        <v>224</v>
      </c>
      <c r="C1545" s="15" t="s">
        <v>47</v>
      </c>
      <c r="D1545" s="15">
        <v>380</v>
      </c>
      <c r="E1545" s="11">
        <v>3000</v>
      </c>
      <c r="F1545" s="3" t="s">
        <v>8</v>
      </c>
      <c r="G1545" s="46">
        <v>4.8</v>
      </c>
      <c r="H1545" s="3">
        <v>6</v>
      </c>
      <c r="I1545" s="46">
        <v>0</v>
      </c>
      <c r="J1545" s="55">
        <v>0</v>
      </c>
      <c r="K1545" s="1">
        <f t="shared" ref="K1545:K1546" si="1452">(IF(F1545="SELL",G1545-H1545,IF(F1545="BUY",H1545-G1545)))*E1545</f>
        <v>3600.0000000000005</v>
      </c>
      <c r="L1545" s="51">
        <v>0</v>
      </c>
      <c r="M1545" s="52">
        <v>0</v>
      </c>
      <c r="N1545" s="2">
        <f t="shared" si="1407"/>
        <v>1.2000000000000002</v>
      </c>
      <c r="O1545" s="2">
        <f t="shared" si="1421"/>
        <v>3600.0000000000005</v>
      </c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</row>
    <row r="1546" spans="1:33" s="14" customFormat="1">
      <c r="A1546" s="10">
        <v>43180</v>
      </c>
      <c r="B1546" s="3" t="s">
        <v>139</v>
      </c>
      <c r="C1546" s="15" t="s">
        <v>47</v>
      </c>
      <c r="D1546" s="15">
        <v>2200</v>
      </c>
      <c r="E1546" s="11">
        <v>500</v>
      </c>
      <c r="F1546" s="3" t="s">
        <v>8</v>
      </c>
      <c r="G1546" s="46">
        <v>31</v>
      </c>
      <c r="H1546" s="3">
        <v>38</v>
      </c>
      <c r="I1546" s="46">
        <v>46</v>
      </c>
      <c r="J1546" s="55">
        <v>0</v>
      </c>
      <c r="K1546" s="1">
        <f t="shared" si="1452"/>
        <v>3500</v>
      </c>
      <c r="L1546" s="51">
        <f t="shared" ref="L1546" si="1453">(IF(F1546="SELL",IF(I1546="",0,H1546-I1546),IF(F1546="BUY",IF(I1546="",0,I1546-H1546))))*E1546</f>
        <v>4000</v>
      </c>
      <c r="M1546" s="52">
        <v>0</v>
      </c>
      <c r="N1546" s="2">
        <f t="shared" si="1407"/>
        <v>15</v>
      </c>
      <c r="O1546" s="2">
        <f t="shared" si="1421"/>
        <v>7500</v>
      </c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</row>
    <row r="1547" spans="1:33" s="14" customFormat="1">
      <c r="A1547" s="10">
        <v>43180</v>
      </c>
      <c r="B1547" s="3" t="s">
        <v>279</v>
      </c>
      <c r="C1547" s="15" t="s">
        <v>47</v>
      </c>
      <c r="D1547" s="15">
        <v>215</v>
      </c>
      <c r="E1547" s="11">
        <v>4000</v>
      </c>
      <c r="F1547" s="3" t="s">
        <v>8</v>
      </c>
      <c r="G1547" s="46">
        <v>3.5</v>
      </c>
      <c r="H1547" s="3">
        <v>4.3</v>
      </c>
      <c r="I1547" s="46">
        <v>4.95</v>
      </c>
      <c r="J1547" s="55">
        <v>0</v>
      </c>
      <c r="K1547" s="1">
        <f t="shared" ref="K1547:K1548" si="1454">(IF(F1547="SELL",G1547-H1547,IF(F1547="BUY",H1547-G1547)))*E1547</f>
        <v>3199.9999999999991</v>
      </c>
      <c r="L1547" s="51">
        <f t="shared" ref="L1547" si="1455">(IF(F1547="SELL",IF(I1547="",0,H1547-I1547),IF(F1547="BUY",IF(I1547="",0,I1547-H1547))))*E1547</f>
        <v>2600.0000000000014</v>
      </c>
      <c r="M1547" s="52">
        <v>0</v>
      </c>
      <c r="N1547" s="2">
        <f t="shared" si="1407"/>
        <v>1.45</v>
      </c>
      <c r="O1547" s="2">
        <f t="shared" si="1421"/>
        <v>5800</v>
      </c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</row>
    <row r="1548" spans="1:33" s="14" customFormat="1">
      <c r="A1548" s="10">
        <v>43179</v>
      </c>
      <c r="B1548" s="3" t="s">
        <v>277</v>
      </c>
      <c r="C1548" s="15" t="s">
        <v>47</v>
      </c>
      <c r="D1548" s="15">
        <v>160</v>
      </c>
      <c r="E1548" s="11">
        <v>4500</v>
      </c>
      <c r="F1548" s="3" t="s">
        <v>8</v>
      </c>
      <c r="G1548" s="46">
        <v>2.25</v>
      </c>
      <c r="H1548" s="3">
        <v>3</v>
      </c>
      <c r="I1548" s="46">
        <v>0</v>
      </c>
      <c r="J1548" s="55">
        <v>0</v>
      </c>
      <c r="K1548" s="1">
        <f t="shared" si="1454"/>
        <v>3375</v>
      </c>
      <c r="L1548" s="51">
        <v>0</v>
      </c>
      <c r="M1548" s="52">
        <v>0</v>
      </c>
      <c r="N1548" s="2">
        <f t="shared" si="1407"/>
        <v>0.75</v>
      </c>
      <c r="O1548" s="2">
        <f t="shared" si="1421"/>
        <v>3375</v>
      </c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</row>
    <row r="1549" spans="1:33" s="14" customFormat="1">
      <c r="A1549" s="10">
        <v>43178</v>
      </c>
      <c r="B1549" s="3" t="s">
        <v>270</v>
      </c>
      <c r="C1549" s="15" t="s">
        <v>46</v>
      </c>
      <c r="D1549" s="15">
        <v>220</v>
      </c>
      <c r="E1549" s="11">
        <v>4500</v>
      </c>
      <c r="F1549" s="3" t="s">
        <v>8</v>
      </c>
      <c r="G1549" s="46">
        <v>6.5</v>
      </c>
      <c r="H1549" s="3">
        <v>7</v>
      </c>
      <c r="I1549" s="46">
        <v>0</v>
      </c>
      <c r="J1549" s="55">
        <v>0</v>
      </c>
      <c r="K1549" s="1">
        <f t="shared" ref="K1549" si="1456">(IF(F1549="SELL",G1549-H1549,IF(F1549="BUY",H1549-G1549)))*E1549</f>
        <v>2250</v>
      </c>
      <c r="L1549" s="51">
        <v>0</v>
      </c>
      <c r="M1549" s="52">
        <v>0</v>
      </c>
      <c r="N1549" s="2">
        <f t="shared" si="1407"/>
        <v>0.5</v>
      </c>
      <c r="O1549" s="2">
        <f t="shared" si="1421"/>
        <v>2250</v>
      </c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</row>
    <row r="1550" spans="1:33" s="14" customFormat="1">
      <c r="A1550" s="10">
        <v>43175</v>
      </c>
      <c r="B1550" s="3" t="s">
        <v>279</v>
      </c>
      <c r="C1550" s="15" t="s">
        <v>47</v>
      </c>
      <c r="D1550" s="15">
        <v>280</v>
      </c>
      <c r="E1550" s="11">
        <v>1600</v>
      </c>
      <c r="F1550" s="3" t="s">
        <v>8</v>
      </c>
      <c r="G1550" s="46">
        <v>5.7</v>
      </c>
      <c r="H1550" s="3">
        <v>7.7</v>
      </c>
      <c r="I1550" s="46">
        <v>0</v>
      </c>
      <c r="J1550" s="55">
        <v>0</v>
      </c>
      <c r="K1550" s="1">
        <f t="shared" ref="K1550" si="1457">(IF(F1550="SELL",G1550-H1550,IF(F1550="BUY",H1550-G1550)))*E1550</f>
        <v>3200</v>
      </c>
      <c r="L1550" s="51">
        <v>0</v>
      </c>
      <c r="M1550" s="52">
        <v>0</v>
      </c>
      <c r="N1550" s="2">
        <f t="shared" si="1407"/>
        <v>2</v>
      </c>
      <c r="O1550" s="2">
        <f t="shared" si="1421"/>
        <v>3200</v>
      </c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</row>
    <row r="1551" spans="1:33" s="14" customFormat="1">
      <c r="A1551" s="10">
        <v>43174</v>
      </c>
      <c r="B1551" s="3" t="s">
        <v>139</v>
      </c>
      <c r="C1551" s="15" t="s">
        <v>47</v>
      </c>
      <c r="D1551" s="15">
        <v>2150</v>
      </c>
      <c r="E1551" s="11">
        <v>500</v>
      </c>
      <c r="F1551" s="3" t="s">
        <v>8</v>
      </c>
      <c r="G1551" s="46">
        <v>55</v>
      </c>
      <c r="H1551" s="3">
        <v>60</v>
      </c>
      <c r="I1551" s="46">
        <v>65</v>
      </c>
      <c r="J1551" s="55">
        <v>0</v>
      </c>
      <c r="K1551" s="1">
        <f t="shared" ref="K1551" si="1458">(IF(F1551="SELL",G1551-H1551,IF(F1551="BUY",H1551-G1551)))*E1551</f>
        <v>2500</v>
      </c>
      <c r="L1551" s="51">
        <f t="shared" ref="L1551" si="1459">(IF(F1551="SELL",IF(I1551="",0,H1551-I1551),IF(F1551="BUY",IF(I1551="",0,I1551-H1551))))*E1551</f>
        <v>2500</v>
      </c>
      <c r="M1551" s="52">
        <v>0</v>
      </c>
      <c r="N1551" s="2">
        <f t="shared" si="1407"/>
        <v>10</v>
      </c>
      <c r="O1551" s="2">
        <f t="shared" si="1421"/>
        <v>5000</v>
      </c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</row>
    <row r="1552" spans="1:33" s="14" customFormat="1">
      <c r="A1552" s="10">
        <v>43174</v>
      </c>
      <c r="B1552" s="3" t="s">
        <v>156</v>
      </c>
      <c r="C1552" s="15" t="s">
        <v>47</v>
      </c>
      <c r="D1552" s="15">
        <v>530</v>
      </c>
      <c r="E1552" s="11">
        <v>2000</v>
      </c>
      <c r="F1552" s="3" t="s">
        <v>8</v>
      </c>
      <c r="G1552" s="46">
        <v>10</v>
      </c>
      <c r="H1552" s="3">
        <v>12</v>
      </c>
      <c r="I1552" s="46">
        <v>0</v>
      </c>
      <c r="J1552" s="55">
        <v>0</v>
      </c>
      <c r="K1552" s="1">
        <f t="shared" ref="K1552" si="1460">(IF(F1552="SELL",G1552-H1552,IF(F1552="BUY",H1552-G1552)))*E1552</f>
        <v>4000</v>
      </c>
      <c r="L1552" s="51">
        <v>0</v>
      </c>
      <c r="M1552" s="52">
        <v>0</v>
      </c>
      <c r="N1552" s="2">
        <f t="shared" si="1407"/>
        <v>2</v>
      </c>
      <c r="O1552" s="2">
        <f t="shared" si="1421"/>
        <v>4000</v>
      </c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</row>
    <row r="1553" spans="1:33" s="14" customFormat="1">
      <c r="A1553" s="10">
        <v>43174</v>
      </c>
      <c r="B1553" s="3" t="s">
        <v>234</v>
      </c>
      <c r="C1553" s="15" t="s">
        <v>47</v>
      </c>
      <c r="D1553" s="15">
        <v>280</v>
      </c>
      <c r="E1553" s="11">
        <v>4500</v>
      </c>
      <c r="F1553" s="3" t="s">
        <v>8</v>
      </c>
      <c r="G1553" s="46">
        <v>8.6999999999999993</v>
      </c>
      <c r="H1553" s="3">
        <v>9.5</v>
      </c>
      <c r="I1553" s="46">
        <v>0</v>
      </c>
      <c r="J1553" s="55">
        <v>0</v>
      </c>
      <c r="K1553" s="1">
        <f t="shared" ref="K1553" si="1461">(IF(F1553="SELL",G1553-H1553,IF(F1553="BUY",H1553-G1553)))*E1553</f>
        <v>3600.0000000000032</v>
      </c>
      <c r="L1553" s="51">
        <v>0</v>
      </c>
      <c r="M1553" s="52">
        <v>0</v>
      </c>
      <c r="N1553" s="2">
        <f t="shared" si="1407"/>
        <v>0.80000000000000071</v>
      </c>
      <c r="O1553" s="2">
        <f t="shared" si="1421"/>
        <v>3600.0000000000032</v>
      </c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</row>
    <row r="1554" spans="1:33" s="14" customFormat="1">
      <c r="A1554" s="10">
        <v>43173</v>
      </c>
      <c r="B1554" s="3" t="s">
        <v>259</v>
      </c>
      <c r="C1554" s="15" t="s">
        <v>47</v>
      </c>
      <c r="D1554" s="15">
        <v>360</v>
      </c>
      <c r="E1554" s="11">
        <v>1500</v>
      </c>
      <c r="F1554" s="3" t="s">
        <v>8</v>
      </c>
      <c r="G1554" s="46">
        <v>18</v>
      </c>
      <c r="H1554" s="3">
        <v>20</v>
      </c>
      <c r="I1554" s="46">
        <v>23</v>
      </c>
      <c r="J1554" s="55">
        <v>0</v>
      </c>
      <c r="K1554" s="1">
        <f t="shared" ref="K1554" si="1462">(IF(F1554="SELL",G1554-H1554,IF(F1554="BUY",H1554-G1554)))*E1554</f>
        <v>3000</v>
      </c>
      <c r="L1554" s="51">
        <f t="shared" ref="L1554" si="1463">(IF(F1554="SELL",IF(I1554="",0,H1554-I1554),IF(F1554="BUY",IF(I1554="",0,I1554-H1554))))*E1554</f>
        <v>4500</v>
      </c>
      <c r="M1554" s="52">
        <v>0</v>
      </c>
      <c r="N1554" s="2">
        <f t="shared" si="1407"/>
        <v>5</v>
      </c>
      <c r="O1554" s="2">
        <f t="shared" si="1421"/>
        <v>7500</v>
      </c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</row>
    <row r="1555" spans="1:33" s="14" customFormat="1">
      <c r="A1555" s="10">
        <v>43173</v>
      </c>
      <c r="B1555" s="3" t="s">
        <v>157</v>
      </c>
      <c r="C1555" s="15" t="s">
        <v>47</v>
      </c>
      <c r="D1555" s="15">
        <v>880</v>
      </c>
      <c r="E1555" s="11">
        <v>1500</v>
      </c>
      <c r="F1555" s="3" t="s">
        <v>8</v>
      </c>
      <c r="G1555" s="46">
        <v>11.5</v>
      </c>
      <c r="H1555" s="3">
        <v>13</v>
      </c>
      <c r="I1555" s="46">
        <v>0</v>
      </c>
      <c r="J1555" s="55">
        <v>0</v>
      </c>
      <c r="K1555" s="1">
        <f t="shared" ref="K1555" si="1464">(IF(F1555="SELL",G1555-H1555,IF(F1555="BUY",H1555-G1555)))*E1555</f>
        <v>2250</v>
      </c>
      <c r="L1555" s="51">
        <v>0</v>
      </c>
      <c r="M1555" s="52">
        <v>0</v>
      </c>
      <c r="N1555" s="2">
        <f t="shared" si="1407"/>
        <v>1.5</v>
      </c>
      <c r="O1555" s="2">
        <f t="shared" si="1421"/>
        <v>2250</v>
      </c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</row>
    <row r="1556" spans="1:33" s="14" customFormat="1">
      <c r="A1556" s="10">
        <v>43172</v>
      </c>
      <c r="B1556" s="3" t="s">
        <v>148</v>
      </c>
      <c r="C1556" s="15" t="s">
        <v>47</v>
      </c>
      <c r="D1556" s="15">
        <v>520</v>
      </c>
      <c r="E1556" s="11">
        <v>1200</v>
      </c>
      <c r="F1556" s="3" t="s">
        <v>8</v>
      </c>
      <c r="G1556" s="46">
        <v>15</v>
      </c>
      <c r="H1556" s="3">
        <v>17</v>
      </c>
      <c r="I1556" s="46">
        <v>20</v>
      </c>
      <c r="J1556" s="55">
        <v>0</v>
      </c>
      <c r="K1556" s="1">
        <f t="shared" ref="K1556" si="1465">(IF(F1556="SELL",G1556-H1556,IF(F1556="BUY",H1556-G1556)))*E1556</f>
        <v>2400</v>
      </c>
      <c r="L1556" s="51">
        <f t="shared" ref="L1556:L1558" si="1466">(IF(F1556="SELL",IF(I1556="",0,H1556-I1556),IF(F1556="BUY",IF(I1556="",0,I1556-H1556))))*E1556</f>
        <v>3600</v>
      </c>
      <c r="M1556" s="52">
        <v>0</v>
      </c>
      <c r="N1556" s="2">
        <f t="shared" si="1407"/>
        <v>5</v>
      </c>
      <c r="O1556" s="2">
        <f t="shared" si="1421"/>
        <v>6000</v>
      </c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</row>
    <row r="1557" spans="1:33" s="14" customFormat="1">
      <c r="A1557" s="10">
        <v>43172</v>
      </c>
      <c r="B1557" s="3" t="s">
        <v>278</v>
      </c>
      <c r="C1557" s="15" t="s">
        <v>47</v>
      </c>
      <c r="D1557" s="15">
        <v>310</v>
      </c>
      <c r="E1557" s="11">
        <v>2750</v>
      </c>
      <c r="F1557" s="3" t="s">
        <v>8</v>
      </c>
      <c r="G1557" s="46">
        <v>4</v>
      </c>
      <c r="H1557" s="3">
        <v>5</v>
      </c>
      <c r="I1557" s="46">
        <v>0</v>
      </c>
      <c r="J1557" s="55">
        <v>0</v>
      </c>
      <c r="K1557" s="1">
        <f t="shared" ref="K1557" si="1467">(IF(F1557="SELL",G1557-H1557,IF(F1557="BUY",H1557-G1557)))*E1557</f>
        <v>2750</v>
      </c>
      <c r="L1557" s="51">
        <v>0</v>
      </c>
      <c r="M1557" s="52">
        <v>0</v>
      </c>
      <c r="N1557" s="2">
        <f t="shared" si="1407"/>
        <v>1</v>
      </c>
      <c r="O1557" s="2">
        <f t="shared" si="1421"/>
        <v>2750</v>
      </c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</row>
    <row r="1558" spans="1:33" s="14" customFormat="1">
      <c r="A1558" s="10">
        <v>43171</v>
      </c>
      <c r="B1558" s="3" t="s">
        <v>211</v>
      </c>
      <c r="C1558" s="15" t="s">
        <v>47</v>
      </c>
      <c r="D1558" s="15">
        <v>900</v>
      </c>
      <c r="E1558" s="11">
        <v>1500</v>
      </c>
      <c r="F1558" s="3" t="s">
        <v>8</v>
      </c>
      <c r="G1558" s="46">
        <v>30</v>
      </c>
      <c r="H1558" s="3">
        <v>32</v>
      </c>
      <c r="I1558" s="46">
        <v>35</v>
      </c>
      <c r="J1558" s="55">
        <v>0</v>
      </c>
      <c r="K1558" s="1">
        <f t="shared" ref="K1558" si="1468">(IF(F1558="SELL",G1558-H1558,IF(F1558="BUY",H1558-G1558)))*E1558</f>
        <v>3000</v>
      </c>
      <c r="L1558" s="51">
        <f t="shared" si="1466"/>
        <v>4500</v>
      </c>
      <c r="M1558" s="52">
        <v>0</v>
      </c>
      <c r="N1558" s="2">
        <f t="shared" si="1407"/>
        <v>5</v>
      </c>
      <c r="O1558" s="2">
        <f t="shared" si="1421"/>
        <v>7500</v>
      </c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</row>
    <row r="1559" spans="1:33" s="14" customFormat="1">
      <c r="A1559" s="10">
        <v>43168</v>
      </c>
      <c r="B1559" s="3" t="s">
        <v>275</v>
      </c>
      <c r="C1559" s="15" t="s">
        <v>47</v>
      </c>
      <c r="D1559" s="15">
        <v>1180</v>
      </c>
      <c r="E1559" s="11">
        <v>600</v>
      </c>
      <c r="F1559" s="3" t="s">
        <v>8</v>
      </c>
      <c r="G1559" s="46">
        <v>16</v>
      </c>
      <c r="H1559" s="3">
        <v>0</v>
      </c>
      <c r="I1559" s="46">
        <v>0</v>
      </c>
      <c r="J1559" s="55">
        <v>0</v>
      </c>
      <c r="K1559" s="1">
        <v>0</v>
      </c>
      <c r="L1559" s="51">
        <v>0</v>
      </c>
      <c r="M1559" s="52">
        <v>0</v>
      </c>
      <c r="N1559" s="2">
        <f t="shared" si="1407"/>
        <v>0</v>
      </c>
      <c r="O1559" s="2">
        <f t="shared" si="1421"/>
        <v>0</v>
      </c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</row>
    <row r="1560" spans="1:33" s="14" customFormat="1">
      <c r="A1560" s="10">
        <v>43166</v>
      </c>
      <c r="B1560" s="3" t="s">
        <v>260</v>
      </c>
      <c r="C1560" s="15" t="s">
        <v>46</v>
      </c>
      <c r="D1560" s="15">
        <v>120</v>
      </c>
      <c r="E1560" s="11">
        <v>4500</v>
      </c>
      <c r="F1560" s="3" t="s">
        <v>8</v>
      </c>
      <c r="G1560" s="46">
        <v>4.05</v>
      </c>
      <c r="H1560" s="3">
        <v>4.7</v>
      </c>
      <c r="I1560" s="46">
        <v>0</v>
      </c>
      <c r="J1560" s="55">
        <v>0</v>
      </c>
      <c r="K1560" s="1">
        <f t="shared" ref="K1560" si="1469">(IF(F1560="SELL",G1560-H1560,IF(F1560="BUY",H1560-G1560)))*E1560</f>
        <v>2925.0000000000018</v>
      </c>
      <c r="L1560" s="51">
        <v>0</v>
      </c>
      <c r="M1560" s="52">
        <v>0</v>
      </c>
      <c r="N1560" s="2">
        <f t="shared" si="1407"/>
        <v>0.65000000000000036</v>
      </c>
      <c r="O1560" s="2">
        <f t="shared" si="1421"/>
        <v>2925.0000000000018</v>
      </c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</row>
    <row r="1561" spans="1:33" s="14" customFormat="1">
      <c r="A1561" s="10">
        <v>43166</v>
      </c>
      <c r="B1561" s="3" t="s">
        <v>141</v>
      </c>
      <c r="C1561" s="15" t="s">
        <v>46</v>
      </c>
      <c r="D1561" s="15">
        <v>290</v>
      </c>
      <c r="E1561" s="11">
        <v>3000</v>
      </c>
      <c r="F1561" s="3" t="s">
        <v>8</v>
      </c>
      <c r="G1561" s="46">
        <v>11</v>
      </c>
      <c r="H1561" s="3">
        <v>9</v>
      </c>
      <c r="I1561" s="46">
        <v>0</v>
      </c>
      <c r="J1561" s="55">
        <v>0</v>
      </c>
      <c r="K1561" s="1">
        <f t="shared" ref="K1561" si="1470">(IF(F1561="SELL",G1561-H1561,IF(F1561="BUY",H1561-G1561)))*E1561</f>
        <v>-6000</v>
      </c>
      <c r="L1561" s="51">
        <v>0</v>
      </c>
      <c r="M1561" s="52">
        <v>0</v>
      </c>
      <c r="N1561" s="2">
        <f t="shared" si="1407"/>
        <v>-2</v>
      </c>
      <c r="O1561" s="2">
        <f t="shared" si="1421"/>
        <v>-6000</v>
      </c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</row>
    <row r="1562" spans="1:33" s="14" customFormat="1">
      <c r="A1562" s="10">
        <v>43165</v>
      </c>
      <c r="B1562" s="3" t="s">
        <v>219</v>
      </c>
      <c r="C1562" s="15" t="s">
        <v>47</v>
      </c>
      <c r="D1562" s="15">
        <v>560</v>
      </c>
      <c r="E1562" s="11">
        <v>1500</v>
      </c>
      <c r="F1562" s="3" t="s">
        <v>8</v>
      </c>
      <c r="G1562" s="46">
        <v>16</v>
      </c>
      <c r="H1562" s="3">
        <v>12</v>
      </c>
      <c r="I1562" s="46">
        <v>37.799999999999997</v>
      </c>
      <c r="J1562" s="55">
        <v>0</v>
      </c>
      <c r="K1562" s="1">
        <f t="shared" ref="K1562" si="1471">(IF(F1562="SELL",G1562-H1562,IF(F1562="BUY",H1562-G1562)))*E1562</f>
        <v>-6000</v>
      </c>
      <c r="L1562" s="51">
        <v>0</v>
      </c>
      <c r="M1562" s="52">
        <v>0</v>
      </c>
      <c r="N1562" s="2">
        <f t="shared" si="1407"/>
        <v>-4</v>
      </c>
      <c r="O1562" s="2">
        <f t="shared" si="1421"/>
        <v>-6000</v>
      </c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</row>
    <row r="1563" spans="1:33" s="14" customFormat="1">
      <c r="A1563" s="10">
        <v>43164</v>
      </c>
      <c r="B1563" s="3" t="s">
        <v>211</v>
      </c>
      <c r="C1563" s="15" t="s">
        <v>47</v>
      </c>
      <c r="D1563" s="15">
        <v>900</v>
      </c>
      <c r="E1563" s="11">
        <v>1500</v>
      </c>
      <c r="F1563" s="3" t="s">
        <v>8</v>
      </c>
      <c r="G1563" s="46">
        <v>24</v>
      </c>
      <c r="H1563" s="3">
        <v>25.95</v>
      </c>
      <c r="I1563" s="46">
        <v>0</v>
      </c>
      <c r="J1563" s="55">
        <v>0</v>
      </c>
      <c r="K1563" s="1">
        <f t="shared" ref="K1563" si="1472">(IF(F1563="SELL",G1563-H1563,IF(F1563="BUY",H1563-G1563)))*E1563</f>
        <v>2924.9999999999991</v>
      </c>
      <c r="L1563" s="51">
        <v>0</v>
      </c>
      <c r="M1563" s="52">
        <v>0</v>
      </c>
      <c r="N1563" s="2">
        <f t="shared" si="1407"/>
        <v>1.9499999999999993</v>
      </c>
      <c r="O1563" s="2">
        <f t="shared" si="1421"/>
        <v>2924.9999999999991</v>
      </c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</row>
    <row r="1564" spans="1:33" s="14" customFormat="1">
      <c r="A1564" s="10">
        <v>43160</v>
      </c>
      <c r="B1564" s="3" t="s">
        <v>267</v>
      </c>
      <c r="C1564" s="15" t="s">
        <v>47</v>
      </c>
      <c r="D1564" s="15">
        <v>95.5</v>
      </c>
      <c r="E1564" s="11">
        <v>9000</v>
      </c>
      <c r="F1564" s="3" t="s">
        <v>8</v>
      </c>
      <c r="G1564" s="46">
        <v>2.85</v>
      </c>
      <c r="H1564" s="3">
        <v>0</v>
      </c>
      <c r="I1564" s="46">
        <v>0</v>
      </c>
      <c r="J1564" s="55">
        <v>0</v>
      </c>
      <c r="K1564" s="1">
        <v>0</v>
      </c>
      <c r="L1564" s="51">
        <f t="shared" ref="L1564" si="1473">(IF(F1564="SELL",IF(I1564="",0,H1564-I1564),IF(F1564="BUY",IF(I1564="",0,I1564-H1564))))*E1564</f>
        <v>0</v>
      </c>
      <c r="M1564" s="52">
        <v>0</v>
      </c>
      <c r="N1564" s="2">
        <f t="shared" si="1407"/>
        <v>0</v>
      </c>
      <c r="O1564" s="2">
        <f t="shared" si="1421"/>
        <v>0</v>
      </c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</row>
    <row r="1565" spans="1:33" s="14" customFormat="1">
      <c r="A1565" s="10">
        <v>43157</v>
      </c>
      <c r="B1565" s="3" t="s">
        <v>169</v>
      </c>
      <c r="C1565" s="15" t="s">
        <v>47</v>
      </c>
      <c r="D1565" s="15">
        <v>980</v>
      </c>
      <c r="E1565" s="11">
        <v>1000</v>
      </c>
      <c r="F1565" s="3" t="s">
        <v>8</v>
      </c>
      <c r="G1565" s="46">
        <v>31</v>
      </c>
      <c r="H1565" s="3">
        <v>33.5</v>
      </c>
      <c r="I1565" s="46">
        <v>37.799999999999997</v>
      </c>
      <c r="J1565" s="55">
        <v>0</v>
      </c>
      <c r="K1565" s="1">
        <f t="shared" ref="K1565" si="1474">(IF(F1565="SELL",G1565-H1565,IF(F1565="BUY",H1565-G1565)))*E1565</f>
        <v>2500</v>
      </c>
      <c r="L1565" s="51">
        <f t="shared" ref="L1565:L1566" si="1475">(IF(F1565="SELL",IF(I1565="",0,H1565-I1565),IF(F1565="BUY",IF(I1565="",0,I1565-H1565))))*E1565</f>
        <v>4299.9999999999973</v>
      </c>
      <c r="M1565" s="52">
        <v>0</v>
      </c>
      <c r="N1565" s="2">
        <f t="shared" si="1407"/>
        <v>6.7999999999999972</v>
      </c>
      <c r="O1565" s="2">
        <f t="shared" si="1421"/>
        <v>6799.9999999999973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</row>
    <row r="1566" spans="1:33" s="14" customFormat="1">
      <c r="A1566" s="10">
        <v>43157</v>
      </c>
      <c r="B1566" s="3" t="s">
        <v>158</v>
      </c>
      <c r="C1566" s="15" t="s">
        <v>47</v>
      </c>
      <c r="D1566" s="15">
        <v>9000</v>
      </c>
      <c r="E1566" s="11">
        <v>75</v>
      </c>
      <c r="F1566" s="3" t="s">
        <v>8</v>
      </c>
      <c r="G1566" s="46">
        <v>135</v>
      </c>
      <c r="H1566" s="3">
        <v>150</v>
      </c>
      <c r="I1566" s="46">
        <v>165</v>
      </c>
      <c r="J1566" s="55">
        <v>0</v>
      </c>
      <c r="K1566" s="1">
        <f t="shared" ref="K1566" si="1476">(IF(F1566="SELL",G1566-H1566,IF(F1566="BUY",H1566-G1566)))*E1566</f>
        <v>1125</v>
      </c>
      <c r="L1566" s="51">
        <f t="shared" si="1475"/>
        <v>1125</v>
      </c>
      <c r="M1566" s="52">
        <v>0</v>
      </c>
      <c r="N1566" s="2">
        <f t="shared" si="1407"/>
        <v>30</v>
      </c>
      <c r="O1566" s="2">
        <f t="shared" si="1421"/>
        <v>2250</v>
      </c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</row>
    <row r="1567" spans="1:33" s="14" customFormat="1">
      <c r="A1567" s="10">
        <v>43157</v>
      </c>
      <c r="B1567" s="3" t="s">
        <v>153</v>
      </c>
      <c r="C1567" s="15" t="s">
        <v>47</v>
      </c>
      <c r="D1567" s="15">
        <v>230</v>
      </c>
      <c r="E1567" s="11">
        <v>1200</v>
      </c>
      <c r="F1567" s="3" t="s">
        <v>8</v>
      </c>
      <c r="G1567" s="46">
        <v>24</v>
      </c>
      <c r="H1567" s="3">
        <v>26</v>
      </c>
      <c r="I1567" s="46">
        <v>0</v>
      </c>
      <c r="J1567" s="55">
        <v>0</v>
      </c>
      <c r="K1567" s="1">
        <f t="shared" ref="K1567" si="1477">(IF(F1567="SELL",G1567-H1567,IF(F1567="BUY",H1567-G1567)))*E1567</f>
        <v>2400</v>
      </c>
      <c r="L1567" s="51">
        <v>0</v>
      </c>
      <c r="M1567" s="52">
        <v>0</v>
      </c>
      <c r="N1567" s="2">
        <f t="shared" si="1407"/>
        <v>2</v>
      </c>
      <c r="O1567" s="2">
        <f t="shared" si="1421"/>
        <v>2400</v>
      </c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</row>
    <row r="1568" spans="1:33" s="14" customFormat="1">
      <c r="A1568" s="10">
        <v>43154</v>
      </c>
      <c r="B1568" s="3" t="s">
        <v>239</v>
      </c>
      <c r="C1568" s="15" t="s">
        <v>47</v>
      </c>
      <c r="D1568" s="15">
        <v>230</v>
      </c>
      <c r="E1568" s="11">
        <v>5000</v>
      </c>
      <c r="F1568" s="3" t="s">
        <v>8</v>
      </c>
      <c r="G1568" s="46">
        <v>7.4</v>
      </c>
      <c r="H1568" s="3">
        <v>8</v>
      </c>
      <c r="I1568" s="46">
        <v>0</v>
      </c>
      <c r="J1568" s="55">
        <v>0</v>
      </c>
      <c r="K1568" s="1">
        <f t="shared" ref="K1568" si="1478">(IF(F1568="SELL",G1568-H1568,IF(F1568="BUY",H1568-G1568)))*E1568</f>
        <v>2999.9999999999982</v>
      </c>
      <c r="L1568" s="51">
        <v>0</v>
      </c>
      <c r="M1568" s="52">
        <v>0</v>
      </c>
      <c r="N1568" s="2">
        <f t="shared" si="1407"/>
        <v>0.59999999999999964</v>
      </c>
      <c r="O1568" s="2">
        <f t="shared" si="1421"/>
        <v>2999.9999999999982</v>
      </c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</row>
    <row r="1569" spans="1:33" s="14" customFormat="1">
      <c r="A1569" s="10">
        <v>43154</v>
      </c>
      <c r="B1569" s="3" t="s">
        <v>277</v>
      </c>
      <c r="C1569" s="15" t="s">
        <v>47</v>
      </c>
      <c r="D1569" s="15">
        <v>165</v>
      </c>
      <c r="E1569" s="11">
        <v>4500</v>
      </c>
      <c r="F1569" s="3" t="s">
        <v>8</v>
      </c>
      <c r="G1569" s="46">
        <v>4.5</v>
      </c>
      <c r="H1569" s="3">
        <v>5.0999999999999996</v>
      </c>
      <c r="I1569" s="46">
        <v>0</v>
      </c>
      <c r="J1569" s="55">
        <v>0</v>
      </c>
      <c r="K1569" s="1">
        <f t="shared" ref="K1569" si="1479">(IF(F1569="SELL",G1569-H1569,IF(F1569="BUY",H1569-G1569)))*E1569</f>
        <v>2699.9999999999982</v>
      </c>
      <c r="L1569" s="51">
        <v>0</v>
      </c>
      <c r="M1569" s="52">
        <v>0</v>
      </c>
      <c r="N1569" s="2">
        <f t="shared" si="1407"/>
        <v>0.59999999999999964</v>
      </c>
      <c r="O1569" s="2">
        <f t="shared" si="1421"/>
        <v>2699.9999999999982</v>
      </c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</row>
    <row r="1570" spans="1:33" s="14" customFormat="1">
      <c r="A1570" s="10">
        <v>43154</v>
      </c>
      <c r="B1570" s="3" t="s">
        <v>262</v>
      </c>
      <c r="C1570" s="15" t="s">
        <v>47</v>
      </c>
      <c r="D1570" s="15">
        <v>1350</v>
      </c>
      <c r="E1570" s="11">
        <v>600</v>
      </c>
      <c r="F1570" s="3" t="s">
        <v>8</v>
      </c>
      <c r="G1570" s="46">
        <v>39</v>
      </c>
      <c r="H1570" s="3">
        <v>43</v>
      </c>
      <c r="I1570" s="46">
        <v>0</v>
      </c>
      <c r="J1570" s="55">
        <v>0</v>
      </c>
      <c r="K1570" s="1">
        <f t="shared" ref="K1570" si="1480">(IF(F1570="SELL",G1570-H1570,IF(F1570="BUY",H1570-G1570)))*E1570</f>
        <v>2400</v>
      </c>
      <c r="L1570" s="51">
        <v>0</v>
      </c>
      <c r="M1570" s="52">
        <v>0</v>
      </c>
      <c r="N1570" s="2">
        <f t="shared" si="1407"/>
        <v>4</v>
      </c>
      <c r="O1570" s="2">
        <f t="shared" si="1421"/>
        <v>2400</v>
      </c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</row>
    <row r="1571" spans="1:33" s="14" customFormat="1">
      <c r="A1571" s="10">
        <v>43153</v>
      </c>
      <c r="B1571" s="3" t="s">
        <v>212</v>
      </c>
      <c r="C1571" s="15" t="s">
        <v>46</v>
      </c>
      <c r="D1571" s="15">
        <v>150</v>
      </c>
      <c r="E1571" s="11">
        <v>4950</v>
      </c>
      <c r="F1571" s="3" t="s">
        <v>8</v>
      </c>
      <c r="G1571" s="46">
        <v>1.5</v>
      </c>
      <c r="H1571" s="3">
        <v>2</v>
      </c>
      <c r="I1571" s="46">
        <v>3</v>
      </c>
      <c r="J1571" s="55">
        <v>0</v>
      </c>
      <c r="K1571" s="1">
        <f t="shared" ref="K1571" si="1481">(IF(F1571="SELL",G1571-H1571,IF(F1571="BUY",H1571-G1571)))*E1571</f>
        <v>2475</v>
      </c>
      <c r="L1571" s="51">
        <f t="shared" ref="L1571" si="1482">(IF(F1571="SELL",IF(I1571="",0,H1571-I1571),IF(F1571="BUY",IF(I1571="",0,I1571-H1571))))*E1571</f>
        <v>4950</v>
      </c>
      <c r="M1571" s="52">
        <v>0</v>
      </c>
      <c r="N1571" s="2">
        <f t="shared" si="1407"/>
        <v>1.5</v>
      </c>
      <c r="O1571" s="2">
        <f t="shared" si="1421"/>
        <v>7425</v>
      </c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</row>
    <row r="1572" spans="1:33" s="14" customFormat="1">
      <c r="A1572" s="10">
        <v>43153</v>
      </c>
      <c r="B1572" s="3" t="s">
        <v>153</v>
      </c>
      <c r="C1572" s="15" t="s">
        <v>46</v>
      </c>
      <c r="D1572" s="15">
        <v>740</v>
      </c>
      <c r="E1572" s="11">
        <v>1200</v>
      </c>
      <c r="F1572" s="3" t="s">
        <v>8</v>
      </c>
      <c r="G1572" s="46">
        <v>8.5</v>
      </c>
      <c r="H1572" s="3">
        <v>11</v>
      </c>
      <c r="I1572" s="46">
        <v>21</v>
      </c>
      <c r="J1572" s="55">
        <v>0</v>
      </c>
      <c r="K1572" s="1">
        <f t="shared" ref="K1572" si="1483">(IF(F1572="SELL",G1572-H1572,IF(F1572="BUY",H1572-G1572)))*E1572</f>
        <v>3000</v>
      </c>
      <c r="L1572" s="51">
        <v>0</v>
      </c>
      <c r="M1572" s="52">
        <v>0</v>
      </c>
      <c r="N1572" s="2">
        <f t="shared" si="1407"/>
        <v>2.5</v>
      </c>
      <c r="O1572" s="2">
        <f t="shared" si="1421"/>
        <v>3000</v>
      </c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</row>
    <row r="1573" spans="1:33" s="14" customFormat="1">
      <c r="A1573" s="10">
        <v>43152</v>
      </c>
      <c r="B1573" s="3" t="s">
        <v>276</v>
      </c>
      <c r="C1573" s="15" t="s">
        <v>46</v>
      </c>
      <c r="D1573" s="15">
        <v>520</v>
      </c>
      <c r="E1573" s="11">
        <v>1200</v>
      </c>
      <c r="F1573" s="3" t="s">
        <v>8</v>
      </c>
      <c r="G1573" s="46">
        <v>8</v>
      </c>
      <c r="H1573" s="3">
        <v>5</v>
      </c>
      <c r="I1573" s="46">
        <v>0</v>
      </c>
      <c r="J1573" s="55">
        <v>0</v>
      </c>
      <c r="K1573" s="1">
        <f t="shared" ref="K1573" si="1484">(IF(F1573="SELL",G1573-H1573,IF(F1573="BUY",H1573-G1573)))*E1573</f>
        <v>-3600</v>
      </c>
      <c r="L1573" s="51">
        <v>0</v>
      </c>
      <c r="M1573" s="52">
        <v>0</v>
      </c>
      <c r="N1573" s="2">
        <f t="shared" si="1407"/>
        <v>-3</v>
      </c>
      <c r="O1573" s="2">
        <f t="shared" si="1421"/>
        <v>-3600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</row>
    <row r="1574" spans="1:33" s="14" customFormat="1">
      <c r="A1574" s="10">
        <v>43151</v>
      </c>
      <c r="B1574" s="3" t="s">
        <v>157</v>
      </c>
      <c r="C1574" s="15" t="s">
        <v>47</v>
      </c>
      <c r="D1574" s="15">
        <v>820</v>
      </c>
      <c r="E1574" s="11">
        <v>1500</v>
      </c>
      <c r="F1574" s="3" t="s">
        <v>8</v>
      </c>
      <c r="G1574" s="46">
        <v>9</v>
      </c>
      <c r="H1574" s="3">
        <v>10.5</v>
      </c>
      <c r="I1574" s="46">
        <v>14</v>
      </c>
      <c r="J1574" s="55">
        <v>19</v>
      </c>
      <c r="K1574" s="1">
        <f t="shared" ref="K1574:K1575" si="1485">(IF(F1574="SELL",G1574-H1574,IF(F1574="BUY",H1574-G1574)))*E1574</f>
        <v>2250</v>
      </c>
      <c r="L1574" s="51">
        <f t="shared" ref="L1574" si="1486">(IF(F1574="SELL",IF(I1574="",0,H1574-I1574),IF(F1574="BUY",IF(I1574="",0,I1574-H1574))))*E1574</f>
        <v>5250</v>
      </c>
      <c r="M1574" s="52">
        <v>7500</v>
      </c>
      <c r="N1574" s="2">
        <f t="shared" ref="N1574:N1637" si="1487">(L1574+K1574+M1574)/E1574</f>
        <v>10</v>
      </c>
      <c r="O1574" s="2">
        <f t="shared" si="1421"/>
        <v>15000</v>
      </c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</row>
    <row r="1575" spans="1:33" s="14" customFormat="1">
      <c r="A1575" s="10">
        <v>43151</v>
      </c>
      <c r="B1575" s="3" t="s">
        <v>275</v>
      </c>
      <c r="C1575" s="15" t="s">
        <v>47</v>
      </c>
      <c r="D1575" s="15">
        <v>1140</v>
      </c>
      <c r="E1575" s="11">
        <v>600</v>
      </c>
      <c r="F1575" s="3" t="s">
        <v>8</v>
      </c>
      <c r="G1575" s="46">
        <v>12</v>
      </c>
      <c r="H1575" s="3">
        <v>14.7</v>
      </c>
      <c r="I1575" s="46">
        <v>0</v>
      </c>
      <c r="J1575" s="55">
        <v>0</v>
      </c>
      <c r="K1575" s="1">
        <f t="shared" si="1485"/>
        <v>1619.9999999999995</v>
      </c>
      <c r="L1575" s="51">
        <v>0</v>
      </c>
      <c r="M1575" s="52">
        <v>0</v>
      </c>
      <c r="N1575" s="2">
        <f t="shared" si="1487"/>
        <v>2.6999999999999993</v>
      </c>
      <c r="O1575" s="2">
        <f t="shared" si="1421"/>
        <v>1619.9999999999995</v>
      </c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</row>
    <row r="1576" spans="1:33" s="14" customFormat="1">
      <c r="A1576" s="10">
        <v>43147</v>
      </c>
      <c r="B1576" s="3" t="s">
        <v>274</v>
      </c>
      <c r="C1576" s="15" t="s">
        <v>46</v>
      </c>
      <c r="D1576" s="15">
        <v>115</v>
      </c>
      <c r="E1576" s="11">
        <v>9000</v>
      </c>
      <c r="F1576" s="3" t="s">
        <v>8</v>
      </c>
      <c r="G1576" s="46">
        <v>1.7</v>
      </c>
      <c r="H1576" s="3">
        <v>1.7</v>
      </c>
      <c r="I1576" s="46">
        <v>0</v>
      </c>
      <c r="J1576" s="55">
        <v>0</v>
      </c>
      <c r="K1576" s="1">
        <f t="shared" ref="K1576" si="1488">(IF(F1576="SELL",G1576-H1576,IF(F1576="BUY",H1576-G1576)))*E1576</f>
        <v>0</v>
      </c>
      <c r="L1576" s="51">
        <v>0</v>
      </c>
      <c r="M1576" s="52">
        <v>0</v>
      </c>
      <c r="N1576" s="2">
        <f t="shared" si="1487"/>
        <v>0</v>
      </c>
      <c r="O1576" s="2">
        <f t="shared" si="1421"/>
        <v>0</v>
      </c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</row>
    <row r="1577" spans="1:33" s="14" customFormat="1">
      <c r="A1577" s="10">
        <v>43145</v>
      </c>
      <c r="B1577" s="3" t="s">
        <v>273</v>
      </c>
      <c r="C1577" s="15" t="s">
        <v>47</v>
      </c>
      <c r="D1577" s="15">
        <v>140</v>
      </c>
      <c r="E1577" s="11">
        <v>7000</v>
      </c>
      <c r="F1577" s="3" t="s">
        <v>8</v>
      </c>
      <c r="G1577" s="46">
        <v>2.2999999999999998</v>
      </c>
      <c r="H1577" s="3">
        <v>2.7</v>
      </c>
      <c r="I1577" s="46">
        <v>0</v>
      </c>
      <c r="J1577" s="55">
        <v>0</v>
      </c>
      <c r="K1577" s="1">
        <f t="shared" ref="K1577" si="1489">(IF(F1577="SELL",G1577-H1577,IF(F1577="BUY",H1577-G1577)))*E1577</f>
        <v>2800.0000000000023</v>
      </c>
      <c r="L1577" s="51">
        <v>0</v>
      </c>
      <c r="M1577" s="52">
        <v>0</v>
      </c>
      <c r="N1577" s="2">
        <f t="shared" si="1487"/>
        <v>0.4000000000000003</v>
      </c>
      <c r="O1577" s="2">
        <f t="shared" si="1421"/>
        <v>2800.0000000000023</v>
      </c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</row>
    <row r="1578" spans="1:33" s="14" customFormat="1">
      <c r="A1578" s="10">
        <v>43145</v>
      </c>
      <c r="B1578" s="3" t="s">
        <v>261</v>
      </c>
      <c r="C1578" s="15" t="s">
        <v>47</v>
      </c>
      <c r="D1578" s="15">
        <v>120</v>
      </c>
      <c r="E1578" s="11">
        <v>4500</v>
      </c>
      <c r="F1578" s="3" t="s">
        <v>8</v>
      </c>
      <c r="G1578" s="46">
        <v>3.3</v>
      </c>
      <c r="H1578" s="3">
        <v>3.7</v>
      </c>
      <c r="I1578" s="46">
        <v>0</v>
      </c>
      <c r="J1578" s="55">
        <v>0</v>
      </c>
      <c r="K1578" s="1">
        <f t="shared" ref="K1578" si="1490">(IF(F1578="SELL",G1578-H1578,IF(F1578="BUY",H1578-G1578)))*E1578</f>
        <v>1800.0000000000016</v>
      </c>
      <c r="L1578" s="51">
        <v>0</v>
      </c>
      <c r="M1578" s="52">
        <v>0</v>
      </c>
      <c r="N1578" s="2">
        <f t="shared" si="1487"/>
        <v>0.40000000000000036</v>
      </c>
      <c r="O1578" s="2">
        <f t="shared" si="1421"/>
        <v>1800.0000000000016</v>
      </c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</row>
    <row r="1579" spans="1:33" s="14" customFormat="1">
      <c r="A1579" s="10">
        <v>43143</v>
      </c>
      <c r="B1579" s="3" t="s">
        <v>239</v>
      </c>
      <c r="C1579" s="15" t="s">
        <v>47</v>
      </c>
      <c r="D1579" s="15">
        <v>240</v>
      </c>
      <c r="E1579" s="11">
        <v>5000</v>
      </c>
      <c r="F1579" s="3" t="s">
        <v>8</v>
      </c>
      <c r="G1579" s="46">
        <v>7</v>
      </c>
      <c r="H1579" s="3">
        <v>5</v>
      </c>
      <c r="I1579" s="46">
        <v>0</v>
      </c>
      <c r="J1579" s="55">
        <v>0</v>
      </c>
      <c r="K1579" s="1">
        <f t="shared" ref="K1579" si="1491">(IF(F1579="SELL",G1579-H1579,IF(F1579="BUY",H1579-G1579)))*E1579</f>
        <v>-10000</v>
      </c>
      <c r="L1579" s="51">
        <v>0</v>
      </c>
      <c r="M1579" s="52">
        <v>0</v>
      </c>
      <c r="N1579" s="2">
        <f t="shared" si="1487"/>
        <v>-2</v>
      </c>
      <c r="O1579" s="2">
        <f t="shared" si="1421"/>
        <v>-10000</v>
      </c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</row>
    <row r="1580" spans="1:33" s="14" customFormat="1">
      <c r="A1580" s="10">
        <v>43139</v>
      </c>
      <c r="B1580" s="3" t="s">
        <v>239</v>
      </c>
      <c r="C1580" s="15" t="s">
        <v>47</v>
      </c>
      <c r="D1580" s="15">
        <v>240</v>
      </c>
      <c r="E1580" s="11">
        <v>5000</v>
      </c>
      <c r="F1580" s="3" t="s">
        <v>8</v>
      </c>
      <c r="G1580" s="46">
        <v>6.3</v>
      </c>
      <c r="H1580" s="3">
        <v>6.7</v>
      </c>
      <c r="I1580" s="46">
        <v>0</v>
      </c>
      <c r="J1580" s="55">
        <v>0</v>
      </c>
      <c r="K1580" s="1">
        <f t="shared" ref="K1580" si="1492">(IF(F1580="SELL",G1580-H1580,IF(F1580="BUY",H1580-G1580)))*E1580</f>
        <v>2000.0000000000018</v>
      </c>
      <c r="L1580" s="51">
        <v>0</v>
      </c>
      <c r="M1580" s="52">
        <v>0</v>
      </c>
      <c r="N1580" s="2">
        <f t="shared" si="1487"/>
        <v>0.40000000000000036</v>
      </c>
      <c r="O1580" s="2">
        <f t="shared" si="1421"/>
        <v>2000.0000000000018</v>
      </c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</row>
    <row r="1581" spans="1:33" s="14" customFormat="1">
      <c r="A1581" s="10">
        <v>43138</v>
      </c>
      <c r="B1581" s="3" t="s">
        <v>167</v>
      </c>
      <c r="C1581" s="15" t="s">
        <v>47</v>
      </c>
      <c r="D1581" s="15">
        <v>1000</v>
      </c>
      <c r="E1581" s="11">
        <v>1100</v>
      </c>
      <c r="F1581" s="3" t="s">
        <v>8</v>
      </c>
      <c r="G1581" s="46">
        <v>18</v>
      </c>
      <c r="H1581" s="3">
        <v>12</v>
      </c>
      <c r="I1581" s="46">
        <v>0</v>
      </c>
      <c r="J1581" s="55">
        <v>0</v>
      </c>
      <c r="K1581" s="1">
        <f t="shared" ref="K1581" si="1493">(IF(F1581="SELL",G1581-H1581,IF(F1581="BUY",H1581-G1581)))*E1581</f>
        <v>-6600</v>
      </c>
      <c r="L1581" s="51">
        <v>0</v>
      </c>
      <c r="M1581" s="52">
        <v>0</v>
      </c>
      <c r="N1581" s="2">
        <f t="shared" si="1487"/>
        <v>-6</v>
      </c>
      <c r="O1581" s="2">
        <f t="shared" si="1421"/>
        <v>-6600</v>
      </c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</row>
    <row r="1582" spans="1:33" s="14" customFormat="1" ht="15" customHeight="1">
      <c r="A1582" s="10">
        <v>43136</v>
      </c>
      <c r="B1582" s="3" t="s">
        <v>196</v>
      </c>
      <c r="C1582" s="15" t="s">
        <v>47</v>
      </c>
      <c r="D1582" s="15">
        <v>630</v>
      </c>
      <c r="E1582" s="11">
        <v>1200</v>
      </c>
      <c r="F1582" s="3" t="s">
        <v>8</v>
      </c>
      <c r="G1582" s="46">
        <v>18</v>
      </c>
      <c r="H1582" s="3">
        <v>20</v>
      </c>
      <c r="I1582" s="46">
        <v>0</v>
      </c>
      <c r="J1582" s="55">
        <v>0</v>
      </c>
      <c r="K1582" s="1">
        <f t="shared" ref="K1582" si="1494">(IF(F1582="SELL",G1582-H1582,IF(F1582="BUY",H1582-G1582)))*E1582</f>
        <v>2400</v>
      </c>
      <c r="L1582" s="51">
        <v>0</v>
      </c>
      <c r="M1582" s="52">
        <v>0</v>
      </c>
      <c r="N1582" s="2">
        <f t="shared" si="1487"/>
        <v>2</v>
      </c>
      <c r="O1582" s="2">
        <f t="shared" si="1421"/>
        <v>2400</v>
      </c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</row>
    <row r="1583" spans="1:33" s="14" customFormat="1" ht="15" customHeight="1">
      <c r="A1583" s="10">
        <v>43133</v>
      </c>
      <c r="B1583" s="3" t="s">
        <v>196</v>
      </c>
      <c r="C1583" s="15" t="s">
        <v>47</v>
      </c>
      <c r="D1583" s="15">
        <v>630</v>
      </c>
      <c r="E1583" s="11">
        <v>1200</v>
      </c>
      <c r="F1583" s="3" t="s">
        <v>8</v>
      </c>
      <c r="G1583" s="46">
        <v>14</v>
      </c>
      <c r="H1583" s="3">
        <v>0</v>
      </c>
      <c r="I1583" s="46">
        <v>0</v>
      </c>
      <c r="J1583" s="55">
        <v>0</v>
      </c>
      <c r="K1583" s="1">
        <v>0</v>
      </c>
      <c r="L1583" s="51">
        <f t="shared" ref="L1583" si="1495">(IF(F1583="SELL",IF(I1583="",0,H1583-I1583),IF(F1583="BUY",IF(I1583="",0,I1583-H1583))))*E1583</f>
        <v>0</v>
      </c>
      <c r="M1583" s="52">
        <v>0</v>
      </c>
      <c r="N1583" s="2">
        <f t="shared" si="1487"/>
        <v>0</v>
      </c>
      <c r="O1583" s="2">
        <f t="shared" si="1421"/>
        <v>0</v>
      </c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</row>
    <row r="1584" spans="1:33" s="14" customFormat="1" ht="15" customHeight="1">
      <c r="A1584" s="10">
        <v>43131</v>
      </c>
      <c r="B1584" s="3" t="s">
        <v>263</v>
      </c>
      <c r="C1584" s="15" t="s">
        <v>46</v>
      </c>
      <c r="D1584" s="15">
        <v>110</v>
      </c>
      <c r="E1584" s="11">
        <v>6000</v>
      </c>
      <c r="F1584" s="3" t="s">
        <v>8</v>
      </c>
      <c r="G1584" s="46">
        <v>4.5999999999999996</v>
      </c>
      <c r="H1584" s="3">
        <v>5</v>
      </c>
      <c r="I1584" s="46">
        <v>5.5</v>
      </c>
      <c r="J1584" s="55">
        <v>0</v>
      </c>
      <c r="K1584" s="1">
        <f t="shared" ref="K1584" si="1496">(IF(F1584="SELL",G1584-H1584,IF(F1584="BUY",H1584-G1584)))*E1584</f>
        <v>2400.0000000000023</v>
      </c>
      <c r="L1584" s="51">
        <f t="shared" ref="L1584" si="1497">(IF(F1584="SELL",IF(I1584="",0,H1584-I1584),IF(F1584="BUY",IF(I1584="",0,I1584-H1584))))*E1584</f>
        <v>3000</v>
      </c>
      <c r="M1584" s="52">
        <v>0</v>
      </c>
      <c r="N1584" s="2">
        <f t="shared" si="1487"/>
        <v>0.90000000000000036</v>
      </c>
      <c r="O1584" s="2">
        <f t="shared" si="1421"/>
        <v>5400.0000000000018</v>
      </c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</row>
    <row r="1585" spans="1:33" s="14" customFormat="1" ht="15" customHeight="1">
      <c r="A1585" s="10">
        <v>43125</v>
      </c>
      <c r="B1585" s="3" t="s">
        <v>239</v>
      </c>
      <c r="C1585" s="15" t="s">
        <v>47</v>
      </c>
      <c r="D1585" s="15">
        <v>270</v>
      </c>
      <c r="E1585" s="11">
        <v>5000</v>
      </c>
      <c r="F1585" s="3" t="s">
        <v>8</v>
      </c>
      <c r="G1585" s="46">
        <v>6.9</v>
      </c>
      <c r="H1585" s="3">
        <v>7.4</v>
      </c>
      <c r="I1585" s="46">
        <v>0</v>
      </c>
      <c r="J1585" s="55">
        <v>0</v>
      </c>
      <c r="K1585" s="1">
        <f t="shared" ref="K1585" si="1498">(IF(F1585="SELL",G1585-H1585,IF(F1585="BUY",H1585-G1585)))*E1585</f>
        <v>2500</v>
      </c>
      <c r="L1585" s="51">
        <v>0</v>
      </c>
      <c r="M1585" s="52">
        <v>0</v>
      </c>
      <c r="N1585" s="2">
        <f t="shared" si="1487"/>
        <v>0.5</v>
      </c>
      <c r="O1585" s="2">
        <f t="shared" ref="O1585:O1648" si="1499">N1585*E1585</f>
        <v>2500</v>
      </c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</row>
    <row r="1586" spans="1:33" s="14" customFormat="1" ht="15" customHeight="1">
      <c r="A1586" s="10">
        <v>43130</v>
      </c>
      <c r="B1586" s="3" t="s">
        <v>198</v>
      </c>
      <c r="C1586" s="15" t="s">
        <v>47</v>
      </c>
      <c r="D1586" s="15">
        <v>330</v>
      </c>
      <c r="E1586" s="11">
        <v>3000</v>
      </c>
      <c r="F1586" s="3" t="s">
        <v>8</v>
      </c>
      <c r="G1586" s="46">
        <v>8</v>
      </c>
      <c r="H1586" s="3">
        <v>8.6999999999999993</v>
      </c>
      <c r="I1586" s="46">
        <v>0</v>
      </c>
      <c r="J1586" s="55">
        <v>0</v>
      </c>
      <c r="K1586" s="1">
        <f t="shared" ref="K1586" si="1500">(IF(F1586="SELL",G1586-H1586,IF(F1586="BUY",H1586-G1586)))*E1586</f>
        <v>2099.9999999999977</v>
      </c>
      <c r="L1586" s="51">
        <v>0</v>
      </c>
      <c r="M1586" s="52">
        <v>0</v>
      </c>
      <c r="N1586" s="2">
        <f t="shared" si="1487"/>
        <v>0.69999999999999929</v>
      </c>
      <c r="O1586" s="2">
        <f t="shared" si="1499"/>
        <v>2099.9999999999977</v>
      </c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</row>
    <row r="1587" spans="1:33" s="14" customFormat="1" ht="15" customHeight="1">
      <c r="A1587" s="10">
        <v>43129</v>
      </c>
      <c r="B1587" s="3" t="s">
        <v>272</v>
      </c>
      <c r="C1587" s="15" t="s">
        <v>47</v>
      </c>
      <c r="D1587" s="15">
        <v>150</v>
      </c>
      <c r="E1587" s="11">
        <v>9000</v>
      </c>
      <c r="F1587" s="3" t="s">
        <v>8</v>
      </c>
      <c r="G1587" s="46">
        <v>8.5</v>
      </c>
      <c r="H1587" s="3">
        <v>8.9</v>
      </c>
      <c r="I1587" s="46">
        <v>9.5</v>
      </c>
      <c r="J1587" s="55">
        <v>0</v>
      </c>
      <c r="K1587" s="1">
        <f t="shared" ref="K1587" si="1501">(IF(F1587="SELL",G1587-H1587,IF(F1587="BUY",H1587-G1587)))*E1587</f>
        <v>3600.0000000000032</v>
      </c>
      <c r="L1587" s="51">
        <f t="shared" ref="L1587" si="1502">(IF(F1587="SELL",IF(I1587="",0,H1587-I1587),IF(F1587="BUY",IF(I1587="",0,I1587-H1587))))*E1587</f>
        <v>5399.9999999999964</v>
      </c>
      <c r="M1587" s="52">
        <v>0</v>
      </c>
      <c r="N1587" s="2">
        <f t="shared" si="1487"/>
        <v>1</v>
      </c>
      <c r="O1587" s="2">
        <f t="shared" si="1499"/>
        <v>9000</v>
      </c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</row>
    <row r="1588" spans="1:33" s="14" customFormat="1" ht="15" customHeight="1">
      <c r="A1588" s="10">
        <v>43125</v>
      </c>
      <c r="B1588" s="3" t="s">
        <v>271</v>
      </c>
      <c r="C1588" s="15" t="s">
        <v>47</v>
      </c>
      <c r="D1588" s="15">
        <v>820</v>
      </c>
      <c r="E1588" s="11">
        <v>1100</v>
      </c>
      <c r="F1588" s="3" t="s">
        <v>8</v>
      </c>
      <c r="G1588" s="46">
        <v>16</v>
      </c>
      <c r="H1588" s="3">
        <v>18</v>
      </c>
      <c r="I1588" s="46">
        <v>21</v>
      </c>
      <c r="J1588" s="55">
        <v>0</v>
      </c>
      <c r="K1588" s="1">
        <f t="shared" ref="K1588" si="1503">(IF(F1588="SELL",G1588-H1588,IF(F1588="BUY",H1588-G1588)))*E1588</f>
        <v>2200</v>
      </c>
      <c r="L1588" s="51">
        <f t="shared" ref="L1588" si="1504">(IF(F1588="SELL",IF(I1588="",0,H1588-I1588),IF(F1588="BUY",IF(I1588="",0,I1588-H1588))))*E1588</f>
        <v>3300</v>
      </c>
      <c r="M1588" s="52">
        <v>0</v>
      </c>
      <c r="N1588" s="2">
        <f t="shared" si="1487"/>
        <v>5</v>
      </c>
      <c r="O1588" s="2">
        <f t="shared" si="1499"/>
        <v>5500</v>
      </c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</row>
    <row r="1589" spans="1:33" s="14" customFormat="1" ht="15" customHeight="1">
      <c r="A1589" s="10">
        <v>43145</v>
      </c>
      <c r="B1589" s="3" t="s">
        <v>273</v>
      </c>
      <c r="C1589" s="15" t="s">
        <v>47</v>
      </c>
      <c r="D1589" s="15">
        <v>140</v>
      </c>
      <c r="E1589" s="11">
        <v>7000</v>
      </c>
      <c r="F1589" s="3" t="s">
        <v>8</v>
      </c>
      <c r="G1589" s="46">
        <v>2.2999999999999998</v>
      </c>
      <c r="H1589" s="3">
        <v>2.7</v>
      </c>
      <c r="I1589" s="46">
        <v>0</v>
      </c>
      <c r="J1589" s="55">
        <v>0</v>
      </c>
      <c r="K1589" s="1">
        <f t="shared" ref="K1589" si="1505">(IF(F1589="SELL",G1589-H1589,IF(F1589="BUY",H1589-G1589)))*E1589</f>
        <v>2800.0000000000023</v>
      </c>
      <c r="L1589" s="51">
        <v>0</v>
      </c>
      <c r="M1589" s="52">
        <v>0</v>
      </c>
      <c r="N1589" s="2">
        <f t="shared" si="1487"/>
        <v>0.4000000000000003</v>
      </c>
      <c r="O1589" s="2">
        <f t="shared" si="1499"/>
        <v>2800.0000000000023</v>
      </c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</row>
    <row r="1590" spans="1:33" s="14" customFormat="1" ht="15" customHeight="1">
      <c r="A1590" s="10">
        <v>43145</v>
      </c>
      <c r="B1590" s="3" t="s">
        <v>261</v>
      </c>
      <c r="C1590" s="15" t="s">
        <v>47</v>
      </c>
      <c r="D1590" s="15">
        <v>120</v>
      </c>
      <c r="E1590" s="11">
        <v>4500</v>
      </c>
      <c r="F1590" s="3" t="s">
        <v>8</v>
      </c>
      <c r="G1590" s="46">
        <v>3.3</v>
      </c>
      <c r="H1590" s="3">
        <v>3.7</v>
      </c>
      <c r="I1590" s="46">
        <v>0</v>
      </c>
      <c r="J1590" s="55">
        <v>0</v>
      </c>
      <c r="K1590" s="1">
        <f t="shared" ref="K1590" si="1506">(IF(F1590="SELL",G1590-H1590,IF(F1590="BUY",H1590-G1590)))*E1590</f>
        <v>1800.0000000000016</v>
      </c>
      <c r="L1590" s="51">
        <v>0</v>
      </c>
      <c r="M1590" s="52">
        <v>0</v>
      </c>
      <c r="N1590" s="2">
        <f t="shared" si="1487"/>
        <v>0.40000000000000036</v>
      </c>
      <c r="O1590" s="2">
        <f t="shared" si="1499"/>
        <v>1800.0000000000016</v>
      </c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</row>
    <row r="1591" spans="1:33" s="14" customFormat="1" ht="15" customHeight="1">
      <c r="A1591" s="10">
        <v>43143</v>
      </c>
      <c r="B1591" s="3" t="s">
        <v>232</v>
      </c>
      <c r="C1591" s="15" t="s">
        <v>47</v>
      </c>
      <c r="D1591" s="15">
        <v>460</v>
      </c>
      <c r="E1591" s="11">
        <v>1000</v>
      </c>
      <c r="F1591" s="3" t="s">
        <v>8</v>
      </c>
      <c r="G1591" s="46">
        <v>22</v>
      </c>
      <c r="H1591" s="3">
        <v>24</v>
      </c>
      <c r="I1591" s="46">
        <v>0</v>
      </c>
      <c r="J1591" s="55">
        <v>0</v>
      </c>
      <c r="K1591" s="1">
        <f t="shared" ref="K1591" si="1507">(IF(F1591="SELL",G1591-H1591,IF(F1591="BUY",H1591-G1591)))*E1591</f>
        <v>2000</v>
      </c>
      <c r="L1591" s="51">
        <v>0</v>
      </c>
      <c r="M1591" s="52">
        <v>0</v>
      </c>
      <c r="N1591" s="2">
        <f t="shared" si="1487"/>
        <v>2</v>
      </c>
      <c r="O1591" s="2">
        <f t="shared" si="1499"/>
        <v>2000</v>
      </c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</row>
    <row r="1592" spans="1:33" s="14" customFormat="1" ht="15" customHeight="1">
      <c r="A1592" s="10">
        <v>43140</v>
      </c>
      <c r="B1592" s="3" t="s">
        <v>26</v>
      </c>
      <c r="C1592" s="15" t="s">
        <v>47</v>
      </c>
      <c r="D1592" s="15">
        <v>700</v>
      </c>
      <c r="E1592" s="11">
        <v>1000</v>
      </c>
      <c r="F1592" s="3" t="s">
        <v>8</v>
      </c>
      <c r="G1592" s="46">
        <v>17</v>
      </c>
      <c r="H1592" s="3">
        <v>0</v>
      </c>
      <c r="I1592" s="46">
        <v>0</v>
      </c>
      <c r="J1592" s="55">
        <v>0</v>
      </c>
      <c r="K1592" s="1">
        <v>0</v>
      </c>
      <c r="L1592" s="51">
        <v>0</v>
      </c>
      <c r="M1592" s="52">
        <v>0</v>
      </c>
      <c r="N1592" s="2">
        <f t="shared" si="1487"/>
        <v>0</v>
      </c>
      <c r="O1592" s="2">
        <f t="shared" si="1499"/>
        <v>0</v>
      </c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</row>
    <row r="1593" spans="1:33" s="14" customFormat="1" ht="15" customHeight="1">
      <c r="A1593" s="10">
        <v>43138</v>
      </c>
      <c r="B1593" s="3" t="s">
        <v>167</v>
      </c>
      <c r="C1593" s="15" t="s">
        <v>47</v>
      </c>
      <c r="D1593" s="15">
        <v>1040</v>
      </c>
      <c r="E1593" s="11">
        <v>1000</v>
      </c>
      <c r="F1593" s="3" t="s">
        <v>8</v>
      </c>
      <c r="G1593" s="46">
        <v>18</v>
      </c>
      <c r="H1593" s="3">
        <v>12</v>
      </c>
      <c r="I1593" s="46">
        <v>0</v>
      </c>
      <c r="J1593" s="55">
        <v>0</v>
      </c>
      <c r="K1593" s="1">
        <f t="shared" ref="K1593:K1594" si="1508">(IF(F1593="SELL",G1593-H1593,IF(F1593="BUY",H1593-G1593)))*E1593</f>
        <v>-6000</v>
      </c>
      <c r="L1593" s="51">
        <v>0</v>
      </c>
      <c r="M1593" s="52">
        <v>0</v>
      </c>
      <c r="N1593" s="2">
        <f t="shared" si="1487"/>
        <v>-6</v>
      </c>
      <c r="O1593" s="2">
        <f t="shared" si="1499"/>
        <v>-6000</v>
      </c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</row>
    <row r="1594" spans="1:33" s="14" customFormat="1" ht="15" customHeight="1">
      <c r="A1594" s="10">
        <v>43136</v>
      </c>
      <c r="B1594" s="3" t="s">
        <v>196</v>
      </c>
      <c r="C1594" s="15" t="s">
        <v>47</v>
      </c>
      <c r="D1594" s="15">
        <v>630</v>
      </c>
      <c r="E1594" s="11">
        <v>1200</v>
      </c>
      <c r="F1594" s="3" t="s">
        <v>8</v>
      </c>
      <c r="G1594" s="46">
        <v>18</v>
      </c>
      <c r="H1594" s="3">
        <v>20</v>
      </c>
      <c r="I1594" s="46">
        <v>0</v>
      </c>
      <c r="J1594" s="55">
        <v>0</v>
      </c>
      <c r="K1594" s="1">
        <f t="shared" si="1508"/>
        <v>2400</v>
      </c>
      <c r="L1594" s="51">
        <v>0</v>
      </c>
      <c r="M1594" s="52">
        <v>0</v>
      </c>
      <c r="N1594" s="2">
        <f t="shared" si="1487"/>
        <v>2</v>
      </c>
      <c r="O1594" s="2">
        <f t="shared" si="1499"/>
        <v>2400</v>
      </c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</row>
    <row r="1595" spans="1:33" s="14" customFormat="1" ht="15" customHeight="1">
      <c r="A1595" s="10">
        <v>43132</v>
      </c>
      <c r="B1595" s="3" t="s">
        <v>169</v>
      </c>
      <c r="C1595" s="15" t="s">
        <v>46</v>
      </c>
      <c r="D1595" s="15">
        <v>1000</v>
      </c>
      <c r="E1595" s="11">
        <v>6000</v>
      </c>
      <c r="F1595" s="3" t="s">
        <v>8</v>
      </c>
      <c r="G1595" s="46">
        <v>30.65</v>
      </c>
      <c r="H1595" s="3">
        <v>0</v>
      </c>
      <c r="I1595" s="46">
        <v>0</v>
      </c>
      <c r="J1595" s="55">
        <v>0</v>
      </c>
      <c r="K1595" s="1">
        <v>0</v>
      </c>
      <c r="L1595" s="51">
        <f t="shared" ref="L1595" si="1509">(IF(F1595="SELL",IF(I1595="",0,H1595-I1595),IF(F1595="BUY",IF(I1595="",0,I1595-H1595))))*E1595</f>
        <v>0</v>
      </c>
      <c r="M1595" s="52">
        <v>0</v>
      </c>
      <c r="N1595" s="2">
        <f t="shared" si="1487"/>
        <v>0</v>
      </c>
      <c r="O1595" s="2">
        <f t="shared" si="1499"/>
        <v>0</v>
      </c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</row>
    <row r="1596" spans="1:33" s="14" customFormat="1" ht="15" customHeight="1">
      <c r="A1596" s="10">
        <v>43131</v>
      </c>
      <c r="B1596" s="3" t="s">
        <v>263</v>
      </c>
      <c r="C1596" s="15" t="s">
        <v>46</v>
      </c>
      <c r="D1596" s="15">
        <v>110</v>
      </c>
      <c r="E1596" s="11">
        <v>6000</v>
      </c>
      <c r="F1596" s="3" t="s">
        <v>8</v>
      </c>
      <c r="G1596" s="46">
        <v>4.5999999999999996</v>
      </c>
      <c r="H1596" s="3">
        <v>5</v>
      </c>
      <c r="I1596" s="46">
        <v>5.5</v>
      </c>
      <c r="J1596" s="55">
        <v>0</v>
      </c>
      <c r="K1596" s="1">
        <f t="shared" ref="K1596" si="1510">(IF(F1596="SELL",G1596-H1596,IF(F1596="BUY",H1596-G1596)))*E1596</f>
        <v>2400.0000000000023</v>
      </c>
      <c r="L1596" s="51">
        <f t="shared" ref="L1596" si="1511">(IF(F1596="SELL",IF(I1596="",0,H1596-I1596),IF(F1596="BUY",IF(I1596="",0,I1596-H1596))))*E1596</f>
        <v>3000</v>
      </c>
      <c r="M1596" s="52">
        <v>0</v>
      </c>
      <c r="N1596" s="2">
        <f t="shared" si="1487"/>
        <v>0.90000000000000036</v>
      </c>
      <c r="O1596" s="2">
        <f t="shared" si="1499"/>
        <v>5400.0000000000018</v>
      </c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</row>
    <row r="1597" spans="1:33" s="14" customFormat="1" ht="15" customHeight="1">
      <c r="A1597" s="10">
        <v>43131</v>
      </c>
      <c r="B1597" s="3" t="s">
        <v>239</v>
      </c>
      <c r="C1597" s="15" t="s">
        <v>47</v>
      </c>
      <c r="D1597" s="15">
        <v>270</v>
      </c>
      <c r="E1597" s="11">
        <v>5000</v>
      </c>
      <c r="F1597" s="3" t="s">
        <v>8</v>
      </c>
      <c r="G1597" s="46">
        <v>6.9</v>
      </c>
      <c r="H1597" s="3">
        <v>7.4</v>
      </c>
      <c r="I1597" s="46">
        <v>0</v>
      </c>
      <c r="J1597" s="55">
        <v>0</v>
      </c>
      <c r="K1597" s="1">
        <f t="shared" ref="K1597" si="1512">(IF(F1597="SELL",G1597-H1597,IF(F1597="BUY",H1597-G1597)))*E1597</f>
        <v>2500</v>
      </c>
      <c r="L1597" s="51">
        <v>0</v>
      </c>
      <c r="M1597" s="52">
        <v>0</v>
      </c>
      <c r="N1597" s="2">
        <f t="shared" si="1487"/>
        <v>0.5</v>
      </c>
      <c r="O1597" s="2">
        <f t="shared" si="1499"/>
        <v>2500</v>
      </c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</row>
    <row r="1598" spans="1:33" s="14" customFormat="1" ht="15" customHeight="1">
      <c r="A1598" s="10">
        <v>43130</v>
      </c>
      <c r="B1598" s="3" t="s">
        <v>198</v>
      </c>
      <c r="C1598" s="15" t="s">
        <v>47</v>
      </c>
      <c r="D1598" s="15">
        <v>330</v>
      </c>
      <c r="E1598" s="11">
        <v>3000</v>
      </c>
      <c r="F1598" s="3" t="s">
        <v>8</v>
      </c>
      <c r="G1598" s="46">
        <v>8</v>
      </c>
      <c r="H1598" s="3">
        <v>8.6999999999999993</v>
      </c>
      <c r="I1598" s="46">
        <v>0</v>
      </c>
      <c r="J1598" s="55">
        <v>0</v>
      </c>
      <c r="K1598" s="1">
        <f t="shared" ref="K1598" si="1513">(IF(F1598="SELL",G1598-H1598,IF(F1598="BUY",H1598-G1598)))*E1598</f>
        <v>2099.9999999999977</v>
      </c>
      <c r="L1598" s="51">
        <v>0</v>
      </c>
      <c r="M1598" s="52">
        <v>0</v>
      </c>
      <c r="N1598" s="2">
        <f t="shared" si="1487"/>
        <v>0.69999999999999929</v>
      </c>
      <c r="O1598" s="2">
        <f t="shared" si="1499"/>
        <v>2099.9999999999977</v>
      </c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</row>
    <row r="1599" spans="1:33" s="14" customFormat="1" ht="15" customHeight="1">
      <c r="A1599" s="10">
        <v>43129</v>
      </c>
      <c r="B1599" s="3" t="s">
        <v>272</v>
      </c>
      <c r="C1599" s="15" t="s">
        <v>47</v>
      </c>
      <c r="D1599" s="15">
        <v>150</v>
      </c>
      <c r="E1599" s="11">
        <v>9000</v>
      </c>
      <c r="F1599" s="3" t="s">
        <v>8</v>
      </c>
      <c r="G1599" s="46">
        <v>8.5</v>
      </c>
      <c r="H1599" s="3">
        <v>8.9</v>
      </c>
      <c r="I1599" s="46">
        <v>9.5</v>
      </c>
      <c r="J1599" s="55">
        <v>0</v>
      </c>
      <c r="K1599" s="1">
        <f t="shared" ref="K1599" si="1514">(IF(F1599="SELL",G1599-H1599,IF(F1599="BUY",H1599-G1599)))*E1599</f>
        <v>3600.0000000000032</v>
      </c>
      <c r="L1599" s="51">
        <f t="shared" ref="L1599" si="1515">(IF(F1599="SELL",IF(I1599="",0,H1599-I1599),IF(F1599="BUY",IF(I1599="",0,I1599-H1599))))*E1599</f>
        <v>5399.9999999999964</v>
      </c>
      <c r="M1599" s="52">
        <v>0</v>
      </c>
      <c r="N1599" s="2">
        <f t="shared" si="1487"/>
        <v>1</v>
      </c>
      <c r="O1599" s="2">
        <f t="shared" si="1499"/>
        <v>9000</v>
      </c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</row>
    <row r="1600" spans="1:33" s="14" customFormat="1" ht="15" customHeight="1">
      <c r="A1600" s="10">
        <v>43125</v>
      </c>
      <c r="B1600" s="3" t="s">
        <v>271</v>
      </c>
      <c r="C1600" s="15" t="s">
        <v>47</v>
      </c>
      <c r="D1600" s="15">
        <v>840</v>
      </c>
      <c r="E1600" s="11">
        <v>1100</v>
      </c>
      <c r="F1600" s="3" t="s">
        <v>8</v>
      </c>
      <c r="G1600" s="46">
        <v>6</v>
      </c>
      <c r="H1600" s="3">
        <v>8</v>
      </c>
      <c r="I1600" s="46">
        <v>10</v>
      </c>
      <c r="J1600" s="55">
        <v>12</v>
      </c>
      <c r="K1600" s="1">
        <f t="shared" ref="K1600" si="1516">(IF(F1600="SELL",G1600-H1600,IF(F1600="BUY",H1600-G1600)))*E1600</f>
        <v>2200</v>
      </c>
      <c r="L1600" s="51">
        <f t="shared" ref="L1600" si="1517">(IF(F1600="SELL",IF(I1600="",0,H1600-I1600),IF(F1600="BUY",IF(I1600="",0,I1600-H1600))))*E1600</f>
        <v>2200</v>
      </c>
      <c r="M1600" s="52">
        <f>(IF(F1600="SELL",IF(J1600="",0,I1600-J1600),IF(F1600="BUY",IF(J1600="",0,(J1600-I1600)))))*E1600</f>
        <v>2200</v>
      </c>
      <c r="N1600" s="2">
        <f t="shared" si="1487"/>
        <v>6</v>
      </c>
      <c r="O1600" s="2">
        <f t="shared" si="1499"/>
        <v>6600</v>
      </c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</row>
    <row r="1601" spans="1:33" s="14" customFormat="1" ht="15" customHeight="1">
      <c r="A1601" s="10">
        <v>43125</v>
      </c>
      <c r="B1601" s="3" t="s">
        <v>271</v>
      </c>
      <c r="C1601" s="15" t="s">
        <v>47</v>
      </c>
      <c r="D1601" s="15">
        <v>820</v>
      </c>
      <c r="E1601" s="11">
        <v>1100</v>
      </c>
      <c r="F1601" s="3" t="s">
        <v>8</v>
      </c>
      <c r="G1601" s="46">
        <v>16</v>
      </c>
      <c r="H1601" s="3">
        <v>18</v>
      </c>
      <c r="I1601" s="46">
        <v>21</v>
      </c>
      <c r="J1601" s="55">
        <v>0</v>
      </c>
      <c r="K1601" s="1">
        <f t="shared" ref="K1601" si="1518">(IF(F1601="SELL",G1601-H1601,IF(F1601="BUY",H1601-G1601)))*E1601</f>
        <v>2200</v>
      </c>
      <c r="L1601" s="51">
        <f t="shared" ref="L1601" si="1519">(IF(F1601="SELL",IF(I1601="",0,H1601-I1601),IF(F1601="BUY",IF(I1601="",0,I1601-H1601))))*E1601</f>
        <v>3300</v>
      </c>
      <c r="M1601" s="52">
        <v>0</v>
      </c>
      <c r="N1601" s="2">
        <f t="shared" si="1487"/>
        <v>5</v>
      </c>
      <c r="O1601" s="2">
        <f t="shared" si="1499"/>
        <v>5500</v>
      </c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</row>
    <row r="1602" spans="1:33" s="14" customFormat="1" ht="15" customHeight="1">
      <c r="A1602" s="10">
        <v>43124</v>
      </c>
      <c r="B1602" s="3" t="s">
        <v>271</v>
      </c>
      <c r="C1602" s="15" t="s">
        <v>47</v>
      </c>
      <c r="D1602" s="15">
        <v>820</v>
      </c>
      <c r="E1602" s="11">
        <v>1100</v>
      </c>
      <c r="F1602" s="3" t="s">
        <v>8</v>
      </c>
      <c r="G1602" s="46">
        <v>14</v>
      </c>
      <c r="H1602" s="3">
        <v>16</v>
      </c>
      <c r="I1602" s="46">
        <v>17.850000000000001</v>
      </c>
      <c r="J1602" s="55">
        <v>0</v>
      </c>
      <c r="K1602" s="1">
        <f t="shared" ref="K1602" si="1520">(IF(F1602="SELL",G1602-H1602,IF(F1602="BUY",H1602-G1602)))*E1602</f>
        <v>2200</v>
      </c>
      <c r="L1602" s="51">
        <f t="shared" ref="L1602:L1604" si="1521">(IF(F1602="SELL",IF(I1602="",0,H1602-I1602),IF(F1602="BUY",IF(I1602="",0,I1602-H1602))))*E1602</f>
        <v>2035.0000000000016</v>
      </c>
      <c r="M1602" s="52">
        <v>0</v>
      </c>
      <c r="N1602" s="2">
        <f t="shared" si="1487"/>
        <v>3.8500000000000019</v>
      </c>
      <c r="O1602" s="2">
        <f t="shared" si="1499"/>
        <v>4235.0000000000018</v>
      </c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</row>
    <row r="1603" spans="1:33" s="14" customFormat="1" ht="15" customHeight="1">
      <c r="A1603" s="10">
        <v>43123</v>
      </c>
      <c r="B1603" s="3" t="s">
        <v>266</v>
      </c>
      <c r="C1603" s="15" t="s">
        <v>47</v>
      </c>
      <c r="D1603" s="15">
        <v>1100</v>
      </c>
      <c r="E1603" s="11">
        <v>800</v>
      </c>
      <c r="F1603" s="3" t="s">
        <v>8</v>
      </c>
      <c r="G1603" s="46">
        <v>16</v>
      </c>
      <c r="H1603" s="3">
        <v>19</v>
      </c>
      <c r="I1603" s="46">
        <v>0</v>
      </c>
      <c r="J1603" s="55">
        <v>0</v>
      </c>
      <c r="K1603" s="1">
        <f t="shared" ref="K1603" si="1522">(IF(F1603="SELL",G1603-H1603,IF(F1603="BUY",H1603-G1603)))*E1603</f>
        <v>2400</v>
      </c>
      <c r="L1603" s="51">
        <v>0</v>
      </c>
      <c r="M1603" s="52">
        <v>0</v>
      </c>
      <c r="N1603" s="2">
        <f t="shared" si="1487"/>
        <v>3</v>
      </c>
      <c r="O1603" s="2">
        <f t="shared" si="1499"/>
        <v>2400</v>
      </c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</row>
    <row r="1604" spans="1:33" s="14" customFormat="1" ht="15" customHeight="1">
      <c r="A1604" s="10">
        <v>43122</v>
      </c>
      <c r="B1604" s="3" t="s">
        <v>157</v>
      </c>
      <c r="C1604" s="15" t="s">
        <v>47</v>
      </c>
      <c r="D1604" s="15">
        <v>910</v>
      </c>
      <c r="E1604" s="11">
        <v>1500</v>
      </c>
      <c r="F1604" s="3" t="s">
        <v>8</v>
      </c>
      <c r="G1604" s="46">
        <v>10</v>
      </c>
      <c r="H1604" s="3">
        <v>12</v>
      </c>
      <c r="I1604" s="46">
        <v>15</v>
      </c>
      <c r="J1604" s="55">
        <v>0</v>
      </c>
      <c r="K1604" s="1">
        <f t="shared" ref="K1604" si="1523">(IF(F1604="SELL",G1604-H1604,IF(F1604="BUY",H1604-G1604)))*E1604</f>
        <v>3000</v>
      </c>
      <c r="L1604" s="51">
        <f t="shared" si="1521"/>
        <v>4500</v>
      </c>
      <c r="M1604" s="52">
        <v>0</v>
      </c>
      <c r="N1604" s="2">
        <f t="shared" si="1487"/>
        <v>5</v>
      </c>
      <c r="O1604" s="2">
        <f t="shared" si="1499"/>
        <v>7500</v>
      </c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</row>
    <row r="1605" spans="1:33" s="14" customFormat="1" ht="15" customHeight="1">
      <c r="A1605" s="10">
        <v>43119</v>
      </c>
      <c r="B1605" s="3" t="s">
        <v>270</v>
      </c>
      <c r="C1605" s="15" t="s">
        <v>46</v>
      </c>
      <c r="D1605" s="15">
        <v>260</v>
      </c>
      <c r="E1605" s="11">
        <v>4500</v>
      </c>
      <c r="F1605" s="3" t="s">
        <v>8</v>
      </c>
      <c r="G1605" s="46">
        <v>8.65</v>
      </c>
      <c r="H1605" s="3">
        <v>9.15</v>
      </c>
      <c r="I1605" s="46">
        <v>10</v>
      </c>
      <c r="J1605" s="55">
        <v>0</v>
      </c>
      <c r="K1605" s="1">
        <f t="shared" ref="K1605" si="1524">(IF(F1605="SELL",G1605-H1605,IF(F1605="BUY",H1605-G1605)))*E1605</f>
        <v>2250</v>
      </c>
      <c r="L1605" s="51">
        <f t="shared" ref="L1605:L1606" si="1525">(IF(F1605="SELL",IF(I1605="",0,H1605-I1605),IF(F1605="BUY",IF(I1605="",0,I1605-H1605))))*E1605</f>
        <v>3824.9999999999982</v>
      </c>
      <c r="M1605" s="52">
        <v>0</v>
      </c>
      <c r="N1605" s="2">
        <f t="shared" si="1487"/>
        <v>1.3499999999999996</v>
      </c>
      <c r="O1605" s="2">
        <f t="shared" si="1499"/>
        <v>6074.9999999999982</v>
      </c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</row>
    <row r="1606" spans="1:33" s="14" customFormat="1" ht="15" customHeight="1">
      <c r="A1606" s="10">
        <v>43119</v>
      </c>
      <c r="B1606" s="3" t="s">
        <v>141</v>
      </c>
      <c r="C1606" s="15" t="s">
        <v>46</v>
      </c>
      <c r="D1606" s="15">
        <v>280</v>
      </c>
      <c r="E1606" s="11">
        <v>3000</v>
      </c>
      <c r="F1606" s="3" t="s">
        <v>8</v>
      </c>
      <c r="G1606" s="46">
        <v>4.45</v>
      </c>
      <c r="H1606" s="3">
        <v>5</v>
      </c>
      <c r="I1606" s="46">
        <v>6</v>
      </c>
      <c r="J1606" s="55">
        <v>0</v>
      </c>
      <c r="K1606" s="1">
        <f t="shared" ref="K1606" si="1526">(IF(F1606="SELL",G1606-H1606,IF(F1606="BUY",H1606-G1606)))*E1606</f>
        <v>1649.9999999999995</v>
      </c>
      <c r="L1606" s="51">
        <f t="shared" si="1525"/>
        <v>3000</v>
      </c>
      <c r="M1606" s="52">
        <v>0</v>
      </c>
      <c r="N1606" s="2">
        <f t="shared" si="1487"/>
        <v>1.55</v>
      </c>
      <c r="O1606" s="2">
        <f t="shared" si="1499"/>
        <v>4650</v>
      </c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</row>
    <row r="1607" spans="1:33" s="14" customFormat="1" ht="15" customHeight="1">
      <c r="A1607" s="10">
        <v>43118</v>
      </c>
      <c r="B1607" s="3" t="s">
        <v>198</v>
      </c>
      <c r="C1607" s="15" t="s">
        <v>47</v>
      </c>
      <c r="D1607" s="15">
        <v>310</v>
      </c>
      <c r="E1607" s="11">
        <v>3000</v>
      </c>
      <c r="F1607" s="3" t="s">
        <v>8</v>
      </c>
      <c r="G1607" s="46">
        <v>6.3</v>
      </c>
      <c r="H1607" s="3">
        <v>4</v>
      </c>
      <c r="I1607" s="46">
        <v>0</v>
      </c>
      <c r="J1607" s="55">
        <v>0</v>
      </c>
      <c r="K1607" s="1">
        <f t="shared" ref="K1607" si="1527">(IF(F1607="SELL",G1607-H1607,IF(F1607="BUY",H1607-G1607)))*E1607</f>
        <v>-6899.9999999999991</v>
      </c>
      <c r="L1607" s="51">
        <v>0</v>
      </c>
      <c r="M1607" s="52">
        <v>0</v>
      </c>
      <c r="N1607" s="2">
        <f t="shared" si="1487"/>
        <v>-2.2999999999999998</v>
      </c>
      <c r="O1607" s="2">
        <f t="shared" si="1499"/>
        <v>-6899.9999999999991</v>
      </c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</row>
    <row r="1608" spans="1:33" s="14" customFormat="1" ht="15" customHeight="1">
      <c r="A1608" s="10">
        <v>43117</v>
      </c>
      <c r="B1608" s="3" t="s">
        <v>185</v>
      </c>
      <c r="C1608" s="15" t="s">
        <v>46</v>
      </c>
      <c r="D1608" s="15">
        <v>180</v>
      </c>
      <c r="E1608" s="11">
        <v>3500</v>
      </c>
      <c r="F1608" s="3" t="s">
        <v>8</v>
      </c>
      <c r="G1608" s="46">
        <v>3.5</v>
      </c>
      <c r="H1608" s="3">
        <v>0</v>
      </c>
      <c r="I1608" s="46">
        <v>0</v>
      </c>
      <c r="J1608" s="55">
        <v>0</v>
      </c>
      <c r="K1608" s="1">
        <v>0</v>
      </c>
      <c r="L1608" s="51">
        <v>0</v>
      </c>
      <c r="M1608" s="52">
        <v>0</v>
      </c>
      <c r="N1608" s="2">
        <f t="shared" si="1487"/>
        <v>0</v>
      </c>
      <c r="O1608" s="2">
        <f t="shared" si="1499"/>
        <v>0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</row>
    <row r="1609" spans="1:33" s="14" customFormat="1" ht="15" customHeight="1">
      <c r="A1609" s="10">
        <v>43115</v>
      </c>
      <c r="B1609" s="3" t="s">
        <v>269</v>
      </c>
      <c r="C1609" s="15" t="s">
        <v>47</v>
      </c>
      <c r="D1609" s="15">
        <v>100</v>
      </c>
      <c r="E1609" s="11">
        <v>12000</v>
      </c>
      <c r="F1609" s="3" t="s">
        <v>8</v>
      </c>
      <c r="G1609" s="46">
        <v>3.25</v>
      </c>
      <c r="H1609" s="3">
        <v>3.5</v>
      </c>
      <c r="I1609" s="46">
        <v>0</v>
      </c>
      <c r="J1609" s="55">
        <v>0</v>
      </c>
      <c r="K1609" s="1">
        <f t="shared" ref="K1609" si="1528">(IF(F1609="SELL",G1609-H1609,IF(F1609="BUY",H1609-G1609)))*E1609</f>
        <v>3000</v>
      </c>
      <c r="L1609" s="51">
        <v>0</v>
      </c>
      <c r="M1609" s="52">
        <v>0</v>
      </c>
      <c r="N1609" s="2">
        <f t="shared" si="1487"/>
        <v>0.25</v>
      </c>
      <c r="O1609" s="2">
        <f t="shared" si="1499"/>
        <v>3000</v>
      </c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</row>
    <row r="1610" spans="1:33" s="14" customFormat="1" ht="15" customHeight="1">
      <c r="A1610" s="10">
        <v>43112</v>
      </c>
      <c r="B1610" s="3" t="s">
        <v>234</v>
      </c>
      <c r="C1610" s="15" t="s">
        <v>47</v>
      </c>
      <c r="D1610" s="15">
        <v>325</v>
      </c>
      <c r="E1610" s="11">
        <v>4500</v>
      </c>
      <c r="F1610" s="3" t="s">
        <v>8</v>
      </c>
      <c r="G1610" s="46">
        <v>7</v>
      </c>
      <c r="H1610" s="3">
        <v>7.5</v>
      </c>
      <c r="I1610" s="46">
        <v>8</v>
      </c>
      <c r="J1610" s="55">
        <v>9</v>
      </c>
      <c r="K1610" s="1">
        <f t="shared" ref="K1610" si="1529">(IF(F1610="SELL",G1610-H1610,IF(F1610="BUY",H1610-G1610)))*E1610</f>
        <v>2250</v>
      </c>
      <c r="L1610" s="51">
        <f t="shared" ref="L1610" si="1530">(IF(F1610="SELL",IF(I1610="",0,H1610-I1610),IF(F1610="BUY",IF(I1610="",0,I1610-H1610))))*E1610</f>
        <v>2250</v>
      </c>
      <c r="M1610" s="52">
        <f>(IF(F1610="SELL",IF(J1610="",0,I1610-J1610),IF(F1610="BUY",IF(J1610="",0,(J1610-I1610)))))*E1610</f>
        <v>4500</v>
      </c>
      <c r="N1610" s="2">
        <f t="shared" si="1487"/>
        <v>2</v>
      </c>
      <c r="O1610" s="2">
        <f t="shared" si="1499"/>
        <v>9000</v>
      </c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</row>
    <row r="1611" spans="1:33" s="14" customFormat="1" ht="15" customHeight="1">
      <c r="A1611" s="10">
        <v>43111</v>
      </c>
      <c r="B1611" s="3" t="s">
        <v>22</v>
      </c>
      <c r="C1611" s="15" t="s">
        <v>47</v>
      </c>
      <c r="D1611" s="15">
        <v>280</v>
      </c>
      <c r="E1611" s="11">
        <v>5000</v>
      </c>
      <c r="F1611" s="3" t="s">
        <v>8</v>
      </c>
      <c r="G1611" s="46">
        <v>8</v>
      </c>
      <c r="H1611" s="3">
        <v>6.5</v>
      </c>
      <c r="I1611" s="46">
        <v>0</v>
      </c>
      <c r="J1611" s="55">
        <v>0</v>
      </c>
      <c r="K1611" s="1">
        <f t="shared" ref="K1611" si="1531">(IF(F1611="SELL",G1611-H1611,IF(F1611="BUY",H1611-G1611)))*E1611</f>
        <v>-7500</v>
      </c>
      <c r="L1611" s="51">
        <v>0</v>
      </c>
      <c r="M1611" s="52">
        <v>0</v>
      </c>
      <c r="N1611" s="2">
        <f t="shared" si="1487"/>
        <v>-1.5</v>
      </c>
      <c r="O1611" s="2">
        <f t="shared" si="1499"/>
        <v>-7500</v>
      </c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</row>
    <row r="1612" spans="1:33" s="14" customFormat="1" ht="15" customHeight="1">
      <c r="A1612" s="10">
        <v>43111</v>
      </c>
      <c r="B1612" s="3" t="s">
        <v>268</v>
      </c>
      <c r="C1612" s="15" t="s">
        <v>47</v>
      </c>
      <c r="D1612" s="15">
        <v>110</v>
      </c>
      <c r="E1612" s="11">
        <v>7000</v>
      </c>
      <c r="F1612" s="3" t="s">
        <v>8</v>
      </c>
      <c r="G1612" s="46">
        <v>4.5</v>
      </c>
      <c r="H1612" s="3">
        <v>3.5</v>
      </c>
      <c r="I1612" s="46">
        <v>0</v>
      </c>
      <c r="J1612" s="55">
        <v>0</v>
      </c>
      <c r="K1612" s="1">
        <f t="shared" ref="K1612" si="1532">(IF(F1612="SELL",G1612-H1612,IF(F1612="BUY",H1612-G1612)))*E1612</f>
        <v>-7000</v>
      </c>
      <c r="L1612" s="51">
        <v>0</v>
      </c>
      <c r="M1612" s="52">
        <v>0</v>
      </c>
      <c r="N1612" s="2">
        <f t="shared" si="1487"/>
        <v>-1</v>
      </c>
      <c r="O1612" s="2">
        <f t="shared" si="1499"/>
        <v>-7000</v>
      </c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</row>
    <row r="1613" spans="1:33" s="14" customFormat="1" ht="15" customHeight="1">
      <c r="A1613" s="10">
        <v>43110</v>
      </c>
      <c r="B1613" s="3" t="s">
        <v>224</v>
      </c>
      <c r="C1613" s="15" t="s">
        <v>47</v>
      </c>
      <c r="D1613" s="15">
        <v>370</v>
      </c>
      <c r="E1613" s="11">
        <v>3000</v>
      </c>
      <c r="F1613" s="3" t="s">
        <v>8</v>
      </c>
      <c r="G1613" s="46">
        <v>7.5</v>
      </c>
      <c r="H1613" s="3">
        <v>0</v>
      </c>
      <c r="I1613" s="46">
        <v>0</v>
      </c>
      <c r="J1613" s="55">
        <v>0</v>
      </c>
      <c r="K1613" s="1">
        <v>0</v>
      </c>
      <c r="L1613" s="51">
        <f t="shared" ref="L1613" si="1533">(IF(F1613="SELL",IF(I1613="",0,H1613-I1613),IF(F1613="BUY",IF(I1613="",0,I1613-H1613))))*E1613</f>
        <v>0</v>
      </c>
      <c r="M1613" s="52">
        <v>0</v>
      </c>
      <c r="N1613" s="2">
        <f t="shared" si="1487"/>
        <v>0</v>
      </c>
      <c r="O1613" s="2">
        <f t="shared" si="1499"/>
        <v>0</v>
      </c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</row>
    <row r="1614" spans="1:33" s="14" customFormat="1" ht="15" customHeight="1">
      <c r="A1614" s="10">
        <v>43109</v>
      </c>
      <c r="B1614" s="3" t="s">
        <v>268</v>
      </c>
      <c r="C1614" s="15" t="s">
        <v>47</v>
      </c>
      <c r="D1614" s="15">
        <v>110</v>
      </c>
      <c r="E1614" s="11">
        <v>7000</v>
      </c>
      <c r="F1614" s="3" t="s">
        <v>8</v>
      </c>
      <c r="G1614" s="46">
        <v>4.1500000000000004</v>
      </c>
      <c r="H1614" s="3">
        <v>4.7</v>
      </c>
      <c r="I1614" s="46">
        <v>0</v>
      </c>
      <c r="J1614" s="55">
        <v>0</v>
      </c>
      <c r="K1614" s="1">
        <f t="shared" ref="K1614" si="1534">(IF(F1614="SELL",G1614-H1614,IF(F1614="BUY",H1614-G1614)))*E1614</f>
        <v>3849.9999999999986</v>
      </c>
      <c r="L1614" s="51">
        <v>0</v>
      </c>
      <c r="M1614" s="52">
        <v>0</v>
      </c>
      <c r="N1614" s="2">
        <f t="shared" si="1487"/>
        <v>0.54999999999999982</v>
      </c>
      <c r="O1614" s="2">
        <f t="shared" si="1499"/>
        <v>3849.9999999999986</v>
      </c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</row>
    <row r="1615" spans="1:33" s="14" customFormat="1" ht="15" customHeight="1">
      <c r="A1615" s="10">
        <v>43109</v>
      </c>
      <c r="B1615" s="3" t="s">
        <v>167</v>
      </c>
      <c r="C1615" s="15" t="s">
        <v>47</v>
      </c>
      <c r="D1615" s="15">
        <v>1060</v>
      </c>
      <c r="E1615" s="11">
        <v>1000</v>
      </c>
      <c r="F1615" s="3" t="s">
        <v>8</v>
      </c>
      <c r="G1615" s="46">
        <v>21</v>
      </c>
      <c r="H1615" s="3">
        <v>23</v>
      </c>
      <c r="I1615" s="46">
        <v>0</v>
      </c>
      <c r="J1615" s="55">
        <v>0</v>
      </c>
      <c r="K1615" s="1">
        <f t="shared" ref="K1615" si="1535">(IF(F1615="SELL",G1615-H1615,IF(F1615="BUY",H1615-G1615)))*E1615</f>
        <v>2000</v>
      </c>
      <c r="L1615" s="51">
        <v>0</v>
      </c>
      <c r="M1615" s="52">
        <v>0</v>
      </c>
      <c r="N1615" s="2">
        <f t="shared" si="1487"/>
        <v>2</v>
      </c>
      <c r="O1615" s="2">
        <f t="shared" si="1499"/>
        <v>2000</v>
      </c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</row>
    <row r="1616" spans="1:33" s="14" customFormat="1" ht="15" customHeight="1">
      <c r="A1616" s="10">
        <v>43108</v>
      </c>
      <c r="B1616" s="3" t="s">
        <v>262</v>
      </c>
      <c r="C1616" s="15" t="s">
        <v>47</v>
      </c>
      <c r="D1616" s="15">
        <v>1520</v>
      </c>
      <c r="E1616" s="11">
        <v>600</v>
      </c>
      <c r="F1616" s="3" t="s">
        <v>8</v>
      </c>
      <c r="G1616" s="46">
        <v>35</v>
      </c>
      <c r="H1616" s="3">
        <v>39</v>
      </c>
      <c r="I1616" s="46">
        <v>45</v>
      </c>
      <c r="J1616" s="55">
        <v>0</v>
      </c>
      <c r="K1616" s="1">
        <f t="shared" ref="K1616" si="1536">(IF(F1616="SELL",G1616-H1616,IF(F1616="BUY",H1616-G1616)))*E1616</f>
        <v>2400</v>
      </c>
      <c r="L1616" s="51">
        <f t="shared" ref="L1616" si="1537">(IF(F1616="SELL",IF(I1616="",0,H1616-I1616),IF(F1616="BUY",IF(I1616="",0,I1616-H1616))))*E1616</f>
        <v>3600</v>
      </c>
      <c r="M1616" s="52">
        <v>0</v>
      </c>
      <c r="N1616" s="2">
        <f t="shared" si="1487"/>
        <v>10</v>
      </c>
      <c r="O1616" s="2">
        <f t="shared" si="1499"/>
        <v>6000</v>
      </c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</row>
    <row r="1617" spans="1:33" s="14" customFormat="1" ht="15" customHeight="1">
      <c r="A1617" s="10">
        <v>43105</v>
      </c>
      <c r="B1617" s="3" t="s">
        <v>262</v>
      </c>
      <c r="C1617" s="15" t="s">
        <v>47</v>
      </c>
      <c r="D1617" s="15">
        <v>1500</v>
      </c>
      <c r="E1617" s="11">
        <v>600</v>
      </c>
      <c r="F1617" s="3" t="s">
        <v>8</v>
      </c>
      <c r="G1617" s="46">
        <v>35</v>
      </c>
      <c r="H1617" s="3">
        <v>40</v>
      </c>
      <c r="I1617" s="46">
        <v>0</v>
      </c>
      <c r="J1617" s="55">
        <v>0</v>
      </c>
      <c r="K1617" s="1">
        <f t="shared" ref="K1617" si="1538">(IF(F1617="SELL",G1617-H1617,IF(F1617="BUY",H1617-G1617)))*E1617</f>
        <v>3000</v>
      </c>
      <c r="L1617" s="51">
        <v>0</v>
      </c>
      <c r="M1617" s="52">
        <v>0</v>
      </c>
      <c r="N1617" s="2">
        <f t="shared" si="1487"/>
        <v>5</v>
      </c>
      <c r="O1617" s="2">
        <f t="shared" si="1499"/>
        <v>3000</v>
      </c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</row>
    <row r="1618" spans="1:33" s="14" customFormat="1" ht="15" customHeight="1">
      <c r="A1618" s="10">
        <v>43105</v>
      </c>
      <c r="B1618" s="3" t="s">
        <v>267</v>
      </c>
      <c r="C1618" s="15" t="s">
        <v>47</v>
      </c>
      <c r="D1618" s="15">
        <v>105</v>
      </c>
      <c r="E1618" s="11">
        <v>7500</v>
      </c>
      <c r="F1618" s="3" t="s">
        <v>8</v>
      </c>
      <c r="G1618" s="46">
        <v>3</v>
      </c>
      <c r="H1618" s="3">
        <v>3.4</v>
      </c>
      <c r="I1618" s="46">
        <v>0</v>
      </c>
      <c r="J1618" s="55">
        <v>0</v>
      </c>
      <c r="K1618" s="1">
        <f t="shared" ref="K1618" si="1539">(IF(F1618="SELL",G1618-H1618,IF(F1618="BUY",H1618-G1618)))*E1618</f>
        <v>2999.9999999999995</v>
      </c>
      <c r="L1618" s="51">
        <v>0</v>
      </c>
      <c r="M1618" s="52">
        <v>0</v>
      </c>
      <c r="N1618" s="2">
        <f t="shared" si="1487"/>
        <v>0.39999999999999997</v>
      </c>
      <c r="O1618" s="2">
        <f t="shared" si="1499"/>
        <v>2999.9999999999995</v>
      </c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</row>
    <row r="1619" spans="1:33" s="14" customFormat="1" ht="15" customHeight="1">
      <c r="A1619" s="10">
        <v>43104</v>
      </c>
      <c r="B1619" s="3" t="s">
        <v>255</v>
      </c>
      <c r="C1619" s="15" t="s">
        <v>47</v>
      </c>
      <c r="D1619" s="15">
        <v>175</v>
      </c>
      <c r="E1619" s="11">
        <v>6000</v>
      </c>
      <c r="F1619" s="3" t="s">
        <v>8</v>
      </c>
      <c r="G1619" s="46">
        <v>6.5</v>
      </c>
      <c r="H1619" s="3">
        <v>7</v>
      </c>
      <c r="I1619" s="46">
        <v>8</v>
      </c>
      <c r="J1619" s="55">
        <v>0</v>
      </c>
      <c r="K1619" s="1">
        <f t="shared" ref="K1619" si="1540">(IF(F1619="SELL",G1619-H1619,IF(F1619="BUY",H1619-G1619)))*E1619</f>
        <v>3000</v>
      </c>
      <c r="L1619" s="51">
        <f t="shared" ref="L1619" si="1541">(IF(F1619="SELL",IF(I1619="",0,H1619-I1619),IF(F1619="BUY",IF(I1619="",0,I1619-H1619))))*E1619</f>
        <v>6000</v>
      </c>
      <c r="M1619" s="52">
        <v>0</v>
      </c>
      <c r="N1619" s="2">
        <f t="shared" si="1487"/>
        <v>1.5</v>
      </c>
      <c r="O1619" s="2">
        <f t="shared" si="1499"/>
        <v>9000</v>
      </c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</row>
    <row r="1620" spans="1:33" s="14" customFormat="1" ht="15" customHeight="1">
      <c r="A1620" s="10">
        <v>43104</v>
      </c>
      <c r="B1620" s="3" t="s">
        <v>126</v>
      </c>
      <c r="C1620" s="15" t="s">
        <v>47</v>
      </c>
      <c r="D1620" s="15">
        <v>1320</v>
      </c>
      <c r="E1620" s="11">
        <v>750</v>
      </c>
      <c r="F1620" s="3" t="s">
        <v>8</v>
      </c>
      <c r="G1620" s="46">
        <v>22.5</v>
      </c>
      <c r="H1620" s="3">
        <v>26</v>
      </c>
      <c r="I1620" s="46">
        <v>30</v>
      </c>
      <c r="J1620" s="55">
        <v>0</v>
      </c>
      <c r="K1620" s="1">
        <f t="shared" ref="K1620" si="1542">(IF(F1620="SELL",G1620-H1620,IF(F1620="BUY",H1620-G1620)))*E1620</f>
        <v>2625</v>
      </c>
      <c r="L1620" s="51">
        <f t="shared" ref="L1620" si="1543">(IF(F1620="SELL",IF(I1620="",0,H1620-I1620),IF(F1620="BUY",IF(I1620="",0,I1620-H1620))))*E1620</f>
        <v>3000</v>
      </c>
      <c r="M1620" s="52">
        <v>0</v>
      </c>
      <c r="N1620" s="2">
        <f t="shared" si="1487"/>
        <v>7.5</v>
      </c>
      <c r="O1620" s="2">
        <f t="shared" si="1499"/>
        <v>5625</v>
      </c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</row>
    <row r="1621" spans="1:33" s="14" customFormat="1" ht="15" customHeight="1">
      <c r="A1621" s="10">
        <v>43103</v>
      </c>
      <c r="B1621" s="3" t="s">
        <v>266</v>
      </c>
      <c r="C1621" s="15" t="s">
        <v>47</v>
      </c>
      <c r="D1621" s="15">
        <v>1000</v>
      </c>
      <c r="E1621" s="11">
        <v>800</v>
      </c>
      <c r="F1621" s="3" t="s">
        <v>8</v>
      </c>
      <c r="G1621" s="46">
        <v>39</v>
      </c>
      <c r="H1621" s="3">
        <v>41</v>
      </c>
      <c r="I1621" s="46">
        <v>45</v>
      </c>
      <c r="J1621" s="55">
        <v>0</v>
      </c>
      <c r="K1621" s="1">
        <f t="shared" ref="K1621" si="1544">(IF(F1621="SELL",G1621-H1621,IF(F1621="BUY",H1621-G1621)))*E1621</f>
        <v>1600</v>
      </c>
      <c r="L1621" s="51">
        <f t="shared" ref="L1621" si="1545">(IF(F1621="SELL",IF(I1621="",0,H1621-I1621),IF(F1621="BUY",IF(I1621="",0,I1621-H1621))))*E1621</f>
        <v>3200</v>
      </c>
      <c r="M1621" s="52">
        <v>0</v>
      </c>
      <c r="N1621" s="2">
        <f t="shared" si="1487"/>
        <v>6</v>
      </c>
      <c r="O1621" s="2">
        <f t="shared" si="1499"/>
        <v>4800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</row>
    <row r="1622" spans="1:33" s="14" customFormat="1" ht="15" customHeight="1">
      <c r="A1622" s="10">
        <v>43103</v>
      </c>
      <c r="B1622" s="3" t="s">
        <v>139</v>
      </c>
      <c r="C1622" s="15" t="s">
        <v>47</v>
      </c>
      <c r="D1622" s="15">
        <v>1850</v>
      </c>
      <c r="E1622" s="11">
        <v>500</v>
      </c>
      <c r="F1622" s="3" t="s">
        <v>8</v>
      </c>
      <c r="G1622" s="46">
        <v>74</v>
      </c>
      <c r="H1622" s="3">
        <v>78</v>
      </c>
      <c r="I1622" s="46">
        <v>83</v>
      </c>
      <c r="J1622" s="55">
        <v>0</v>
      </c>
      <c r="K1622" s="1">
        <f t="shared" ref="K1622" si="1546">(IF(F1622="SELL",G1622-H1622,IF(F1622="BUY",H1622-G1622)))*E1622</f>
        <v>2000</v>
      </c>
      <c r="L1622" s="51">
        <f t="shared" ref="L1622" si="1547">(IF(F1622="SELL",IF(I1622="",0,H1622-I1622),IF(F1622="BUY",IF(I1622="",0,I1622-H1622))))*E1622</f>
        <v>2500</v>
      </c>
      <c r="M1622" s="52">
        <v>0</v>
      </c>
      <c r="N1622" s="2">
        <f t="shared" si="1487"/>
        <v>9</v>
      </c>
      <c r="O1622" s="2">
        <f t="shared" si="1499"/>
        <v>4500</v>
      </c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</row>
    <row r="1623" spans="1:33" s="14" customFormat="1" ht="15" customHeight="1">
      <c r="A1623" s="10">
        <v>43102</v>
      </c>
      <c r="B1623" s="3" t="s">
        <v>264</v>
      </c>
      <c r="C1623" s="15" t="s">
        <v>47</v>
      </c>
      <c r="D1623" s="15">
        <v>190</v>
      </c>
      <c r="E1623" s="11">
        <v>4500</v>
      </c>
      <c r="F1623" s="3" t="s">
        <v>8</v>
      </c>
      <c r="G1623" s="46">
        <v>8.15</v>
      </c>
      <c r="H1623" s="3">
        <v>8.8000000000000007</v>
      </c>
      <c r="I1623" s="46">
        <v>9.5</v>
      </c>
      <c r="J1623" s="55">
        <v>10.199999999999999</v>
      </c>
      <c r="K1623" s="1">
        <f t="shared" ref="K1623" si="1548">(IF(F1623="SELL",G1623-H1623,IF(F1623="BUY",H1623-G1623)))*E1623</f>
        <v>2925.0000000000018</v>
      </c>
      <c r="L1623" s="51">
        <f t="shared" ref="L1623" si="1549">(IF(F1623="SELL",IF(I1623="",0,H1623-I1623),IF(F1623="BUY",IF(I1623="",0,I1623-H1623))))*E1623</f>
        <v>3149.9999999999968</v>
      </c>
      <c r="M1623" s="52">
        <f>(IF(F1623="SELL",IF(J1623="",0,I1623-J1623),IF(F1623="BUY",IF(J1623="",0,(J1623-I1623)))))*E1623</f>
        <v>3149.9999999999968</v>
      </c>
      <c r="N1623" s="2">
        <f t="shared" si="1487"/>
        <v>2.0499999999999989</v>
      </c>
      <c r="O1623" s="2">
        <f t="shared" si="1499"/>
        <v>9224.9999999999945</v>
      </c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</row>
    <row r="1624" spans="1:33" s="14" customFormat="1" ht="15" customHeight="1">
      <c r="A1624" s="10">
        <v>43102</v>
      </c>
      <c r="B1624" s="3" t="s">
        <v>265</v>
      </c>
      <c r="C1624" s="15" t="s">
        <v>47</v>
      </c>
      <c r="D1624" s="15">
        <v>315</v>
      </c>
      <c r="E1624" s="11">
        <v>2400</v>
      </c>
      <c r="F1624" s="3" t="s">
        <v>8</v>
      </c>
      <c r="G1624" s="46">
        <v>7</v>
      </c>
      <c r="H1624" s="3">
        <v>8</v>
      </c>
      <c r="I1624" s="46">
        <v>9</v>
      </c>
      <c r="J1624" s="55">
        <v>10.5</v>
      </c>
      <c r="K1624" s="1">
        <f t="shared" ref="K1624" si="1550">(IF(F1624="SELL",G1624-H1624,IF(F1624="BUY",H1624-G1624)))*E1624</f>
        <v>2400</v>
      </c>
      <c r="L1624" s="51">
        <f t="shared" ref="L1624" si="1551">(IF(F1624="SELL",IF(I1624="",0,H1624-I1624),IF(F1624="BUY",IF(I1624="",0,I1624-H1624))))*E1624</f>
        <v>2400</v>
      </c>
      <c r="M1624" s="52">
        <f>(IF(F1624="SELL",IF(J1624="",0,I1624-J1624),IF(F1624="BUY",IF(J1624="",0,(J1624-I1624)))))*E1624</f>
        <v>3600</v>
      </c>
      <c r="N1624" s="2">
        <f t="shared" si="1487"/>
        <v>3.5</v>
      </c>
      <c r="O1624" s="2">
        <f t="shared" si="1499"/>
        <v>8400</v>
      </c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</row>
    <row r="1625" spans="1:33" s="14" customFormat="1" ht="15" customHeight="1">
      <c r="A1625" s="10">
        <v>43101</v>
      </c>
      <c r="B1625" s="3" t="s">
        <v>262</v>
      </c>
      <c r="C1625" s="15" t="s">
        <v>47</v>
      </c>
      <c r="D1625" s="15">
        <v>1500</v>
      </c>
      <c r="E1625" s="11">
        <v>600</v>
      </c>
      <c r="F1625" s="3" t="s">
        <v>8</v>
      </c>
      <c r="G1625" s="46">
        <v>40</v>
      </c>
      <c r="H1625" s="3">
        <v>43.5</v>
      </c>
      <c r="I1625" s="46">
        <v>0</v>
      </c>
      <c r="J1625" s="55">
        <v>0</v>
      </c>
      <c r="K1625" s="1">
        <f t="shared" ref="K1625" si="1552">(IF(F1625="SELL",G1625-H1625,IF(F1625="BUY",H1625-G1625)))*E1625</f>
        <v>2100</v>
      </c>
      <c r="L1625" s="51">
        <v>0</v>
      </c>
      <c r="M1625" s="52">
        <f>(IF(F1625="SELL",IF(J1625="",0,I1625-J1625),IF(F1625="BUY",IF(J1625="",0,(J1625-I1625)))))*E1625</f>
        <v>0</v>
      </c>
      <c r="N1625" s="2">
        <f t="shared" si="1487"/>
        <v>3.5</v>
      </c>
      <c r="O1625" s="2">
        <f t="shared" si="1499"/>
        <v>2100</v>
      </c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</row>
    <row r="1626" spans="1:33" s="14" customFormat="1" ht="15.75" customHeight="1">
      <c r="A1626" s="10">
        <v>43101</v>
      </c>
      <c r="B1626" s="3" t="s">
        <v>264</v>
      </c>
      <c r="C1626" s="15" t="s">
        <v>47</v>
      </c>
      <c r="D1626" s="15">
        <v>185</v>
      </c>
      <c r="E1626" s="11">
        <v>4500</v>
      </c>
      <c r="F1626" s="3" t="s">
        <v>8</v>
      </c>
      <c r="G1626" s="46">
        <v>8.25</v>
      </c>
      <c r="H1626" s="3">
        <v>8.75</v>
      </c>
      <c r="I1626" s="46">
        <v>9.5</v>
      </c>
      <c r="J1626" s="55">
        <v>0</v>
      </c>
      <c r="K1626" s="1">
        <f t="shared" ref="K1626" si="1553">(IF(F1626="SELL",G1626-H1626,IF(F1626="BUY",H1626-G1626)))*E1626</f>
        <v>2250</v>
      </c>
      <c r="L1626" s="51">
        <f t="shared" ref="L1626" si="1554">(IF(F1626="SELL",IF(I1626="",0,H1626-I1626),IF(F1626="BUY",IF(I1626="",0,I1626-H1626))))*E1626</f>
        <v>3375</v>
      </c>
      <c r="M1626" s="52">
        <v>0</v>
      </c>
      <c r="N1626" s="2">
        <f t="shared" si="1487"/>
        <v>1.25</v>
      </c>
      <c r="O1626" s="2">
        <f t="shared" si="1499"/>
        <v>5625</v>
      </c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</row>
    <row r="1627" spans="1:33" s="14" customFormat="1" ht="15" customHeight="1">
      <c r="A1627" s="10">
        <v>43098</v>
      </c>
      <c r="B1627" s="3" t="s">
        <v>262</v>
      </c>
      <c r="C1627" s="15" t="s">
        <v>47</v>
      </c>
      <c r="D1627" s="15">
        <v>1500</v>
      </c>
      <c r="E1627" s="11">
        <v>600</v>
      </c>
      <c r="F1627" s="3" t="s">
        <v>8</v>
      </c>
      <c r="G1627" s="46">
        <v>43</v>
      </c>
      <c r="H1627" s="3">
        <v>46</v>
      </c>
      <c r="I1627" s="46">
        <v>50</v>
      </c>
      <c r="J1627" s="55">
        <v>55</v>
      </c>
      <c r="K1627" s="1">
        <f t="shared" ref="K1627" si="1555">(IF(F1627="SELL",G1627-H1627,IF(F1627="BUY",H1627-G1627)))*E1627</f>
        <v>1800</v>
      </c>
      <c r="L1627" s="51">
        <f t="shared" ref="L1627" si="1556">(IF(F1627="SELL",IF(I1627="",0,H1627-I1627),IF(F1627="BUY",IF(I1627="",0,I1627-H1627))))*E1627</f>
        <v>2400</v>
      </c>
      <c r="M1627" s="52">
        <f>(IF(F1627="SELL",IF(J1627="",0,I1627-J1627),IF(F1627="BUY",IF(J1627="",0,(J1627-I1627)))))*E1627</f>
        <v>3000</v>
      </c>
      <c r="N1627" s="2">
        <f t="shared" si="1487"/>
        <v>12</v>
      </c>
      <c r="O1627" s="2">
        <f t="shared" si="1499"/>
        <v>7200</v>
      </c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</row>
    <row r="1628" spans="1:33" s="14" customFormat="1" ht="15" customHeight="1">
      <c r="A1628" s="10">
        <v>43098</v>
      </c>
      <c r="B1628" s="3" t="s">
        <v>263</v>
      </c>
      <c r="C1628" s="15" t="s">
        <v>47</v>
      </c>
      <c r="D1628" s="15">
        <v>125</v>
      </c>
      <c r="E1628" s="11">
        <v>6000</v>
      </c>
      <c r="F1628" s="3" t="s">
        <v>8</v>
      </c>
      <c r="G1628" s="46">
        <v>6.3</v>
      </c>
      <c r="H1628" s="3">
        <v>6.7</v>
      </c>
      <c r="I1628" s="46">
        <v>7.3</v>
      </c>
      <c r="J1628" s="55">
        <v>0</v>
      </c>
      <c r="K1628" s="1">
        <f t="shared" ref="K1628" si="1557">(IF(F1628="SELL",G1628-H1628,IF(F1628="BUY",H1628-G1628)))*E1628</f>
        <v>2400.0000000000023</v>
      </c>
      <c r="L1628" s="51">
        <f t="shared" ref="L1628" si="1558">(IF(F1628="SELL",IF(I1628="",0,H1628-I1628),IF(F1628="BUY",IF(I1628="",0,I1628-H1628))))*E1628</f>
        <v>3599.9999999999977</v>
      </c>
      <c r="M1628" s="52">
        <v>0</v>
      </c>
      <c r="N1628" s="2">
        <f t="shared" si="1487"/>
        <v>1</v>
      </c>
      <c r="O1628" s="2">
        <f t="shared" si="1499"/>
        <v>6000</v>
      </c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</row>
    <row r="1629" spans="1:33" s="14" customFormat="1" ht="15" customHeight="1">
      <c r="A1629" s="10">
        <v>43098</v>
      </c>
      <c r="B1629" s="3" t="s">
        <v>262</v>
      </c>
      <c r="C1629" s="15" t="s">
        <v>47</v>
      </c>
      <c r="D1629" s="15">
        <v>1500</v>
      </c>
      <c r="E1629" s="11">
        <v>600</v>
      </c>
      <c r="F1629" s="3" t="s">
        <v>8</v>
      </c>
      <c r="G1629" s="46">
        <v>40</v>
      </c>
      <c r="H1629" s="3">
        <v>43</v>
      </c>
      <c r="I1629" s="46">
        <v>0</v>
      </c>
      <c r="J1629" s="55">
        <v>0</v>
      </c>
      <c r="K1629" s="1">
        <f t="shared" ref="K1629" si="1559">(IF(F1629="SELL",G1629-H1629,IF(F1629="BUY",H1629-G1629)))*E1629</f>
        <v>1800</v>
      </c>
      <c r="L1629" s="51">
        <v>0</v>
      </c>
      <c r="M1629" s="52">
        <v>0</v>
      </c>
      <c r="N1629" s="2">
        <f t="shared" si="1487"/>
        <v>3</v>
      </c>
      <c r="O1629" s="2">
        <f t="shared" si="1499"/>
        <v>1800</v>
      </c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</row>
    <row r="1630" spans="1:33" s="14" customFormat="1" ht="15" customHeight="1">
      <c r="A1630" s="10">
        <v>43098</v>
      </c>
      <c r="B1630" s="3" t="s">
        <v>156</v>
      </c>
      <c r="C1630" s="15" t="s">
        <v>47</v>
      </c>
      <c r="D1630" s="15">
        <v>580</v>
      </c>
      <c r="E1630" s="11">
        <v>2000</v>
      </c>
      <c r="F1630" s="3" t="s">
        <v>8</v>
      </c>
      <c r="G1630" s="46">
        <v>15.5</v>
      </c>
      <c r="H1630" s="3">
        <v>16.5</v>
      </c>
      <c r="I1630" s="46">
        <v>0</v>
      </c>
      <c r="J1630" s="55">
        <v>0</v>
      </c>
      <c r="K1630" s="1">
        <f t="shared" ref="K1630" si="1560">(IF(F1630="SELL",G1630-H1630,IF(F1630="BUY",H1630-G1630)))*E1630</f>
        <v>2000</v>
      </c>
      <c r="L1630" s="51">
        <v>0</v>
      </c>
      <c r="M1630" s="52">
        <v>0</v>
      </c>
      <c r="N1630" s="2">
        <f t="shared" si="1487"/>
        <v>1</v>
      </c>
      <c r="O1630" s="2">
        <f t="shared" si="1499"/>
        <v>2000</v>
      </c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</row>
    <row r="1631" spans="1:33" s="14" customFormat="1" ht="15" customHeight="1">
      <c r="A1631" s="10">
        <v>43097</v>
      </c>
      <c r="B1631" s="3" t="s">
        <v>222</v>
      </c>
      <c r="C1631" s="15" t="s">
        <v>47</v>
      </c>
      <c r="D1631" s="15">
        <v>1240</v>
      </c>
      <c r="E1631" s="11">
        <v>500</v>
      </c>
      <c r="F1631" s="3" t="s">
        <v>8</v>
      </c>
      <c r="G1631" s="46">
        <v>12.5</v>
      </c>
      <c r="H1631" s="3">
        <v>16</v>
      </c>
      <c r="I1631" s="46">
        <v>20</v>
      </c>
      <c r="J1631" s="55">
        <v>0</v>
      </c>
      <c r="K1631" s="1">
        <f t="shared" ref="K1631" si="1561">(IF(F1631="SELL",G1631-H1631,IF(F1631="BUY",H1631-G1631)))*E1631</f>
        <v>1750</v>
      </c>
      <c r="L1631" s="51">
        <f t="shared" ref="L1631" si="1562">(IF(F1631="SELL",IF(I1631="",0,H1631-I1631),IF(F1631="BUY",IF(I1631="",0,I1631-H1631))))*E1631</f>
        <v>2000</v>
      </c>
      <c r="M1631" s="52">
        <v>0</v>
      </c>
      <c r="N1631" s="2">
        <f t="shared" si="1487"/>
        <v>7.5</v>
      </c>
      <c r="O1631" s="2">
        <f t="shared" si="1499"/>
        <v>3750</v>
      </c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</row>
    <row r="1632" spans="1:33" s="14" customFormat="1" ht="15" customHeight="1">
      <c r="A1632" s="10">
        <v>43095</v>
      </c>
      <c r="B1632" s="3" t="s">
        <v>239</v>
      </c>
      <c r="C1632" s="15" t="s">
        <v>47</v>
      </c>
      <c r="D1632" s="15">
        <v>250</v>
      </c>
      <c r="E1632" s="11">
        <v>5000</v>
      </c>
      <c r="F1632" s="3" t="s">
        <v>8</v>
      </c>
      <c r="G1632" s="46">
        <v>5.5</v>
      </c>
      <c r="H1632" s="3">
        <v>6</v>
      </c>
      <c r="I1632" s="46">
        <v>6.5</v>
      </c>
      <c r="J1632" s="55">
        <v>0</v>
      </c>
      <c r="K1632" s="1">
        <f t="shared" ref="K1632" si="1563">(IF(F1632="SELL",G1632-H1632,IF(F1632="BUY",H1632-G1632)))*E1632</f>
        <v>2500</v>
      </c>
      <c r="L1632" s="51">
        <f t="shared" ref="L1632" si="1564">(IF(F1632="SELL",IF(I1632="",0,H1632-I1632),IF(F1632="BUY",IF(I1632="",0,I1632-H1632))))*E1632</f>
        <v>2500</v>
      </c>
      <c r="M1632" s="52">
        <v>0</v>
      </c>
      <c r="N1632" s="2">
        <f t="shared" si="1487"/>
        <v>1</v>
      </c>
      <c r="O1632" s="2">
        <f t="shared" si="1499"/>
        <v>5000</v>
      </c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</row>
    <row r="1633" spans="1:33" s="14" customFormat="1" ht="15" customHeight="1">
      <c r="A1633" s="10">
        <v>43095</v>
      </c>
      <c r="B1633" s="3" t="s">
        <v>260</v>
      </c>
      <c r="C1633" s="15" t="s">
        <v>47</v>
      </c>
      <c r="D1633" s="15">
        <v>150</v>
      </c>
      <c r="E1633" s="11">
        <v>4500</v>
      </c>
      <c r="F1633" s="3" t="s">
        <v>8</v>
      </c>
      <c r="G1633" s="46">
        <v>3.3</v>
      </c>
      <c r="H1633" s="3">
        <v>3.8</v>
      </c>
      <c r="I1633" s="46">
        <v>0</v>
      </c>
      <c r="J1633" s="55">
        <v>0</v>
      </c>
      <c r="K1633" s="1">
        <f t="shared" ref="K1633" si="1565">(IF(F1633="SELL",G1633-H1633,IF(F1633="BUY",H1633-G1633)))*E1633</f>
        <v>2250</v>
      </c>
      <c r="L1633" s="51">
        <v>0</v>
      </c>
      <c r="M1633" s="52">
        <f>(IF(F1633="SELL",IF(J1633="",0,I1633-J1633),IF(F1633="BUY",IF(J1633="",0,(J1633-I1633)))))*E1633</f>
        <v>0</v>
      </c>
      <c r="N1633" s="2">
        <f t="shared" si="1487"/>
        <v>0.5</v>
      </c>
      <c r="O1633" s="2">
        <f t="shared" si="1499"/>
        <v>2250</v>
      </c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</row>
    <row r="1634" spans="1:33" s="14" customFormat="1" ht="15" customHeight="1">
      <c r="A1634" s="10">
        <v>43091</v>
      </c>
      <c r="B1634" s="3" t="s">
        <v>253</v>
      </c>
      <c r="C1634" s="15" t="s">
        <v>47</v>
      </c>
      <c r="D1634" s="15">
        <v>590</v>
      </c>
      <c r="E1634" s="11">
        <v>1200</v>
      </c>
      <c r="F1634" s="3" t="s">
        <v>8</v>
      </c>
      <c r="G1634" s="46">
        <v>7.7</v>
      </c>
      <c r="H1634" s="3">
        <v>9.5</v>
      </c>
      <c r="I1634" s="46">
        <v>12</v>
      </c>
      <c r="J1634" s="55">
        <v>14</v>
      </c>
      <c r="K1634" s="1">
        <f t="shared" ref="K1634" si="1566">(IF(F1634="SELL",G1634-H1634,IF(F1634="BUY",H1634-G1634)))*E1634</f>
        <v>2160</v>
      </c>
      <c r="L1634" s="51">
        <f t="shared" ref="L1634" si="1567">(IF(F1634="SELL",IF(I1634="",0,H1634-I1634),IF(F1634="BUY",IF(I1634="",0,I1634-H1634))))*E1634</f>
        <v>3000</v>
      </c>
      <c r="M1634" s="52">
        <f>(IF(F1634="SELL",IF(J1634="",0,I1634-J1634),IF(F1634="BUY",IF(J1634="",0,(J1634-I1634)))))*E1634</f>
        <v>2400</v>
      </c>
      <c r="N1634" s="2">
        <f t="shared" si="1487"/>
        <v>6.3</v>
      </c>
      <c r="O1634" s="2">
        <f t="shared" si="1499"/>
        <v>7560</v>
      </c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</row>
    <row r="1635" spans="1:33" s="14" customFormat="1" ht="15" customHeight="1">
      <c r="A1635" s="10">
        <v>43091</v>
      </c>
      <c r="B1635" s="3" t="s">
        <v>234</v>
      </c>
      <c r="C1635" s="15" t="s">
        <v>47</v>
      </c>
      <c r="D1635" s="15">
        <v>305</v>
      </c>
      <c r="E1635" s="11">
        <v>4500</v>
      </c>
      <c r="F1635" s="3" t="s">
        <v>8</v>
      </c>
      <c r="G1635" s="46">
        <v>5.2</v>
      </c>
      <c r="H1635" s="3">
        <v>6</v>
      </c>
      <c r="I1635" s="46">
        <v>0</v>
      </c>
      <c r="J1635" s="55">
        <v>0</v>
      </c>
      <c r="K1635" s="1">
        <f t="shared" ref="K1635" si="1568">(IF(F1635="SELL",G1635-H1635,IF(F1635="BUY",H1635-G1635)))*E1635</f>
        <v>3599.9999999999991</v>
      </c>
      <c r="L1635" s="51">
        <v>0</v>
      </c>
      <c r="M1635" s="52">
        <v>0</v>
      </c>
      <c r="N1635" s="2">
        <f t="shared" si="1487"/>
        <v>0.79999999999999982</v>
      </c>
      <c r="O1635" s="2">
        <f t="shared" si="1499"/>
        <v>3599.9999999999991</v>
      </c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</row>
    <row r="1636" spans="1:33" s="14" customFormat="1" ht="15" customHeight="1">
      <c r="A1636" s="10">
        <v>43091</v>
      </c>
      <c r="B1636" s="3" t="s">
        <v>261</v>
      </c>
      <c r="C1636" s="15" t="s">
        <v>47</v>
      </c>
      <c r="D1636" s="15">
        <v>130</v>
      </c>
      <c r="E1636" s="11">
        <v>4500</v>
      </c>
      <c r="F1636" s="3" t="s">
        <v>8</v>
      </c>
      <c r="G1636" s="46">
        <v>2.2000000000000002</v>
      </c>
      <c r="H1636" s="3">
        <v>2.6</v>
      </c>
      <c r="I1636" s="46">
        <v>0</v>
      </c>
      <c r="J1636" s="55">
        <v>0</v>
      </c>
      <c r="K1636" s="1">
        <f t="shared" ref="K1636" si="1569">(IF(F1636="SELL",G1636-H1636,IF(F1636="BUY",H1636-G1636)))*E1636</f>
        <v>1799.9999999999995</v>
      </c>
      <c r="L1636" s="51">
        <v>0</v>
      </c>
      <c r="M1636" s="52">
        <v>0</v>
      </c>
      <c r="N1636" s="2">
        <f t="shared" si="1487"/>
        <v>0.39999999999999991</v>
      </c>
      <c r="O1636" s="2">
        <f t="shared" si="1499"/>
        <v>1799.9999999999995</v>
      </c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</row>
    <row r="1637" spans="1:33" s="14" customFormat="1" ht="15" customHeight="1">
      <c r="A1637" s="10">
        <v>43090</v>
      </c>
      <c r="B1637" s="3" t="s">
        <v>260</v>
      </c>
      <c r="C1637" s="15" t="s">
        <v>47</v>
      </c>
      <c r="D1637" s="15">
        <v>150</v>
      </c>
      <c r="E1637" s="11">
        <v>4500</v>
      </c>
      <c r="F1637" s="3" t="s">
        <v>8</v>
      </c>
      <c r="G1637" s="46">
        <v>3</v>
      </c>
      <c r="H1637" s="3">
        <v>3.5</v>
      </c>
      <c r="I1637" s="46">
        <v>0</v>
      </c>
      <c r="J1637" s="55">
        <v>0</v>
      </c>
      <c r="K1637" s="1">
        <f t="shared" ref="K1637" si="1570">(IF(F1637="SELL",G1637-H1637,IF(F1637="BUY",H1637-G1637)))*E1637</f>
        <v>2250</v>
      </c>
      <c r="L1637" s="51">
        <v>0</v>
      </c>
      <c r="M1637" s="52">
        <v>0</v>
      </c>
      <c r="N1637" s="2">
        <f t="shared" si="1487"/>
        <v>0.5</v>
      </c>
      <c r="O1637" s="2">
        <f t="shared" si="1499"/>
        <v>2250</v>
      </c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</row>
    <row r="1638" spans="1:33" s="14" customFormat="1" ht="15" customHeight="1">
      <c r="A1638" s="10">
        <v>43090</v>
      </c>
      <c r="B1638" s="3" t="s">
        <v>250</v>
      </c>
      <c r="C1638" s="15" t="s">
        <v>47</v>
      </c>
      <c r="D1638" s="15">
        <v>1460</v>
      </c>
      <c r="E1638" s="11">
        <v>600</v>
      </c>
      <c r="F1638" s="3" t="s">
        <v>8</v>
      </c>
      <c r="G1638" s="46">
        <v>21</v>
      </c>
      <c r="H1638" s="3">
        <v>24</v>
      </c>
      <c r="I1638" s="46">
        <v>0</v>
      </c>
      <c r="J1638" s="55">
        <v>0</v>
      </c>
      <c r="K1638" s="1">
        <f t="shared" ref="K1638" si="1571">(IF(F1638="SELL",G1638-H1638,IF(F1638="BUY",H1638-G1638)))*E1638</f>
        <v>1800</v>
      </c>
      <c r="L1638" s="51">
        <v>0</v>
      </c>
      <c r="M1638" s="52">
        <v>0</v>
      </c>
      <c r="N1638" s="2">
        <f t="shared" ref="N1638:N1701" si="1572">(L1638+K1638+M1638)/E1638</f>
        <v>3</v>
      </c>
      <c r="O1638" s="2">
        <f t="shared" si="1499"/>
        <v>1800</v>
      </c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</row>
    <row r="1639" spans="1:33" s="14" customFormat="1" ht="15" customHeight="1">
      <c r="A1639" s="10">
        <v>43089</v>
      </c>
      <c r="B1639" s="3" t="s">
        <v>260</v>
      </c>
      <c r="C1639" s="15" t="s">
        <v>47</v>
      </c>
      <c r="D1639" s="15">
        <v>150</v>
      </c>
      <c r="E1639" s="11">
        <v>4500</v>
      </c>
      <c r="F1639" s="3" t="s">
        <v>8</v>
      </c>
      <c r="G1639" s="46">
        <v>2.7</v>
      </c>
      <c r="H1639" s="3">
        <v>2.7</v>
      </c>
      <c r="I1639" s="46">
        <v>0</v>
      </c>
      <c r="J1639" s="55">
        <v>0</v>
      </c>
      <c r="K1639" s="1">
        <f t="shared" ref="K1639" si="1573">(IF(F1639="SELL",G1639-H1639,IF(F1639="BUY",H1639-G1639)))*E1639</f>
        <v>0</v>
      </c>
      <c r="L1639" s="51">
        <v>0</v>
      </c>
      <c r="M1639" s="52">
        <v>0</v>
      </c>
      <c r="N1639" s="2">
        <f t="shared" si="1572"/>
        <v>0</v>
      </c>
      <c r="O1639" s="2">
        <f t="shared" si="1499"/>
        <v>0</v>
      </c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</row>
    <row r="1640" spans="1:33" s="14" customFormat="1" ht="15" customHeight="1">
      <c r="A1640" s="10">
        <v>43089</v>
      </c>
      <c r="B1640" s="3" t="s">
        <v>91</v>
      </c>
      <c r="C1640" s="15" t="s">
        <v>46</v>
      </c>
      <c r="D1640" s="15">
        <v>250</v>
      </c>
      <c r="E1640" s="11">
        <v>3000</v>
      </c>
      <c r="F1640" s="3" t="s">
        <v>8</v>
      </c>
      <c r="G1640" s="46">
        <v>3.05</v>
      </c>
      <c r="H1640" s="3">
        <v>3.55</v>
      </c>
      <c r="I1640" s="46">
        <v>28</v>
      </c>
      <c r="J1640" s="55">
        <v>0</v>
      </c>
      <c r="K1640" s="1">
        <f t="shared" ref="K1640" si="1574">(IF(F1640="SELL",G1640-H1640,IF(F1640="BUY",H1640-G1640)))*E1640</f>
        <v>1500</v>
      </c>
      <c r="L1640" s="51">
        <v>0</v>
      </c>
      <c r="M1640" s="52">
        <v>0</v>
      </c>
      <c r="N1640" s="2">
        <f t="shared" si="1572"/>
        <v>0.5</v>
      </c>
      <c r="O1640" s="2">
        <f t="shared" si="1499"/>
        <v>1500</v>
      </c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</row>
    <row r="1641" spans="1:33" s="14" customFormat="1" ht="15" customHeight="1">
      <c r="A1641" s="10">
        <v>43088</v>
      </c>
      <c r="B1641" s="3" t="s">
        <v>250</v>
      </c>
      <c r="C1641" s="15" t="s">
        <v>47</v>
      </c>
      <c r="D1641" s="15">
        <v>1460</v>
      </c>
      <c r="E1641" s="11">
        <v>600</v>
      </c>
      <c r="F1641" s="3" t="s">
        <v>8</v>
      </c>
      <c r="G1641" s="46">
        <v>21</v>
      </c>
      <c r="H1641" s="3">
        <v>24</v>
      </c>
      <c r="I1641" s="46">
        <v>28</v>
      </c>
      <c r="J1641" s="55">
        <v>0</v>
      </c>
      <c r="K1641" s="1">
        <f t="shared" ref="K1641" si="1575">(IF(F1641="SELL",G1641-H1641,IF(F1641="BUY",H1641-G1641)))*E1641</f>
        <v>1800</v>
      </c>
      <c r="L1641" s="51">
        <f t="shared" ref="L1641" si="1576">(IF(F1641="SELL",IF(I1641="",0,H1641-I1641),IF(F1641="BUY",IF(I1641="",0,I1641-H1641))))*E1641</f>
        <v>2400</v>
      </c>
      <c r="M1641" s="52">
        <v>0</v>
      </c>
      <c r="N1641" s="2">
        <f t="shared" si="1572"/>
        <v>7</v>
      </c>
      <c r="O1641" s="2">
        <f t="shared" si="1499"/>
        <v>4200</v>
      </c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</row>
    <row r="1642" spans="1:33" s="14" customFormat="1" ht="15" customHeight="1">
      <c r="A1642" s="10">
        <v>43088</v>
      </c>
      <c r="B1642" s="3" t="s">
        <v>259</v>
      </c>
      <c r="C1642" s="15" t="s">
        <v>47</v>
      </c>
      <c r="D1642" s="15">
        <v>460</v>
      </c>
      <c r="E1642" s="11">
        <v>1500</v>
      </c>
      <c r="F1642" s="3" t="s">
        <v>8</v>
      </c>
      <c r="G1642" s="46">
        <v>12</v>
      </c>
      <c r="H1642" s="3">
        <v>13</v>
      </c>
      <c r="I1642" s="46">
        <v>0</v>
      </c>
      <c r="J1642" s="55">
        <v>0</v>
      </c>
      <c r="K1642" s="1">
        <f t="shared" ref="K1642" si="1577">(IF(F1642="SELL",G1642-H1642,IF(F1642="BUY",H1642-G1642)))*E1642</f>
        <v>1500</v>
      </c>
      <c r="L1642" s="51">
        <v>0</v>
      </c>
      <c r="M1642" s="52">
        <v>0</v>
      </c>
      <c r="N1642" s="2">
        <f t="shared" si="1572"/>
        <v>1</v>
      </c>
      <c r="O1642" s="2">
        <f t="shared" si="1499"/>
        <v>1500</v>
      </c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</row>
    <row r="1643" spans="1:33" s="14" customFormat="1" ht="15" customHeight="1">
      <c r="A1643" s="10">
        <v>43084</v>
      </c>
      <c r="B1643" s="3" t="s">
        <v>250</v>
      </c>
      <c r="C1643" s="15" t="s">
        <v>47</v>
      </c>
      <c r="D1643" s="15">
        <v>1420</v>
      </c>
      <c r="E1643" s="11">
        <v>600</v>
      </c>
      <c r="F1643" s="3" t="s">
        <v>8</v>
      </c>
      <c r="G1643" s="46">
        <v>35</v>
      </c>
      <c r="H1643" s="3">
        <v>38</v>
      </c>
      <c r="I1643" s="46">
        <v>0</v>
      </c>
      <c r="J1643" s="55">
        <v>0</v>
      </c>
      <c r="K1643" s="1">
        <f t="shared" ref="K1643" si="1578">(IF(F1643="SELL",G1643-H1643,IF(F1643="BUY",H1643-G1643)))*E1643</f>
        <v>1800</v>
      </c>
      <c r="L1643" s="51">
        <v>0</v>
      </c>
      <c r="M1643" s="52">
        <v>0</v>
      </c>
      <c r="N1643" s="2">
        <f t="shared" si="1572"/>
        <v>3</v>
      </c>
      <c r="O1643" s="2">
        <f t="shared" si="1499"/>
        <v>1800</v>
      </c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</row>
    <row r="1644" spans="1:33" s="14" customFormat="1" ht="15" customHeight="1">
      <c r="A1644" s="10">
        <v>43084</v>
      </c>
      <c r="B1644" s="3" t="s">
        <v>258</v>
      </c>
      <c r="C1644" s="15" t="s">
        <v>47</v>
      </c>
      <c r="D1644" s="15">
        <v>185</v>
      </c>
      <c r="E1644" s="11">
        <v>6000</v>
      </c>
      <c r="F1644" s="3" t="s">
        <v>8</v>
      </c>
      <c r="G1644" s="46">
        <v>3.8</v>
      </c>
      <c r="H1644" s="3">
        <v>4.2</v>
      </c>
      <c r="I1644" s="46">
        <v>4.9000000000000004</v>
      </c>
      <c r="J1644" s="55">
        <v>0</v>
      </c>
      <c r="K1644" s="1">
        <f t="shared" ref="K1644" si="1579">(IF(F1644="SELL",G1644-H1644,IF(F1644="BUY",H1644-G1644)))*E1644</f>
        <v>2400.0000000000023</v>
      </c>
      <c r="L1644" s="51">
        <f t="shared" ref="L1644:L1646" si="1580">(IF(F1644="SELL",IF(I1644="",0,H1644-I1644),IF(F1644="BUY",IF(I1644="",0,I1644-H1644))))*E1644</f>
        <v>4200.0000000000009</v>
      </c>
      <c r="M1644" s="52">
        <v>0</v>
      </c>
      <c r="N1644" s="2">
        <f t="shared" si="1572"/>
        <v>1.1000000000000005</v>
      </c>
      <c r="O1644" s="2">
        <f t="shared" si="1499"/>
        <v>6600.0000000000036</v>
      </c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</row>
    <row r="1645" spans="1:33" s="14" customFormat="1" ht="15" customHeight="1">
      <c r="A1645" s="10">
        <v>43083</v>
      </c>
      <c r="B1645" s="3" t="s">
        <v>258</v>
      </c>
      <c r="C1645" s="15" t="s">
        <v>46</v>
      </c>
      <c r="D1645" s="15">
        <v>170</v>
      </c>
      <c r="E1645" s="11">
        <v>6000</v>
      </c>
      <c r="F1645" s="3" t="s">
        <v>8</v>
      </c>
      <c r="G1645" s="46">
        <v>5</v>
      </c>
      <c r="H1645" s="3">
        <v>4.2</v>
      </c>
      <c r="I1645" s="46">
        <v>0</v>
      </c>
      <c r="J1645" s="55">
        <v>0</v>
      </c>
      <c r="K1645" s="1">
        <f t="shared" ref="K1645" si="1581">(IF(F1645="SELL",G1645-H1645,IF(F1645="BUY",H1645-G1645)))*E1645</f>
        <v>-4799.9999999999991</v>
      </c>
      <c r="L1645" s="51">
        <v>0</v>
      </c>
      <c r="M1645" s="52">
        <v>0</v>
      </c>
      <c r="N1645" s="2">
        <f t="shared" si="1572"/>
        <v>-0.79999999999999982</v>
      </c>
      <c r="O1645" s="2">
        <f t="shared" si="1499"/>
        <v>-4799.9999999999991</v>
      </c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</row>
    <row r="1646" spans="1:33" s="14" customFormat="1" ht="15" customHeight="1">
      <c r="A1646" s="10">
        <v>43083</v>
      </c>
      <c r="B1646" s="3" t="s">
        <v>257</v>
      </c>
      <c r="C1646" s="15" t="s">
        <v>47</v>
      </c>
      <c r="D1646" s="15">
        <v>370</v>
      </c>
      <c r="E1646" s="11">
        <v>3084</v>
      </c>
      <c r="F1646" s="3" t="s">
        <v>8</v>
      </c>
      <c r="G1646" s="46">
        <v>7</v>
      </c>
      <c r="H1646" s="3">
        <v>7.5</v>
      </c>
      <c r="I1646" s="46">
        <v>8</v>
      </c>
      <c r="J1646" s="55">
        <v>0</v>
      </c>
      <c r="K1646" s="1">
        <f t="shared" ref="K1646" si="1582">(IF(F1646="SELL",G1646-H1646,IF(F1646="BUY",H1646-G1646)))*E1646</f>
        <v>1542</v>
      </c>
      <c r="L1646" s="51">
        <f t="shared" si="1580"/>
        <v>1542</v>
      </c>
      <c r="M1646" s="52">
        <v>0</v>
      </c>
      <c r="N1646" s="2">
        <f t="shared" si="1572"/>
        <v>1</v>
      </c>
      <c r="O1646" s="2">
        <f t="shared" si="1499"/>
        <v>3084</v>
      </c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</row>
    <row r="1647" spans="1:33" s="14" customFormat="1" ht="15" customHeight="1">
      <c r="A1647" s="10">
        <v>43083</v>
      </c>
      <c r="B1647" s="3" t="s">
        <v>157</v>
      </c>
      <c r="C1647" s="15" t="s">
        <v>46</v>
      </c>
      <c r="D1647" s="15">
        <v>800</v>
      </c>
      <c r="E1647" s="11">
        <v>1500</v>
      </c>
      <c r="F1647" s="3" t="s">
        <v>8</v>
      </c>
      <c r="G1647" s="46">
        <v>18</v>
      </c>
      <c r="H1647" s="3">
        <v>19.5</v>
      </c>
      <c r="I1647" s="46">
        <v>0</v>
      </c>
      <c r="J1647" s="55">
        <v>0</v>
      </c>
      <c r="K1647" s="1">
        <f t="shared" ref="K1647" si="1583">(IF(F1647="SELL",G1647-H1647,IF(F1647="BUY",H1647-G1647)))*E1647</f>
        <v>2250</v>
      </c>
      <c r="L1647" s="51">
        <v>0</v>
      </c>
      <c r="M1647" s="52">
        <v>0</v>
      </c>
      <c r="N1647" s="2">
        <f t="shared" si="1572"/>
        <v>1.5</v>
      </c>
      <c r="O1647" s="2">
        <f t="shared" si="1499"/>
        <v>2250</v>
      </c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</row>
    <row r="1648" spans="1:33" s="14" customFormat="1" ht="15" customHeight="1">
      <c r="A1648" s="10">
        <v>43082</v>
      </c>
      <c r="B1648" s="3" t="s">
        <v>256</v>
      </c>
      <c r="C1648" s="15" t="s">
        <v>46</v>
      </c>
      <c r="D1648" s="15">
        <v>290</v>
      </c>
      <c r="E1648" s="11">
        <v>4500</v>
      </c>
      <c r="F1648" s="3" t="s">
        <v>8</v>
      </c>
      <c r="G1648" s="46">
        <v>8.9</v>
      </c>
      <c r="H1648" s="3">
        <v>9.3000000000000007</v>
      </c>
      <c r="I1648" s="46">
        <v>10</v>
      </c>
      <c r="J1648" s="55">
        <v>0</v>
      </c>
      <c r="K1648" s="1">
        <f t="shared" ref="K1648" si="1584">(IF(F1648="SELL",G1648-H1648,IF(F1648="BUY",H1648-G1648)))*E1648</f>
        <v>1800.0000000000016</v>
      </c>
      <c r="L1648" s="51">
        <f t="shared" ref="L1648" si="1585">(IF(F1648="SELL",IF(I1648="",0,H1648-I1648),IF(F1648="BUY",IF(I1648="",0,I1648-H1648))))*E1648</f>
        <v>3149.9999999999968</v>
      </c>
      <c r="M1648" s="52">
        <v>0</v>
      </c>
      <c r="N1648" s="2">
        <f t="shared" si="1572"/>
        <v>1.0999999999999996</v>
      </c>
      <c r="O1648" s="2">
        <f t="shared" si="1499"/>
        <v>4949.9999999999982</v>
      </c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</row>
    <row r="1649" spans="1:33" s="14" customFormat="1" ht="15" customHeight="1">
      <c r="A1649" s="10">
        <v>43082</v>
      </c>
      <c r="B1649" s="3" t="s">
        <v>255</v>
      </c>
      <c r="C1649" s="15" t="s">
        <v>46</v>
      </c>
      <c r="D1649" s="15">
        <v>175</v>
      </c>
      <c r="E1649" s="11">
        <v>6000</v>
      </c>
      <c r="F1649" s="3" t="s">
        <v>8</v>
      </c>
      <c r="G1649" s="46">
        <v>5.8</v>
      </c>
      <c r="H1649" s="3">
        <v>6.1</v>
      </c>
      <c r="I1649" s="46">
        <v>6.5</v>
      </c>
      <c r="J1649" s="55">
        <v>7</v>
      </c>
      <c r="K1649" s="1">
        <f t="shared" ref="K1649" si="1586">(IF(F1649="SELL",G1649-H1649,IF(F1649="BUY",H1649-G1649)))*E1649</f>
        <v>1799.9999999999989</v>
      </c>
      <c r="L1649" s="51">
        <f t="shared" ref="L1649" si="1587">(IF(F1649="SELL",IF(I1649="",0,H1649-I1649),IF(F1649="BUY",IF(I1649="",0,I1649-H1649))))*E1649</f>
        <v>2400.0000000000023</v>
      </c>
      <c r="M1649" s="52">
        <f>(IF(F1649="SELL",IF(J1649="",0,I1649-J1649),IF(F1649="BUY",IF(J1649="",0,(J1649-I1649)))))*E1649</f>
        <v>3000</v>
      </c>
      <c r="N1649" s="2">
        <f t="shared" si="1572"/>
        <v>1.2000000000000002</v>
      </c>
      <c r="O1649" s="2">
        <f t="shared" ref="O1649:O1712" si="1588">N1649*E1649</f>
        <v>7200.0000000000009</v>
      </c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</row>
    <row r="1650" spans="1:33" s="14" customFormat="1" ht="15" customHeight="1">
      <c r="A1650" s="10">
        <v>43082</v>
      </c>
      <c r="B1650" s="3" t="s">
        <v>254</v>
      </c>
      <c r="C1650" s="15" t="s">
        <v>46</v>
      </c>
      <c r="D1650" s="15">
        <v>290</v>
      </c>
      <c r="E1650" s="11">
        <v>4500</v>
      </c>
      <c r="F1650" s="3" t="s">
        <v>8</v>
      </c>
      <c r="G1650" s="46">
        <v>8.6</v>
      </c>
      <c r="H1650" s="3">
        <v>9</v>
      </c>
      <c r="I1650" s="46">
        <v>0</v>
      </c>
      <c r="J1650" s="55">
        <v>0</v>
      </c>
      <c r="K1650" s="1">
        <f t="shared" ref="K1650" si="1589">(IF(F1650="SELL",G1650-H1650,IF(F1650="BUY",H1650-G1650)))*E1650</f>
        <v>1800.0000000000016</v>
      </c>
      <c r="L1650" s="51">
        <v>0</v>
      </c>
      <c r="M1650" s="52">
        <v>0</v>
      </c>
      <c r="N1650" s="2">
        <f t="shared" si="1572"/>
        <v>0.40000000000000036</v>
      </c>
      <c r="O1650" s="2">
        <f t="shared" si="1588"/>
        <v>1800.0000000000016</v>
      </c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</row>
    <row r="1651" spans="1:33" s="14" customFormat="1" ht="15" customHeight="1">
      <c r="A1651" s="10">
        <v>43081</v>
      </c>
      <c r="B1651" s="3" t="s">
        <v>253</v>
      </c>
      <c r="C1651" s="15" t="s">
        <v>47</v>
      </c>
      <c r="D1651" s="15">
        <v>570</v>
      </c>
      <c r="E1651" s="11">
        <v>1200</v>
      </c>
      <c r="F1651" s="3" t="s">
        <v>8</v>
      </c>
      <c r="G1651" s="46">
        <v>12.45</v>
      </c>
      <c r="H1651" s="3">
        <v>15</v>
      </c>
      <c r="I1651" s="46">
        <v>0</v>
      </c>
      <c r="J1651" s="55">
        <v>0</v>
      </c>
      <c r="K1651" s="1">
        <f t="shared" ref="K1651" si="1590">(IF(F1651="SELL",G1651-H1651,IF(F1651="BUY",H1651-G1651)))*E1651</f>
        <v>3060.0000000000009</v>
      </c>
      <c r="L1651" s="51">
        <v>0</v>
      </c>
      <c r="M1651" s="52">
        <v>0</v>
      </c>
      <c r="N1651" s="2">
        <f t="shared" si="1572"/>
        <v>2.5500000000000007</v>
      </c>
      <c r="O1651" s="2">
        <f t="shared" si="1588"/>
        <v>3060.0000000000009</v>
      </c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</row>
    <row r="1652" spans="1:33" s="14" customFormat="1" ht="15" customHeight="1">
      <c r="A1652" s="10">
        <v>43081</v>
      </c>
      <c r="B1652" s="3" t="s">
        <v>252</v>
      </c>
      <c r="C1652" s="15" t="s">
        <v>47</v>
      </c>
      <c r="D1652" s="15">
        <v>155</v>
      </c>
      <c r="E1652" s="11">
        <v>4000</v>
      </c>
      <c r="F1652" s="3" t="s">
        <v>8</v>
      </c>
      <c r="G1652" s="46">
        <v>7.3</v>
      </c>
      <c r="H1652" s="3">
        <v>7.7</v>
      </c>
      <c r="I1652" s="46">
        <v>0</v>
      </c>
      <c r="J1652" s="55">
        <v>0</v>
      </c>
      <c r="K1652" s="1">
        <f t="shared" ref="K1652" si="1591">(IF(F1652="SELL",G1652-H1652,IF(F1652="BUY",H1652-G1652)))*E1652</f>
        <v>1600.0000000000014</v>
      </c>
      <c r="L1652" s="51">
        <v>0</v>
      </c>
      <c r="M1652" s="52">
        <v>0</v>
      </c>
      <c r="N1652" s="2">
        <f t="shared" si="1572"/>
        <v>0.40000000000000036</v>
      </c>
      <c r="O1652" s="2">
        <f t="shared" si="1588"/>
        <v>1600.0000000000014</v>
      </c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</row>
    <row r="1653" spans="1:33" s="14" customFormat="1" ht="15" customHeight="1">
      <c r="A1653" s="10">
        <v>43080</v>
      </c>
      <c r="B1653" s="3" t="s">
        <v>251</v>
      </c>
      <c r="C1653" s="15" t="s">
        <v>47</v>
      </c>
      <c r="D1653" s="15">
        <v>1040</v>
      </c>
      <c r="E1653" s="11">
        <v>800</v>
      </c>
      <c r="F1653" s="3" t="s">
        <v>8</v>
      </c>
      <c r="G1653" s="46">
        <v>24</v>
      </c>
      <c r="H1653" s="3">
        <v>26.5</v>
      </c>
      <c r="I1653" s="46">
        <v>0</v>
      </c>
      <c r="J1653" s="55">
        <v>0</v>
      </c>
      <c r="K1653" s="1">
        <f t="shared" ref="K1653" si="1592">(IF(F1653="SELL",G1653-H1653,IF(F1653="BUY",H1653-G1653)))*E1653</f>
        <v>2000</v>
      </c>
      <c r="L1653" s="51">
        <v>0</v>
      </c>
      <c r="M1653" s="52">
        <v>0</v>
      </c>
      <c r="N1653" s="2">
        <f t="shared" si="1572"/>
        <v>2.5</v>
      </c>
      <c r="O1653" s="2">
        <f t="shared" si="1588"/>
        <v>2000</v>
      </c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</row>
    <row r="1654" spans="1:33" s="14" customFormat="1" ht="15" customHeight="1">
      <c r="A1654" s="10">
        <v>43080</v>
      </c>
      <c r="B1654" s="3" t="s">
        <v>250</v>
      </c>
      <c r="C1654" s="15" t="s">
        <v>47</v>
      </c>
      <c r="D1654" s="15">
        <v>1420</v>
      </c>
      <c r="E1654" s="11">
        <v>600</v>
      </c>
      <c r="F1654" s="3" t="s">
        <v>8</v>
      </c>
      <c r="G1654" s="46">
        <v>36</v>
      </c>
      <c r="H1654" s="3">
        <v>39</v>
      </c>
      <c r="I1654" s="46">
        <v>0</v>
      </c>
      <c r="J1654" s="55">
        <v>0</v>
      </c>
      <c r="K1654" s="1">
        <f t="shared" ref="K1654" si="1593">(IF(F1654="SELL",G1654-H1654,IF(F1654="BUY",H1654-G1654)))*E1654</f>
        <v>1800</v>
      </c>
      <c r="L1654" s="51">
        <v>0</v>
      </c>
      <c r="M1654" s="52">
        <v>0</v>
      </c>
      <c r="N1654" s="2">
        <f t="shared" si="1572"/>
        <v>3</v>
      </c>
      <c r="O1654" s="2">
        <f t="shared" si="1588"/>
        <v>1800</v>
      </c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</row>
    <row r="1655" spans="1:33" s="14" customFormat="1" ht="15" customHeight="1">
      <c r="A1655" s="10">
        <v>43077</v>
      </c>
      <c r="B1655" s="3" t="s">
        <v>250</v>
      </c>
      <c r="C1655" s="15" t="s">
        <v>47</v>
      </c>
      <c r="D1655" s="15">
        <v>1400</v>
      </c>
      <c r="E1655" s="11">
        <v>600</v>
      </c>
      <c r="F1655" s="3" t="s">
        <v>8</v>
      </c>
      <c r="G1655" s="46">
        <v>37.5</v>
      </c>
      <c r="H1655" s="3">
        <v>42</v>
      </c>
      <c r="I1655" s="46">
        <v>0</v>
      </c>
      <c r="J1655" s="55">
        <v>0</v>
      </c>
      <c r="K1655" s="1">
        <f t="shared" ref="K1655" si="1594">(IF(F1655="SELL",G1655-H1655,IF(F1655="BUY",H1655-G1655)))*E1655</f>
        <v>2700</v>
      </c>
      <c r="L1655" s="51">
        <v>0</v>
      </c>
      <c r="M1655" s="52">
        <v>0</v>
      </c>
      <c r="N1655" s="2">
        <f t="shared" si="1572"/>
        <v>4.5</v>
      </c>
      <c r="O1655" s="2">
        <f t="shared" si="1588"/>
        <v>2700</v>
      </c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</row>
    <row r="1656" spans="1:33" s="14" customFormat="1" ht="15" customHeight="1">
      <c r="A1656" s="10">
        <v>43077</v>
      </c>
      <c r="B1656" s="3" t="s">
        <v>166</v>
      </c>
      <c r="C1656" s="15" t="s">
        <v>47</v>
      </c>
      <c r="D1656" s="15">
        <v>245</v>
      </c>
      <c r="E1656" s="11">
        <v>3500</v>
      </c>
      <c r="F1656" s="3" t="s">
        <v>8</v>
      </c>
      <c r="G1656" s="46">
        <v>5.8</v>
      </c>
      <c r="H1656" s="3">
        <v>6.3</v>
      </c>
      <c r="I1656" s="46">
        <v>7</v>
      </c>
      <c r="J1656" s="55">
        <v>0</v>
      </c>
      <c r="K1656" s="1">
        <f t="shared" ref="K1656" si="1595">(IF(F1656="SELL",G1656-H1656,IF(F1656="BUY",H1656-G1656)))*E1656</f>
        <v>1750</v>
      </c>
      <c r="L1656" s="51">
        <f t="shared" ref="L1656" si="1596">(IF(F1656="SELL",IF(I1656="",0,H1656-I1656),IF(F1656="BUY",IF(I1656="",0,I1656-H1656))))*E1656</f>
        <v>2450.0000000000005</v>
      </c>
      <c r="M1656" s="52">
        <v>0</v>
      </c>
      <c r="N1656" s="2">
        <f t="shared" si="1572"/>
        <v>1.2</v>
      </c>
      <c r="O1656" s="2">
        <f t="shared" si="1588"/>
        <v>4200</v>
      </c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</row>
    <row r="1657" spans="1:33" s="14" customFormat="1" ht="15" customHeight="1">
      <c r="A1657" s="10">
        <v>43077</v>
      </c>
      <c r="B1657" s="3" t="s">
        <v>161</v>
      </c>
      <c r="C1657" s="15" t="s">
        <v>47</v>
      </c>
      <c r="D1657" s="15">
        <v>420</v>
      </c>
      <c r="E1657" s="11">
        <v>1500</v>
      </c>
      <c r="F1657" s="3" t="s">
        <v>8</v>
      </c>
      <c r="G1657" s="46">
        <v>9.1999999999999993</v>
      </c>
      <c r="H1657" s="3">
        <v>10.199999999999999</v>
      </c>
      <c r="I1657" s="46">
        <v>0</v>
      </c>
      <c r="J1657" s="55">
        <v>0</v>
      </c>
      <c r="K1657" s="1">
        <f t="shared" ref="K1657" si="1597">(IF(F1657="SELL",G1657-H1657,IF(F1657="BUY",H1657-G1657)))*E1657</f>
        <v>1500</v>
      </c>
      <c r="L1657" s="51">
        <v>0</v>
      </c>
      <c r="M1657" s="52">
        <v>0</v>
      </c>
      <c r="N1657" s="2">
        <f t="shared" si="1572"/>
        <v>1</v>
      </c>
      <c r="O1657" s="2">
        <f t="shared" si="1588"/>
        <v>1500</v>
      </c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</row>
    <row r="1658" spans="1:33" s="14" customFormat="1" ht="15" customHeight="1">
      <c r="A1658" s="10">
        <v>43076</v>
      </c>
      <c r="B1658" s="3" t="s">
        <v>239</v>
      </c>
      <c r="C1658" s="15" t="s">
        <v>47</v>
      </c>
      <c r="D1658" s="15">
        <v>240</v>
      </c>
      <c r="E1658" s="11">
        <v>5000</v>
      </c>
      <c r="F1658" s="3" t="s">
        <v>8</v>
      </c>
      <c r="G1658" s="46">
        <v>8.75</v>
      </c>
      <c r="H1658" s="3">
        <v>9.1999999999999993</v>
      </c>
      <c r="I1658" s="46">
        <v>10</v>
      </c>
      <c r="J1658" s="55">
        <v>0</v>
      </c>
      <c r="K1658" s="1">
        <f t="shared" ref="K1658" si="1598">(IF(F1658="SELL",G1658-H1658,IF(F1658="BUY",H1658-G1658)))*E1658</f>
        <v>2249.9999999999964</v>
      </c>
      <c r="L1658" s="51">
        <f t="shared" ref="L1658" si="1599">(IF(F1658="SELL",IF(I1658="",0,H1658-I1658),IF(F1658="BUY",IF(I1658="",0,I1658-H1658))))*E1658</f>
        <v>4000.0000000000036</v>
      </c>
      <c r="M1658" s="52">
        <v>0</v>
      </c>
      <c r="N1658" s="2">
        <f t="shared" si="1572"/>
        <v>1.25</v>
      </c>
      <c r="O1658" s="2">
        <f t="shared" si="1588"/>
        <v>6250</v>
      </c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</row>
    <row r="1659" spans="1:33" s="14" customFormat="1" ht="15" customHeight="1">
      <c r="A1659" s="10">
        <v>43076</v>
      </c>
      <c r="B1659" s="3" t="s">
        <v>153</v>
      </c>
      <c r="C1659" s="15" t="s">
        <v>47</v>
      </c>
      <c r="D1659" s="15">
        <v>700</v>
      </c>
      <c r="E1659" s="11">
        <v>1200</v>
      </c>
      <c r="F1659" s="3" t="s">
        <v>8</v>
      </c>
      <c r="G1659" s="46">
        <v>32</v>
      </c>
      <c r="H1659" s="3">
        <v>33.5</v>
      </c>
      <c r="I1659" s="46">
        <v>0</v>
      </c>
      <c r="J1659" s="55">
        <v>0</v>
      </c>
      <c r="K1659" s="1">
        <f t="shared" ref="K1659" si="1600">(IF(F1659="SELL",G1659-H1659,IF(F1659="BUY",H1659-G1659)))*E1659</f>
        <v>1800</v>
      </c>
      <c r="L1659" s="51">
        <v>0</v>
      </c>
      <c r="M1659" s="52">
        <f t="shared" ref="M1659:M1664" si="1601">(IF(F1659="SELL",IF(J1659="",0,I1659-J1659),IF(F1659="BUY",IF(J1659="",0,(J1659-I1659)))))*E1659</f>
        <v>0</v>
      </c>
      <c r="N1659" s="2">
        <f t="shared" si="1572"/>
        <v>1.5</v>
      </c>
      <c r="O1659" s="2">
        <f t="shared" si="1588"/>
        <v>1800</v>
      </c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</row>
    <row r="1660" spans="1:33" s="14" customFormat="1" ht="15" customHeight="1">
      <c r="A1660" s="10">
        <v>43075</v>
      </c>
      <c r="B1660" s="3" t="s">
        <v>239</v>
      </c>
      <c r="C1660" s="15" t="s">
        <v>47</v>
      </c>
      <c r="D1660" s="15">
        <v>240</v>
      </c>
      <c r="E1660" s="11">
        <v>5000</v>
      </c>
      <c r="F1660" s="3" t="s">
        <v>8</v>
      </c>
      <c r="G1660" s="46">
        <v>8</v>
      </c>
      <c r="H1660" s="3">
        <v>7</v>
      </c>
      <c r="I1660" s="46">
        <v>0</v>
      </c>
      <c r="J1660" s="55">
        <v>0</v>
      </c>
      <c r="K1660" s="1">
        <f t="shared" ref="K1660" si="1602">(IF(F1660="SELL",G1660-H1660,IF(F1660="BUY",H1660-G1660)))*E1660</f>
        <v>-5000</v>
      </c>
      <c r="L1660" s="51">
        <v>0</v>
      </c>
      <c r="M1660" s="52">
        <f t="shared" si="1601"/>
        <v>0</v>
      </c>
      <c r="N1660" s="2">
        <f t="shared" si="1572"/>
        <v>-1</v>
      </c>
      <c r="O1660" s="2">
        <f t="shared" si="1588"/>
        <v>-5000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</row>
    <row r="1661" spans="1:33" s="14" customFormat="1" ht="15" customHeight="1">
      <c r="A1661" s="10">
        <v>43075</v>
      </c>
      <c r="B1661" s="3" t="s">
        <v>153</v>
      </c>
      <c r="C1661" s="15" t="s">
        <v>47</v>
      </c>
      <c r="D1661" s="15">
        <v>700</v>
      </c>
      <c r="E1661" s="11">
        <v>1200</v>
      </c>
      <c r="F1661" s="3" t="s">
        <v>8</v>
      </c>
      <c r="G1661" s="46">
        <v>29</v>
      </c>
      <c r="H1661" s="3">
        <v>30.5</v>
      </c>
      <c r="I1661" s="46">
        <v>0</v>
      </c>
      <c r="J1661" s="55">
        <v>0</v>
      </c>
      <c r="K1661" s="1">
        <f t="shared" ref="K1661" si="1603">(IF(F1661="SELL",G1661-H1661,IF(F1661="BUY",H1661-G1661)))*E1661</f>
        <v>1800</v>
      </c>
      <c r="L1661" s="51">
        <v>0</v>
      </c>
      <c r="M1661" s="52">
        <f t="shared" si="1601"/>
        <v>0</v>
      </c>
      <c r="N1661" s="2">
        <f t="shared" si="1572"/>
        <v>1.5</v>
      </c>
      <c r="O1661" s="2">
        <f t="shared" si="1588"/>
        <v>1800</v>
      </c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</row>
    <row r="1662" spans="1:33" s="14" customFormat="1" ht="15" customHeight="1">
      <c r="A1662" s="10">
        <v>43075</v>
      </c>
      <c r="B1662" s="3" t="s">
        <v>249</v>
      </c>
      <c r="C1662" s="15" t="s">
        <v>47</v>
      </c>
      <c r="D1662" s="15">
        <v>330</v>
      </c>
      <c r="E1662" s="11">
        <v>2750</v>
      </c>
      <c r="F1662" s="3" t="s">
        <v>8</v>
      </c>
      <c r="G1662" s="46">
        <v>11.5</v>
      </c>
      <c r="H1662" s="3">
        <v>12.5</v>
      </c>
      <c r="I1662" s="46">
        <v>0</v>
      </c>
      <c r="J1662" s="55">
        <v>0</v>
      </c>
      <c r="K1662" s="1">
        <f t="shared" ref="K1662" si="1604">(IF(F1662="SELL",G1662-H1662,IF(F1662="BUY",H1662-G1662)))*E1662</f>
        <v>2750</v>
      </c>
      <c r="L1662" s="51">
        <v>0</v>
      </c>
      <c r="M1662" s="52">
        <f t="shared" si="1601"/>
        <v>0</v>
      </c>
      <c r="N1662" s="2">
        <f t="shared" si="1572"/>
        <v>1</v>
      </c>
      <c r="O1662" s="2">
        <f t="shared" si="1588"/>
        <v>2750</v>
      </c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</row>
    <row r="1663" spans="1:33" s="14" customFormat="1" ht="15" customHeight="1">
      <c r="A1663" s="10">
        <v>43074</v>
      </c>
      <c r="B1663" s="3" t="s">
        <v>248</v>
      </c>
      <c r="C1663" s="15" t="s">
        <v>47</v>
      </c>
      <c r="D1663" s="15">
        <v>380</v>
      </c>
      <c r="E1663" s="11">
        <v>1300</v>
      </c>
      <c r="F1663" s="3" t="s">
        <v>8</v>
      </c>
      <c r="G1663" s="46">
        <v>6.25</v>
      </c>
      <c r="H1663" s="3">
        <v>8.4499999999999993</v>
      </c>
      <c r="I1663" s="46">
        <v>0</v>
      </c>
      <c r="J1663" s="55">
        <v>0</v>
      </c>
      <c r="K1663" s="1">
        <f t="shared" ref="K1663" si="1605">(IF(F1663="SELL",G1663-H1663,IF(F1663="BUY",H1663-G1663)))*E1663</f>
        <v>2859.9999999999991</v>
      </c>
      <c r="L1663" s="51">
        <v>0</v>
      </c>
      <c r="M1663" s="52">
        <f t="shared" si="1601"/>
        <v>0</v>
      </c>
      <c r="N1663" s="2">
        <f t="shared" si="1572"/>
        <v>2.1999999999999993</v>
      </c>
      <c r="O1663" s="2">
        <f t="shared" si="1588"/>
        <v>2859.9999999999991</v>
      </c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</row>
    <row r="1664" spans="1:33" s="14" customFormat="1" ht="15" customHeight="1">
      <c r="A1664" s="10">
        <v>43073</v>
      </c>
      <c r="B1664" s="3" t="s">
        <v>193</v>
      </c>
      <c r="C1664" s="15" t="s">
        <v>47</v>
      </c>
      <c r="D1664" s="15">
        <v>330</v>
      </c>
      <c r="E1664" s="11">
        <v>2750</v>
      </c>
      <c r="F1664" s="3" t="s">
        <v>8</v>
      </c>
      <c r="G1664" s="46">
        <v>8</v>
      </c>
      <c r="H1664" s="3">
        <v>9</v>
      </c>
      <c r="I1664" s="46">
        <v>10</v>
      </c>
      <c r="J1664" s="55">
        <v>12</v>
      </c>
      <c r="K1664" s="1">
        <f t="shared" ref="K1664" si="1606">(IF(F1664="SELL",G1664-H1664,IF(F1664="BUY",H1664-G1664)))*E1664</f>
        <v>2750</v>
      </c>
      <c r="L1664" s="51">
        <f t="shared" ref="L1664:L1670" si="1607">(IF(F1664="SELL",IF(I1664="",0,H1664-I1664),IF(F1664="BUY",IF(I1664="",0,I1664-H1664))))*E1664</f>
        <v>2750</v>
      </c>
      <c r="M1664" s="52">
        <f t="shared" si="1601"/>
        <v>5500</v>
      </c>
      <c r="N1664" s="2">
        <f t="shared" si="1572"/>
        <v>4</v>
      </c>
      <c r="O1664" s="2">
        <f t="shared" si="1588"/>
        <v>11000</v>
      </c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</row>
    <row r="1665" spans="1:33" s="14" customFormat="1" ht="15" customHeight="1">
      <c r="A1665" s="10">
        <v>43073</v>
      </c>
      <c r="B1665" s="3" t="s">
        <v>247</v>
      </c>
      <c r="C1665" s="15" t="s">
        <v>47</v>
      </c>
      <c r="D1665" s="15">
        <v>370</v>
      </c>
      <c r="E1665" s="11">
        <v>3750</v>
      </c>
      <c r="F1665" s="3" t="s">
        <v>8</v>
      </c>
      <c r="G1665" s="46">
        <v>7.5</v>
      </c>
      <c r="H1665" s="3">
        <v>8</v>
      </c>
      <c r="I1665" s="46">
        <v>0</v>
      </c>
      <c r="J1665" s="55">
        <v>0</v>
      </c>
      <c r="K1665" s="1">
        <f t="shared" ref="K1665" si="1608">(IF(F1665="SELL",G1665-H1665,IF(F1665="BUY",H1665-G1665)))*E1665</f>
        <v>1875</v>
      </c>
      <c r="L1665" s="51">
        <v>0</v>
      </c>
      <c r="M1665" s="52">
        <v>0</v>
      </c>
      <c r="N1665" s="2">
        <f t="shared" si="1572"/>
        <v>0.5</v>
      </c>
      <c r="O1665" s="2">
        <f t="shared" si="1588"/>
        <v>1875</v>
      </c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</row>
    <row r="1666" spans="1:33" s="14" customFormat="1" ht="15" customHeight="1">
      <c r="A1666" s="10">
        <v>43073</v>
      </c>
      <c r="B1666" s="3" t="s">
        <v>193</v>
      </c>
      <c r="C1666" s="15" t="s">
        <v>47</v>
      </c>
      <c r="D1666" s="15">
        <v>330</v>
      </c>
      <c r="E1666" s="11">
        <v>2750</v>
      </c>
      <c r="F1666" s="3" t="s">
        <v>8</v>
      </c>
      <c r="G1666" s="46">
        <v>12.2</v>
      </c>
      <c r="H1666" s="3">
        <v>13.2</v>
      </c>
      <c r="I1666" s="46">
        <v>0</v>
      </c>
      <c r="J1666" s="55">
        <v>0</v>
      </c>
      <c r="K1666" s="1">
        <f t="shared" ref="K1666" si="1609">(IF(F1666="SELL",G1666-H1666,IF(F1666="BUY",H1666-G1666)))*E1666</f>
        <v>2750</v>
      </c>
      <c r="L1666" s="51">
        <v>0</v>
      </c>
      <c r="M1666" s="52">
        <v>0</v>
      </c>
      <c r="N1666" s="2">
        <f t="shared" si="1572"/>
        <v>1</v>
      </c>
      <c r="O1666" s="2">
        <f t="shared" si="1588"/>
        <v>2750</v>
      </c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</row>
    <row r="1667" spans="1:33" s="14" customFormat="1" ht="15" customHeight="1">
      <c r="A1667" s="10">
        <v>43070</v>
      </c>
      <c r="B1667" s="3" t="s">
        <v>224</v>
      </c>
      <c r="C1667" s="15" t="s">
        <v>47</v>
      </c>
      <c r="D1667" s="15">
        <v>360</v>
      </c>
      <c r="E1667" s="11">
        <v>3000</v>
      </c>
      <c r="F1667" s="3" t="s">
        <v>8</v>
      </c>
      <c r="G1667" s="46">
        <v>7.8</v>
      </c>
      <c r="H1667" s="3">
        <v>8.5</v>
      </c>
      <c r="I1667" s="46">
        <v>0</v>
      </c>
      <c r="J1667" s="55">
        <v>4</v>
      </c>
      <c r="K1667" s="1">
        <f t="shared" ref="K1667" si="1610">(IF(F1667="SELL",G1667-H1667,IF(F1667="BUY",H1667-G1667)))*E1667</f>
        <v>2100.0000000000005</v>
      </c>
      <c r="L1667" s="51">
        <v>0</v>
      </c>
      <c r="M1667" s="52">
        <v>0</v>
      </c>
      <c r="N1667" s="2">
        <f t="shared" si="1572"/>
        <v>0.70000000000000018</v>
      </c>
      <c r="O1667" s="2">
        <f t="shared" si="1588"/>
        <v>2100.0000000000005</v>
      </c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</row>
    <row r="1668" spans="1:33" s="14" customFormat="1" ht="15" customHeight="1">
      <c r="A1668" s="10">
        <v>43069</v>
      </c>
      <c r="B1668" s="3" t="s">
        <v>246</v>
      </c>
      <c r="C1668" s="15" t="s">
        <v>47</v>
      </c>
      <c r="D1668" s="15">
        <v>115</v>
      </c>
      <c r="E1668" s="11">
        <v>9000</v>
      </c>
      <c r="F1668" s="3" t="s">
        <v>8</v>
      </c>
      <c r="G1668" s="46">
        <v>3</v>
      </c>
      <c r="H1668" s="3">
        <v>3.3</v>
      </c>
      <c r="I1668" s="46">
        <v>3.6</v>
      </c>
      <c r="J1668" s="55">
        <v>4</v>
      </c>
      <c r="K1668" s="1">
        <f t="shared" ref="K1668" si="1611">(IF(F1668="SELL",G1668-H1668,IF(F1668="BUY",H1668-G1668)))*E1668</f>
        <v>2699.9999999999982</v>
      </c>
      <c r="L1668" s="51">
        <f t="shared" si="1607"/>
        <v>2700.0000000000023</v>
      </c>
      <c r="M1668" s="52">
        <f>(IF(F1668="SELL",IF(J1668="",0,I1668-J1668),IF(F1668="BUY",IF(J1668="",0,(J1668-I1668)))))*E1668</f>
        <v>3599.9999999999991</v>
      </c>
      <c r="N1668" s="2">
        <f t="shared" si="1572"/>
        <v>1</v>
      </c>
      <c r="O1668" s="2">
        <f t="shared" si="1588"/>
        <v>9000</v>
      </c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</row>
    <row r="1669" spans="1:33" s="14" customFormat="1" ht="15" customHeight="1">
      <c r="A1669" s="10">
        <v>43068</v>
      </c>
      <c r="B1669" s="3" t="s">
        <v>245</v>
      </c>
      <c r="C1669" s="15" t="s">
        <v>47</v>
      </c>
      <c r="D1669" s="15">
        <v>405</v>
      </c>
      <c r="E1669" s="11">
        <v>1400</v>
      </c>
      <c r="F1669" s="3" t="s">
        <v>8</v>
      </c>
      <c r="G1669" s="46">
        <v>4.5</v>
      </c>
      <c r="H1669" s="3">
        <v>2</v>
      </c>
      <c r="I1669" s="46">
        <v>0</v>
      </c>
      <c r="J1669" s="55">
        <v>0</v>
      </c>
      <c r="K1669" s="1">
        <f t="shared" ref="K1669" si="1612">(IF(F1669="SELL",G1669-H1669,IF(F1669="BUY",H1669-G1669)))*E1669</f>
        <v>-3500</v>
      </c>
      <c r="L1669" s="51">
        <v>0</v>
      </c>
      <c r="M1669" s="52">
        <v>0</v>
      </c>
      <c r="N1669" s="2">
        <f t="shared" si="1572"/>
        <v>-2.5</v>
      </c>
      <c r="O1669" s="2">
        <f t="shared" si="1588"/>
        <v>-3500</v>
      </c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</row>
    <row r="1670" spans="1:33" s="14" customFormat="1" ht="15" customHeight="1">
      <c r="A1670" s="10">
        <v>43068</v>
      </c>
      <c r="B1670" s="3" t="s">
        <v>154</v>
      </c>
      <c r="C1670" s="15" t="s">
        <v>47</v>
      </c>
      <c r="D1670" s="15">
        <v>510</v>
      </c>
      <c r="E1670" s="11">
        <v>1800</v>
      </c>
      <c r="F1670" s="3" t="s">
        <v>8</v>
      </c>
      <c r="G1670" s="46">
        <v>5.5</v>
      </c>
      <c r="H1670" s="3">
        <v>6.5</v>
      </c>
      <c r="I1670" s="46">
        <v>8</v>
      </c>
      <c r="J1670" s="55">
        <v>0</v>
      </c>
      <c r="K1670" s="1">
        <f t="shared" ref="K1670" si="1613">(IF(F1670="SELL",G1670-H1670,IF(F1670="BUY",H1670-G1670)))*E1670</f>
        <v>1800</v>
      </c>
      <c r="L1670" s="51">
        <f t="shared" si="1607"/>
        <v>2700</v>
      </c>
      <c r="M1670" s="52">
        <v>0</v>
      </c>
      <c r="N1670" s="2">
        <f t="shared" si="1572"/>
        <v>2.5</v>
      </c>
      <c r="O1670" s="2">
        <f t="shared" si="1588"/>
        <v>4500</v>
      </c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</row>
    <row r="1671" spans="1:33" s="14" customFormat="1" ht="15" customHeight="1">
      <c r="A1671" s="10">
        <v>43066</v>
      </c>
      <c r="B1671" s="3" t="s">
        <v>244</v>
      </c>
      <c r="C1671" s="15" t="s">
        <v>47</v>
      </c>
      <c r="D1671" s="15">
        <v>275</v>
      </c>
      <c r="E1671" s="11">
        <v>3000</v>
      </c>
      <c r="F1671" s="3" t="s">
        <v>8</v>
      </c>
      <c r="G1671" s="46">
        <v>4.5</v>
      </c>
      <c r="H1671" s="3">
        <v>5</v>
      </c>
      <c r="I1671" s="46">
        <v>6</v>
      </c>
      <c r="J1671" s="55">
        <v>0</v>
      </c>
      <c r="K1671" s="1">
        <f t="shared" ref="K1671" si="1614">(IF(F1671="SELL",G1671-H1671,IF(F1671="BUY",H1671-G1671)))*E1671</f>
        <v>1500</v>
      </c>
      <c r="L1671" s="51">
        <f t="shared" ref="L1671" si="1615">(IF(F1671="SELL",IF(I1671="",0,H1671-I1671),IF(F1671="BUY",IF(I1671="",0,I1671-H1671))))*E1671</f>
        <v>3000</v>
      </c>
      <c r="M1671" s="52">
        <v>0</v>
      </c>
      <c r="N1671" s="2">
        <f t="shared" si="1572"/>
        <v>1.5</v>
      </c>
      <c r="O1671" s="2">
        <f t="shared" si="1588"/>
        <v>4500</v>
      </c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</row>
    <row r="1672" spans="1:33" s="14" customFormat="1" ht="15" customHeight="1">
      <c r="A1672" s="10">
        <v>43066</v>
      </c>
      <c r="B1672" s="3" t="s">
        <v>213</v>
      </c>
      <c r="C1672" s="15" t="s">
        <v>47</v>
      </c>
      <c r="D1672" s="15">
        <v>450</v>
      </c>
      <c r="E1672" s="11">
        <v>2000</v>
      </c>
      <c r="F1672" s="3" t="s">
        <v>8</v>
      </c>
      <c r="G1672" s="46">
        <v>4.5</v>
      </c>
      <c r="H1672" s="3">
        <v>0</v>
      </c>
      <c r="I1672" s="46">
        <v>0</v>
      </c>
      <c r="J1672" s="55">
        <v>0</v>
      </c>
      <c r="K1672" s="1">
        <v>0</v>
      </c>
      <c r="L1672" s="51">
        <f t="shared" ref="L1672" si="1616">(IF(F1672="SELL",IF(I1672="",0,H1672-I1672),IF(F1672="BUY",IF(I1672="",0,I1672-H1672))))*E1672</f>
        <v>0</v>
      </c>
      <c r="M1672" s="52">
        <v>0</v>
      </c>
      <c r="N1672" s="2">
        <f t="shared" si="1572"/>
        <v>0</v>
      </c>
      <c r="O1672" s="2">
        <f t="shared" si="1588"/>
        <v>0</v>
      </c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</row>
    <row r="1673" spans="1:33" s="14" customFormat="1" ht="15" customHeight="1">
      <c r="A1673" s="10">
        <v>43062</v>
      </c>
      <c r="B1673" s="3" t="s">
        <v>172</v>
      </c>
      <c r="C1673" s="15" t="s">
        <v>47</v>
      </c>
      <c r="D1673" s="15">
        <v>430</v>
      </c>
      <c r="E1673" s="11">
        <v>1575</v>
      </c>
      <c r="F1673" s="3" t="s">
        <v>8</v>
      </c>
      <c r="G1673" s="46">
        <v>8</v>
      </c>
      <c r="H1673" s="3">
        <v>9</v>
      </c>
      <c r="I1673" s="46">
        <v>0</v>
      </c>
      <c r="J1673" s="55">
        <v>0</v>
      </c>
      <c r="K1673" s="1">
        <f t="shared" ref="K1673" si="1617">(IF(F1673="SELL",G1673-H1673,IF(F1673="BUY",H1673-G1673)))*E1673</f>
        <v>1575</v>
      </c>
      <c r="L1673" s="51">
        <v>0</v>
      </c>
      <c r="M1673" s="52">
        <v>0</v>
      </c>
      <c r="N1673" s="2">
        <f t="shared" si="1572"/>
        <v>1</v>
      </c>
      <c r="O1673" s="2">
        <f t="shared" si="1588"/>
        <v>1575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</row>
    <row r="1674" spans="1:33" s="14" customFormat="1" ht="15" customHeight="1">
      <c r="A1674" s="10">
        <v>43061</v>
      </c>
      <c r="B1674" s="3" t="s">
        <v>243</v>
      </c>
      <c r="C1674" s="15" t="s">
        <v>47</v>
      </c>
      <c r="D1674" s="15">
        <v>410</v>
      </c>
      <c r="E1674" s="11">
        <v>3084</v>
      </c>
      <c r="F1674" s="3" t="s">
        <v>8</v>
      </c>
      <c r="G1674" s="46">
        <v>7</v>
      </c>
      <c r="H1674" s="3">
        <v>7.5</v>
      </c>
      <c r="I1674" s="46">
        <v>0</v>
      </c>
      <c r="J1674" s="55">
        <v>0</v>
      </c>
      <c r="K1674" s="1">
        <f t="shared" ref="K1674" si="1618">(IF(F1674="SELL",G1674-H1674,IF(F1674="BUY",H1674-G1674)))*E1674</f>
        <v>1542</v>
      </c>
      <c r="L1674" s="51">
        <v>0</v>
      </c>
      <c r="M1674" s="52">
        <v>0</v>
      </c>
      <c r="N1674" s="2">
        <f t="shared" si="1572"/>
        <v>0.5</v>
      </c>
      <c r="O1674" s="2">
        <f t="shared" si="1588"/>
        <v>1542</v>
      </c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</row>
    <row r="1675" spans="1:33" s="14" customFormat="1" ht="15" customHeight="1">
      <c r="A1675" s="10">
        <v>43061</v>
      </c>
      <c r="B1675" s="3" t="s">
        <v>161</v>
      </c>
      <c r="C1675" s="15" t="s">
        <v>47</v>
      </c>
      <c r="D1675" s="15">
        <v>430</v>
      </c>
      <c r="E1675" s="11">
        <v>1500</v>
      </c>
      <c r="F1675" s="3" t="s">
        <v>8</v>
      </c>
      <c r="G1675" s="46">
        <v>10</v>
      </c>
      <c r="H1675" s="3">
        <v>11</v>
      </c>
      <c r="I1675" s="46">
        <v>0</v>
      </c>
      <c r="J1675" s="55">
        <v>0</v>
      </c>
      <c r="K1675" s="1">
        <f t="shared" ref="K1675" si="1619">(IF(F1675="SELL",G1675-H1675,IF(F1675="BUY",H1675-G1675)))*E1675</f>
        <v>1500</v>
      </c>
      <c r="L1675" s="51">
        <v>0</v>
      </c>
      <c r="M1675" s="52">
        <v>0</v>
      </c>
      <c r="N1675" s="2">
        <f t="shared" si="1572"/>
        <v>1</v>
      </c>
      <c r="O1675" s="2">
        <f t="shared" si="1588"/>
        <v>1500</v>
      </c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</row>
    <row r="1676" spans="1:33" s="14" customFormat="1" ht="15" customHeight="1">
      <c r="A1676" s="10">
        <v>43061</v>
      </c>
      <c r="B1676" s="3" t="s">
        <v>213</v>
      </c>
      <c r="C1676" s="15" t="s">
        <v>47</v>
      </c>
      <c r="D1676" s="15">
        <v>440</v>
      </c>
      <c r="E1676" s="11">
        <v>2000</v>
      </c>
      <c r="F1676" s="3" t="s">
        <v>8</v>
      </c>
      <c r="G1676" s="46">
        <v>7</v>
      </c>
      <c r="H1676" s="3">
        <v>8</v>
      </c>
      <c r="I1676" s="46">
        <v>0</v>
      </c>
      <c r="J1676" s="55">
        <v>0</v>
      </c>
      <c r="K1676" s="1">
        <f>(IF(F1676="SELL",G1676-H1676,IF(F1676="BUY",H1676-G1676)))*E1676</f>
        <v>2000</v>
      </c>
      <c r="L1676" s="51">
        <v>0</v>
      </c>
      <c r="M1676" s="52">
        <v>0</v>
      </c>
      <c r="N1676" s="2">
        <f t="shared" si="1572"/>
        <v>1</v>
      </c>
      <c r="O1676" s="2">
        <f t="shared" si="1588"/>
        <v>2000</v>
      </c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</row>
    <row r="1677" spans="1:33" s="14" customFormat="1" ht="15" customHeight="1">
      <c r="A1677" s="10">
        <v>43060</v>
      </c>
      <c r="B1677" s="3" t="s">
        <v>242</v>
      </c>
      <c r="C1677" s="15" t="s">
        <v>47</v>
      </c>
      <c r="D1677" s="15">
        <v>740</v>
      </c>
      <c r="E1677" s="11">
        <v>800</v>
      </c>
      <c r="F1677" s="3" t="s">
        <v>8</v>
      </c>
      <c r="G1677" s="46">
        <v>13</v>
      </c>
      <c r="H1677" s="3">
        <v>0</v>
      </c>
      <c r="I1677" s="46">
        <v>0</v>
      </c>
      <c r="J1677" s="55">
        <v>0</v>
      </c>
      <c r="K1677" s="1">
        <v>0</v>
      </c>
      <c r="L1677" s="51">
        <f t="shared" ref="L1677" si="1620">(IF(F1677="SELL",IF(I1677="",0,H1677-I1677),IF(F1677="BUY",IF(I1677="",0,I1677-H1677))))*E1677</f>
        <v>0</v>
      </c>
      <c r="M1677" s="52">
        <v>0</v>
      </c>
      <c r="N1677" s="2">
        <f t="shared" si="1572"/>
        <v>0</v>
      </c>
      <c r="O1677" s="2">
        <f t="shared" si="1588"/>
        <v>0</v>
      </c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</row>
    <row r="1678" spans="1:33" s="14" customFormat="1" ht="15" customHeight="1">
      <c r="A1678" s="10">
        <v>43059</v>
      </c>
      <c r="B1678" s="3" t="s">
        <v>206</v>
      </c>
      <c r="C1678" s="15" t="s">
        <v>47</v>
      </c>
      <c r="D1678" s="15">
        <v>560</v>
      </c>
      <c r="E1678" s="11">
        <v>1500</v>
      </c>
      <c r="F1678" s="3" t="s">
        <v>8</v>
      </c>
      <c r="G1678" s="46">
        <v>13</v>
      </c>
      <c r="H1678" s="3">
        <v>14</v>
      </c>
      <c r="I1678" s="46">
        <v>16</v>
      </c>
      <c r="J1678" s="55">
        <v>18</v>
      </c>
      <c r="K1678" s="1">
        <f t="shared" ref="K1678" si="1621">(IF(F1678="SELL",G1678-H1678,IF(F1678="BUY",H1678-G1678)))*E1678</f>
        <v>1500</v>
      </c>
      <c r="L1678" s="51">
        <f t="shared" ref="L1678" si="1622">(IF(F1678="SELL",IF(I1678="",0,H1678-I1678),IF(F1678="BUY",IF(I1678="",0,I1678-H1678))))*E1678</f>
        <v>3000</v>
      </c>
      <c r="M1678" s="52">
        <f>(IF(F1678="SELL",IF(J1678="",0,I1678-J1678),IF(F1678="BUY",IF(J1678="",0,(J1678-I1678)))))*E1678</f>
        <v>3000</v>
      </c>
      <c r="N1678" s="2">
        <f t="shared" si="1572"/>
        <v>5</v>
      </c>
      <c r="O1678" s="2">
        <f t="shared" si="1588"/>
        <v>7500</v>
      </c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</row>
    <row r="1679" spans="1:33" s="14" customFormat="1" ht="15" customHeight="1">
      <c r="A1679" s="10">
        <v>43059</v>
      </c>
      <c r="B1679" s="3" t="s">
        <v>241</v>
      </c>
      <c r="C1679" s="15" t="s">
        <v>47</v>
      </c>
      <c r="D1679" s="15">
        <v>125</v>
      </c>
      <c r="E1679" s="11">
        <v>5000</v>
      </c>
      <c r="F1679" s="3" t="s">
        <v>8</v>
      </c>
      <c r="G1679" s="46">
        <v>4.2</v>
      </c>
      <c r="H1679" s="3">
        <v>4.7</v>
      </c>
      <c r="I1679" s="46">
        <v>0</v>
      </c>
      <c r="J1679" s="55">
        <v>0</v>
      </c>
      <c r="K1679" s="1">
        <f t="shared" ref="K1679" si="1623">(IF(F1679="SELL",G1679-H1679,IF(F1679="BUY",H1679-G1679)))*E1679</f>
        <v>2500</v>
      </c>
      <c r="L1679" s="51">
        <v>0</v>
      </c>
      <c r="M1679" s="52">
        <v>0</v>
      </c>
      <c r="N1679" s="2">
        <f t="shared" si="1572"/>
        <v>0.5</v>
      </c>
      <c r="O1679" s="2">
        <f t="shared" si="1588"/>
        <v>2500</v>
      </c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</row>
    <row r="1680" spans="1:33" s="14" customFormat="1" ht="15" customHeight="1">
      <c r="A1680" s="10">
        <v>43059</v>
      </c>
      <c r="B1680" s="3" t="s">
        <v>209</v>
      </c>
      <c r="C1680" s="15" t="s">
        <v>47</v>
      </c>
      <c r="D1680" s="15">
        <v>630</v>
      </c>
      <c r="E1680" s="11">
        <v>1000</v>
      </c>
      <c r="F1680" s="3" t="s">
        <v>8</v>
      </c>
      <c r="G1680" s="46">
        <v>12.5</v>
      </c>
      <c r="H1680" s="3">
        <v>14</v>
      </c>
      <c r="I1680" s="46">
        <v>0</v>
      </c>
      <c r="J1680" s="55">
        <v>0</v>
      </c>
      <c r="K1680" s="1">
        <f t="shared" ref="K1680" si="1624">(IF(F1680="SELL",G1680-H1680,IF(F1680="BUY",H1680-G1680)))*E1680</f>
        <v>1500</v>
      </c>
      <c r="L1680" s="51">
        <v>0</v>
      </c>
      <c r="M1680" s="52">
        <v>0</v>
      </c>
      <c r="N1680" s="2">
        <f t="shared" si="1572"/>
        <v>1.5</v>
      </c>
      <c r="O1680" s="2">
        <f t="shared" si="1588"/>
        <v>1500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</row>
    <row r="1681" spans="1:33" s="14" customFormat="1" ht="15" customHeight="1">
      <c r="A1681" s="10">
        <v>43056</v>
      </c>
      <c r="B1681" s="3" t="s">
        <v>240</v>
      </c>
      <c r="C1681" s="15" t="s">
        <v>47</v>
      </c>
      <c r="D1681" s="15">
        <v>130</v>
      </c>
      <c r="E1681" s="11">
        <v>3500</v>
      </c>
      <c r="F1681" s="3" t="s">
        <v>8</v>
      </c>
      <c r="G1681" s="46">
        <v>5</v>
      </c>
      <c r="H1681" s="3">
        <v>5.5</v>
      </c>
      <c r="I1681" s="46">
        <v>0</v>
      </c>
      <c r="J1681" s="55">
        <v>0</v>
      </c>
      <c r="K1681" s="1">
        <f t="shared" ref="K1681" si="1625">(IF(F1681="SELL",G1681-H1681,IF(F1681="BUY",H1681-G1681)))*E1681</f>
        <v>1750</v>
      </c>
      <c r="L1681" s="51">
        <v>0</v>
      </c>
      <c r="M1681" s="52">
        <v>0</v>
      </c>
      <c r="N1681" s="2">
        <f t="shared" si="1572"/>
        <v>0.5</v>
      </c>
      <c r="O1681" s="2">
        <f t="shared" si="1588"/>
        <v>1750</v>
      </c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</row>
    <row r="1682" spans="1:33" s="14" customFormat="1" ht="15" customHeight="1">
      <c r="A1682" s="10">
        <v>43056</v>
      </c>
      <c r="B1682" s="3" t="s">
        <v>239</v>
      </c>
      <c r="C1682" s="15" t="s">
        <v>47</v>
      </c>
      <c r="D1682" s="15">
        <v>220</v>
      </c>
      <c r="E1682" s="11">
        <v>5000</v>
      </c>
      <c r="F1682" s="3" t="s">
        <v>8</v>
      </c>
      <c r="G1682" s="46">
        <v>7.6</v>
      </c>
      <c r="H1682" s="3">
        <v>8</v>
      </c>
      <c r="I1682" s="46">
        <v>8.6999999999999993</v>
      </c>
      <c r="J1682" s="55">
        <v>0</v>
      </c>
      <c r="K1682" s="1">
        <f t="shared" ref="K1682" si="1626">(IF(F1682="SELL",G1682-H1682,IF(F1682="BUY",H1682-G1682)))*E1682</f>
        <v>2000.0000000000018</v>
      </c>
      <c r="L1682" s="51">
        <f t="shared" ref="L1682" si="1627">(IF(F1682="SELL",IF(I1682="",0,H1682-I1682),IF(F1682="BUY",IF(I1682="",0,I1682-H1682))))*E1682</f>
        <v>3499.9999999999964</v>
      </c>
      <c r="M1682" s="52">
        <v>0</v>
      </c>
      <c r="N1682" s="2">
        <f t="shared" si="1572"/>
        <v>1.0999999999999996</v>
      </c>
      <c r="O1682" s="2">
        <f t="shared" si="1588"/>
        <v>5499.9999999999982</v>
      </c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</row>
    <row r="1683" spans="1:33" s="14" customFormat="1" ht="15" customHeight="1">
      <c r="A1683" s="10">
        <v>43056</v>
      </c>
      <c r="B1683" s="3" t="s">
        <v>238</v>
      </c>
      <c r="C1683" s="15" t="s">
        <v>47</v>
      </c>
      <c r="D1683" s="15">
        <v>330</v>
      </c>
      <c r="E1683" s="11">
        <v>2750</v>
      </c>
      <c r="F1683" s="3" t="s">
        <v>8</v>
      </c>
      <c r="G1683" s="46">
        <v>8</v>
      </c>
      <c r="H1683" s="3">
        <v>8.6999999999999993</v>
      </c>
      <c r="I1683" s="46">
        <v>0</v>
      </c>
      <c r="J1683" s="55">
        <v>0</v>
      </c>
      <c r="K1683" s="1">
        <f t="shared" ref="K1683" si="1628">(IF(F1683="SELL",G1683-H1683,IF(F1683="BUY",H1683-G1683)))*E1683</f>
        <v>1924.999999999998</v>
      </c>
      <c r="L1683" s="51">
        <v>0</v>
      </c>
      <c r="M1683" s="52">
        <v>0</v>
      </c>
      <c r="N1683" s="2">
        <f t="shared" si="1572"/>
        <v>0.69999999999999929</v>
      </c>
      <c r="O1683" s="2">
        <f t="shared" si="1588"/>
        <v>1924.999999999998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</row>
    <row r="1684" spans="1:33" s="14" customFormat="1" ht="15" customHeight="1">
      <c r="A1684" s="10">
        <v>43055</v>
      </c>
      <c r="B1684" s="3" t="s">
        <v>139</v>
      </c>
      <c r="C1684" s="15" t="s">
        <v>47</v>
      </c>
      <c r="D1684" s="15">
        <v>1750</v>
      </c>
      <c r="E1684" s="11">
        <v>500</v>
      </c>
      <c r="F1684" s="3" t="s">
        <v>8</v>
      </c>
      <c r="G1684" s="46">
        <v>44</v>
      </c>
      <c r="H1684" s="3">
        <v>47</v>
      </c>
      <c r="I1684" s="46">
        <v>50</v>
      </c>
      <c r="J1684" s="55">
        <v>55</v>
      </c>
      <c r="K1684" s="1">
        <f t="shared" ref="K1684" si="1629">(IF(F1684="SELL",G1684-H1684,IF(F1684="BUY",H1684-G1684)))*E1684</f>
        <v>1500</v>
      </c>
      <c r="L1684" s="51">
        <f t="shared" ref="L1684:L1685" si="1630">(IF(F1684="SELL",IF(I1684="",0,H1684-I1684),IF(F1684="BUY",IF(I1684="",0,I1684-H1684))))*E1684</f>
        <v>1500</v>
      </c>
      <c r="M1684" s="52">
        <f>(IF(F1684="SELL",IF(J1684="",0,I1684-J1684),IF(F1684="BUY",IF(J1684="",0,(J1684-I1684)))))*E1684</f>
        <v>2500</v>
      </c>
      <c r="N1684" s="2">
        <f t="shared" si="1572"/>
        <v>11</v>
      </c>
      <c r="O1684" s="2">
        <f t="shared" si="1588"/>
        <v>5500</v>
      </c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</row>
    <row r="1685" spans="1:33" s="14" customFormat="1" ht="15" customHeight="1">
      <c r="A1685" s="10">
        <v>43055</v>
      </c>
      <c r="B1685" s="3" t="s">
        <v>237</v>
      </c>
      <c r="C1685" s="15" t="s">
        <v>47</v>
      </c>
      <c r="D1685" s="15">
        <v>720</v>
      </c>
      <c r="E1685" s="11">
        <v>800</v>
      </c>
      <c r="F1685" s="3" t="s">
        <v>8</v>
      </c>
      <c r="G1685" s="46">
        <v>9.5</v>
      </c>
      <c r="H1685" s="3">
        <v>12</v>
      </c>
      <c r="I1685" s="46">
        <v>14.9</v>
      </c>
      <c r="J1685" s="55">
        <v>0</v>
      </c>
      <c r="K1685" s="1">
        <f t="shared" ref="K1685" si="1631">(IF(F1685="SELL",G1685-H1685,IF(F1685="BUY",H1685-G1685)))*E1685</f>
        <v>2000</v>
      </c>
      <c r="L1685" s="51">
        <f t="shared" si="1630"/>
        <v>2320.0000000000005</v>
      </c>
      <c r="M1685" s="52">
        <v>0</v>
      </c>
      <c r="N1685" s="2">
        <f t="shared" si="1572"/>
        <v>5.4</v>
      </c>
      <c r="O1685" s="2">
        <f t="shared" si="1588"/>
        <v>4320</v>
      </c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</row>
    <row r="1686" spans="1:33" s="14" customFormat="1" ht="15" customHeight="1">
      <c r="A1686" s="10">
        <v>43055</v>
      </c>
      <c r="B1686" s="3" t="s">
        <v>236</v>
      </c>
      <c r="C1686" s="15" t="s">
        <v>47</v>
      </c>
      <c r="D1686" s="15">
        <v>205</v>
      </c>
      <c r="E1686" s="11">
        <v>4000</v>
      </c>
      <c r="F1686" s="3" t="s">
        <v>8</v>
      </c>
      <c r="G1686" s="46">
        <v>5.5</v>
      </c>
      <c r="H1686" s="3">
        <v>6</v>
      </c>
      <c r="I1686" s="46">
        <v>0</v>
      </c>
      <c r="J1686" s="55">
        <v>0</v>
      </c>
      <c r="K1686" s="1">
        <f t="shared" ref="K1686" si="1632">(IF(F1686="SELL",G1686-H1686,IF(F1686="BUY",H1686-G1686)))*E1686</f>
        <v>2000</v>
      </c>
      <c r="L1686" s="51">
        <v>0</v>
      </c>
      <c r="M1686" s="52">
        <v>0</v>
      </c>
      <c r="N1686" s="2">
        <f t="shared" si="1572"/>
        <v>0.5</v>
      </c>
      <c r="O1686" s="2">
        <f t="shared" si="1588"/>
        <v>2000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</row>
    <row r="1687" spans="1:33" s="14" customFormat="1" ht="15" customHeight="1">
      <c r="A1687" s="10">
        <v>43055</v>
      </c>
      <c r="B1687" s="3" t="s">
        <v>212</v>
      </c>
      <c r="C1687" s="15" t="s">
        <v>47</v>
      </c>
      <c r="D1687" s="15">
        <v>180</v>
      </c>
      <c r="E1687" s="11">
        <v>4950</v>
      </c>
      <c r="F1687" s="3" t="s">
        <v>8</v>
      </c>
      <c r="G1687" s="46">
        <v>4.1500000000000004</v>
      </c>
      <c r="H1687" s="3">
        <v>4.5999999999999996</v>
      </c>
      <c r="I1687" s="46">
        <v>0</v>
      </c>
      <c r="J1687" s="55">
        <v>0</v>
      </c>
      <c r="K1687" s="1">
        <f t="shared" ref="K1687" si="1633">(IF(F1687="SELL",G1687-H1687,IF(F1687="BUY",H1687-G1687)))*E1687</f>
        <v>2227.4999999999964</v>
      </c>
      <c r="L1687" s="51">
        <v>0</v>
      </c>
      <c r="M1687" s="52">
        <v>0</v>
      </c>
      <c r="N1687" s="2">
        <f t="shared" si="1572"/>
        <v>0.44999999999999929</v>
      </c>
      <c r="O1687" s="2">
        <f t="shared" si="1588"/>
        <v>2227.4999999999964</v>
      </c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</row>
    <row r="1688" spans="1:33" s="14" customFormat="1" ht="15" customHeight="1">
      <c r="A1688" s="10">
        <v>43054</v>
      </c>
      <c r="B1688" s="3" t="s">
        <v>167</v>
      </c>
      <c r="C1688" s="15" t="s">
        <v>46</v>
      </c>
      <c r="D1688" s="15">
        <v>980</v>
      </c>
      <c r="E1688" s="11">
        <v>1000</v>
      </c>
      <c r="F1688" s="3" t="s">
        <v>8</v>
      </c>
      <c r="G1688" s="46">
        <v>22.3</v>
      </c>
      <c r="H1688" s="3">
        <v>25.5</v>
      </c>
      <c r="I1688" s="46">
        <v>30</v>
      </c>
      <c r="J1688" s="55">
        <v>0</v>
      </c>
      <c r="K1688" s="1">
        <f t="shared" ref="K1688" si="1634">(IF(F1688="SELL",G1688-H1688,IF(F1688="BUY",H1688-G1688)))*E1688</f>
        <v>3199.9999999999991</v>
      </c>
      <c r="L1688" s="51">
        <f t="shared" ref="L1688" si="1635">(IF(F1688="SELL",IF(I1688="",0,H1688-I1688),IF(F1688="BUY",IF(I1688="",0,I1688-H1688))))*E1688</f>
        <v>4500</v>
      </c>
      <c r="M1688" s="52">
        <v>0</v>
      </c>
      <c r="N1688" s="2">
        <f t="shared" si="1572"/>
        <v>7.6999999999999993</v>
      </c>
      <c r="O1688" s="2">
        <f t="shared" si="1588"/>
        <v>7699.9999999999991</v>
      </c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</row>
    <row r="1689" spans="1:33" s="14" customFormat="1" ht="15" customHeight="1">
      <c r="A1689" s="10">
        <v>43054</v>
      </c>
      <c r="B1689" s="3" t="s">
        <v>224</v>
      </c>
      <c r="C1689" s="15" t="s">
        <v>46</v>
      </c>
      <c r="D1689" s="15">
        <v>335</v>
      </c>
      <c r="E1689" s="11">
        <v>3000</v>
      </c>
      <c r="F1689" s="3" t="s">
        <v>8</v>
      </c>
      <c r="G1689" s="46">
        <v>7.5</v>
      </c>
      <c r="H1689" s="3">
        <v>8.25</v>
      </c>
      <c r="I1689" s="46">
        <v>16</v>
      </c>
      <c r="J1689" s="55">
        <v>19</v>
      </c>
      <c r="K1689" s="1">
        <f t="shared" ref="K1689" si="1636">(IF(F1689="SELL",G1689-H1689,IF(F1689="BUY",H1689-G1689)))*E1689</f>
        <v>2250</v>
      </c>
      <c r="L1689" s="51">
        <v>0</v>
      </c>
      <c r="M1689" s="52">
        <v>0</v>
      </c>
      <c r="N1689" s="2">
        <f t="shared" si="1572"/>
        <v>0.75</v>
      </c>
      <c r="O1689" s="2">
        <f t="shared" si="1588"/>
        <v>2250</v>
      </c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</row>
    <row r="1690" spans="1:33" s="14" customFormat="1" ht="15" customHeight="1">
      <c r="A1690" s="10">
        <v>43053</v>
      </c>
      <c r="B1690" s="3" t="s">
        <v>235</v>
      </c>
      <c r="C1690" s="15" t="s">
        <v>46</v>
      </c>
      <c r="D1690" s="15">
        <v>100</v>
      </c>
      <c r="E1690" s="11">
        <v>8000</v>
      </c>
      <c r="F1690" s="3" t="s">
        <v>8</v>
      </c>
      <c r="G1690" s="46">
        <v>4</v>
      </c>
      <c r="H1690" s="3">
        <v>4.5</v>
      </c>
      <c r="I1690" s="46">
        <v>5.5</v>
      </c>
      <c r="J1690" s="55">
        <v>6.5</v>
      </c>
      <c r="K1690" s="1">
        <f t="shared" ref="K1690" si="1637">(IF(F1690="SELL",G1690-H1690,IF(F1690="BUY",H1690-G1690)))*E1690</f>
        <v>4000</v>
      </c>
      <c r="L1690" s="51">
        <f t="shared" ref="L1690" si="1638">(IF(F1690="SELL",IF(I1690="",0,H1690-I1690),IF(F1690="BUY",IF(I1690="",0,I1690-H1690))))*E1690</f>
        <v>8000</v>
      </c>
      <c r="M1690" s="52">
        <f>(IF(F1690="SELL",IF(J1690="",0,I1690-J1690),IF(F1690="BUY",IF(J1690="",0,(J1690-I1690)))))*E1690</f>
        <v>8000</v>
      </c>
      <c r="N1690" s="2">
        <f t="shared" si="1572"/>
        <v>2.5</v>
      </c>
      <c r="O1690" s="2">
        <f t="shared" si="1588"/>
        <v>20000</v>
      </c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</row>
    <row r="1691" spans="1:33" s="14" customFormat="1" ht="15" customHeight="1">
      <c r="A1691" s="10">
        <v>43053</v>
      </c>
      <c r="B1691" s="3" t="s">
        <v>234</v>
      </c>
      <c r="C1691" s="15" t="s">
        <v>47</v>
      </c>
      <c r="D1691" s="15">
        <v>235</v>
      </c>
      <c r="E1691" s="11">
        <v>4500</v>
      </c>
      <c r="F1691" s="3" t="s">
        <v>8</v>
      </c>
      <c r="G1691" s="46">
        <v>7</v>
      </c>
      <c r="H1691" s="3">
        <v>7.5</v>
      </c>
      <c r="I1691" s="46">
        <v>9</v>
      </c>
      <c r="J1691" s="55">
        <v>10</v>
      </c>
      <c r="K1691" s="1">
        <f t="shared" ref="K1691" si="1639">(IF(F1691="SELL",G1691-H1691,IF(F1691="BUY",H1691-G1691)))*E1691</f>
        <v>2250</v>
      </c>
      <c r="L1691" s="51">
        <f t="shared" ref="L1691" si="1640">(IF(F1691="SELL",IF(I1691="",0,H1691-I1691),IF(F1691="BUY",IF(I1691="",0,I1691-H1691))))*E1691</f>
        <v>6750</v>
      </c>
      <c r="M1691" s="52">
        <f>(IF(F1691="SELL",IF(J1691="",0,I1691-J1691),IF(F1691="BUY",IF(J1691="",0,(J1691-I1691)))))*E1691</f>
        <v>4500</v>
      </c>
      <c r="N1691" s="2">
        <f t="shared" si="1572"/>
        <v>3</v>
      </c>
      <c r="O1691" s="2">
        <f t="shared" si="1588"/>
        <v>13500</v>
      </c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</row>
    <row r="1692" spans="1:33" s="14" customFormat="1" ht="15" customHeight="1">
      <c r="A1692" s="10">
        <v>43052</v>
      </c>
      <c r="B1692" s="3" t="s">
        <v>233</v>
      </c>
      <c r="C1692" s="15" t="s">
        <v>47</v>
      </c>
      <c r="D1692" s="15">
        <v>430</v>
      </c>
      <c r="E1692" s="11">
        <v>1250</v>
      </c>
      <c r="F1692" s="3" t="s">
        <v>8</v>
      </c>
      <c r="G1692" s="46">
        <v>11.5</v>
      </c>
      <c r="H1692" s="3">
        <v>13</v>
      </c>
      <c r="I1692" s="46">
        <v>16</v>
      </c>
      <c r="J1692" s="55">
        <v>19</v>
      </c>
      <c r="K1692" s="1">
        <f t="shared" ref="K1692" si="1641">(IF(F1692="SELL",G1692-H1692,IF(F1692="BUY",H1692-G1692)))*E1692</f>
        <v>1875</v>
      </c>
      <c r="L1692" s="51">
        <f t="shared" ref="L1692" si="1642">(IF(F1692="SELL",IF(I1692="",0,H1692-I1692),IF(F1692="BUY",IF(I1692="",0,I1692-H1692))))*E1692</f>
        <v>3750</v>
      </c>
      <c r="M1692" s="52">
        <f>(IF(F1692="SELL",IF(J1692="",0,I1692-J1692),IF(F1692="BUY",IF(J1692="",0,(J1692-I1692)))))*E1692</f>
        <v>3750</v>
      </c>
      <c r="N1692" s="2">
        <f t="shared" si="1572"/>
        <v>7.5</v>
      </c>
      <c r="O1692" s="2">
        <f t="shared" si="1588"/>
        <v>9375</v>
      </c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</row>
    <row r="1693" spans="1:33" s="14" customFormat="1" ht="15" customHeight="1">
      <c r="A1693" s="10">
        <v>43052</v>
      </c>
      <c r="B1693" s="3" t="s">
        <v>232</v>
      </c>
      <c r="C1693" s="15" t="s">
        <v>47</v>
      </c>
      <c r="D1693" s="15">
        <v>460</v>
      </c>
      <c r="E1693" s="11">
        <v>1300</v>
      </c>
      <c r="F1693" s="3" t="s">
        <v>8</v>
      </c>
      <c r="G1693" s="46">
        <v>16</v>
      </c>
      <c r="H1693" s="3">
        <v>17.5</v>
      </c>
      <c r="I1693" s="46">
        <v>0</v>
      </c>
      <c r="J1693" s="55">
        <v>0</v>
      </c>
      <c r="K1693" s="1">
        <f t="shared" ref="K1693" si="1643">(IF(F1693="SELL",G1693-H1693,IF(F1693="BUY",H1693-G1693)))*E1693</f>
        <v>1950</v>
      </c>
      <c r="L1693" s="51">
        <v>0</v>
      </c>
      <c r="M1693" s="52">
        <v>0</v>
      </c>
      <c r="N1693" s="2">
        <f t="shared" si="1572"/>
        <v>1.5</v>
      </c>
      <c r="O1693" s="2">
        <f t="shared" si="1588"/>
        <v>1950</v>
      </c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</row>
    <row r="1694" spans="1:33" s="14" customFormat="1" ht="15" customHeight="1">
      <c r="A1694" s="10">
        <v>43052</v>
      </c>
      <c r="B1694" s="3" t="s">
        <v>229</v>
      </c>
      <c r="C1694" s="15" t="s">
        <v>47</v>
      </c>
      <c r="D1694" s="15">
        <v>740</v>
      </c>
      <c r="E1694" s="11">
        <v>1500</v>
      </c>
      <c r="F1694" s="3" t="s">
        <v>8</v>
      </c>
      <c r="G1694" s="46">
        <v>20</v>
      </c>
      <c r="H1694" s="3">
        <v>21.55</v>
      </c>
      <c r="I1694" s="46">
        <v>0</v>
      </c>
      <c r="J1694" s="55">
        <v>0</v>
      </c>
      <c r="K1694" s="1">
        <f t="shared" ref="K1694" si="1644">(IF(F1694="SELL",G1694-H1694,IF(F1694="BUY",H1694-G1694)))*E1694</f>
        <v>2325.0000000000009</v>
      </c>
      <c r="L1694" s="51">
        <v>0</v>
      </c>
      <c r="M1694" s="52">
        <v>0</v>
      </c>
      <c r="N1694" s="2">
        <f t="shared" si="1572"/>
        <v>1.5500000000000007</v>
      </c>
      <c r="O1694" s="2">
        <f t="shared" si="1588"/>
        <v>2325.0000000000009</v>
      </c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</row>
    <row r="1695" spans="1:33" s="14" customFormat="1" ht="15" customHeight="1">
      <c r="A1695" s="10">
        <v>43049</v>
      </c>
      <c r="B1695" s="3" t="s">
        <v>156</v>
      </c>
      <c r="C1695" s="15" t="s">
        <v>47</v>
      </c>
      <c r="D1695" s="15">
        <v>530</v>
      </c>
      <c r="E1695" s="11">
        <v>2000</v>
      </c>
      <c r="F1695" s="3" t="s">
        <v>8</v>
      </c>
      <c r="G1695" s="46">
        <v>18</v>
      </c>
      <c r="H1695" s="3">
        <v>15</v>
      </c>
      <c r="I1695" s="46">
        <v>0</v>
      </c>
      <c r="J1695" s="55">
        <v>0</v>
      </c>
      <c r="K1695" s="1">
        <f t="shared" ref="K1695" si="1645">(IF(F1695="SELL",G1695-H1695,IF(F1695="BUY",H1695-G1695)))*E1695</f>
        <v>-6000</v>
      </c>
      <c r="L1695" s="51">
        <v>0</v>
      </c>
      <c r="M1695" s="52">
        <v>0</v>
      </c>
      <c r="N1695" s="2">
        <f t="shared" si="1572"/>
        <v>-3</v>
      </c>
      <c r="O1695" s="2">
        <f t="shared" si="1588"/>
        <v>-6000</v>
      </c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</row>
    <row r="1696" spans="1:33" s="14" customFormat="1" ht="15" customHeight="1">
      <c r="A1696" s="10">
        <v>43049</v>
      </c>
      <c r="B1696" s="3" t="s">
        <v>231</v>
      </c>
      <c r="C1696" s="15" t="s">
        <v>47</v>
      </c>
      <c r="D1696" s="15">
        <v>520</v>
      </c>
      <c r="E1696" s="11">
        <v>1200</v>
      </c>
      <c r="F1696" s="3" t="s">
        <v>8</v>
      </c>
      <c r="G1696" s="46">
        <v>16</v>
      </c>
      <c r="H1696" s="3">
        <v>21</v>
      </c>
      <c r="I1696" s="46">
        <v>0</v>
      </c>
      <c r="J1696" s="55">
        <v>0</v>
      </c>
      <c r="K1696" s="1">
        <f t="shared" ref="K1696" si="1646">(IF(F1696="SELL",G1696-H1696,IF(F1696="BUY",H1696-G1696)))*E1696</f>
        <v>6000</v>
      </c>
      <c r="L1696" s="51">
        <v>0</v>
      </c>
      <c r="M1696" s="52">
        <v>0</v>
      </c>
      <c r="N1696" s="2">
        <f t="shared" si="1572"/>
        <v>5</v>
      </c>
      <c r="O1696" s="2">
        <f t="shared" si="1588"/>
        <v>6000</v>
      </c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</row>
    <row r="1697" spans="1:33" s="14" customFormat="1" ht="15" customHeight="1">
      <c r="A1697" s="10">
        <v>43048</v>
      </c>
      <c r="B1697" s="3" t="s">
        <v>230</v>
      </c>
      <c r="C1697" s="15" t="s">
        <v>47</v>
      </c>
      <c r="D1697" s="15">
        <v>180</v>
      </c>
      <c r="E1697" s="11">
        <v>3000</v>
      </c>
      <c r="F1697" s="3" t="s">
        <v>8</v>
      </c>
      <c r="G1697" s="46">
        <v>6.25</v>
      </c>
      <c r="H1697" s="3">
        <v>0</v>
      </c>
      <c r="I1697" s="46">
        <v>0</v>
      </c>
      <c r="J1697" s="55">
        <v>0</v>
      </c>
      <c r="K1697" s="1">
        <v>0</v>
      </c>
      <c r="L1697" s="51">
        <v>0</v>
      </c>
      <c r="M1697" s="52">
        <v>0</v>
      </c>
      <c r="N1697" s="2">
        <f t="shared" si="1572"/>
        <v>0</v>
      </c>
      <c r="O1697" s="2">
        <f t="shared" si="1588"/>
        <v>0</v>
      </c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</row>
    <row r="1698" spans="1:33" s="14" customFormat="1" ht="15" customHeight="1">
      <c r="A1698" s="10">
        <v>43048</v>
      </c>
      <c r="B1698" s="3" t="s">
        <v>213</v>
      </c>
      <c r="C1698" s="15" t="s">
        <v>47</v>
      </c>
      <c r="D1698" s="15">
        <v>440</v>
      </c>
      <c r="E1698" s="11">
        <v>2000</v>
      </c>
      <c r="F1698" s="3" t="s">
        <v>8</v>
      </c>
      <c r="G1698" s="46">
        <v>10.7</v>
      </c>
      <c r="H1698" s="3">
        <v>12</v>
      </c>
      <c r="I1698" s="46">
        <v>15</v>
      </c>
      <c r="J1698" s="55">
        <v>17</v>
      </c>
      <c r="K1698" s="1">
        <f t="shared" ref="K1698" si="1647">(IF(F1698="SELL",G1698-H1698,IF(F1698="BUY",H1698-G1698)))*E1698</f>
        <v>2600.0000000000014</v>
      </c>
      <c r="L1698" s="51">
        <f t="shared" ref="L1698:L1699" si="1648">(IF(F1698="SELL",IF(I1698="",0,H1698-I1698),IF(F1698="BUY",IF(I1698="",0,I1698-H1698))))*E1698</f>
        <v>6000</v>
      </c>
      <c r="M1698" s="52">
        <f>(IF(F1698="SELL",IF(J1698="",0,I1698-J1698),IF(F1698="BUY",IF(J1698="",0,(J1698-I1698)))))*E1698</f>
        <v>4000</v>
      </c>
      <c r="N1698" s="2">
        <f t="shared" si="1572"/>
        <v>6.3000000000000007</v>
      </c>
      <c r="O1698" s="2">
        <f t="shared" si="1588"/>
        <v>12600.000000000002</v>
      </c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</row>
    <row r="1699" spans="1:33" s="14" customFormat="1" ht="15" customHeight="1">
      <c r="A1699" s="10">
        <v>43048</v>
      </c>
      <c r="B1699" s="3" t="s">
        <v>161</v>
      </c>
      <c r="C1699" s="15" t="s">
        <v>47</v>
      </c>
      <c r="D1699" s="15">
        <v>450</v>
      </c>
      <c r="E1699" s="11">
        <v>1500</v>
      </c>
      <c r="F1699" s="3" t="s">
        <v>8</v>
      </c>
      <c r="G1699" s="46">
        <v>11.5</v>
      </c>
      <c r="H1699" s="3">
        <v>12.5</v>
      </c>
      <c r="I1699" s="46">
        <v>14</v>
      </c>
      <c r="J1699" s="55">
        <v>16</v>
      </c>
      <c r="K1699" s="1">
        <f t="shared" ref="K1699" si="1649">(IF(F1699="SELL",G1699-H1699,IF(F1699="BUY",H1699-G1699)))*E1699</f>
        <v>1500</v>
      </c>
      <c r="L1699" s="51">
        <f t="shared" si="1648"/>
        <v>2250</v>
      </c>
      <c r="M1699" s="52">
        <f>(IF(F1699="SELL",IF(J1699="",0,I1699-J1699),IF(F1699="BUY",IF(J1699="",0,(J1699-I1699)))))*E1699</f>
        <v>3000</v>
      </c>
      <c r="N1699" s="2">
        <f t="shared" si="1572"/>
        <v>4.5</v>
      </c>
      <c r="O1699" s="2">
        <f t="shared" si="1588"/>
        <v>6750</v>
      </c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</row>
    <row r="1700" spans="1:33" s="14" customFormat="1" ht="15" customHeight="1">
      <c r="A1700" s="10">
        <v>43048</v>
      </c>
      <c r="B1700" s="3" t="s">
        <v>229</v>
      </c>
      <c r="C1700" s="15" t="s">
        <v>47</v>
      </c>
      <c r="D1700" s="15">
        <v>730</v>
      </c>
      <c r="E1700" s="11">
        <v>1500</v>
      </c>
      <c r="F1700" s="3" t="s">
        <v>8</v>
      </c>
      <c r="G1700" s="46">
        <v>23</v>
      </c>
      <c r="H1700" s="3">
        <v>25</v>
      </c>
      <c r="I1700" s="46">
        <v>0</v>
      </c>
      <c r="J1700" s="55">
        <v>0</v>
      </c>
      <c r="K1700" s="1">
        <f t="shared" ref="K1700" si="1650">(IF(F1700="SELL",G1700-H1700,IF(F1700="BUY",H1700-G1700)))*E1700</f>
        <v>3000</v>
      </c>
      <c r="L1700" s="51">
        <v>0</v>
      </c>
      <c r="M1700" s="52">
        <v>0</v>
      </c>
      <c r="N1700" s="2">
        <f t="shared" si="1572"/>
        <v>2</v>
      </c>
      <c r="O1700" s="2">
        <f t="shared" si="1588"/>
        <v>3000</v>
      </c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</row>
    <row r="1701" spans="1:33" s="14" customFormat="1" ht="15" customHeight="1">
      <c r="A1701" s="10">
        <v>43047</v>
      </c>
      <c r="B1701" s="3" t="s">
        <v>228</v>
      </c>
      <c r="C1701" s="15" t="s">
        <v>47</v>
      </c>
      <c r="D1701" s="15">
        <v>520</v>
      </c>
      <c r="E1701" s="11">
        <v>2000</v>
      </c>
      <c r="F1701" s="3" t="s">
        <v>8</v>
      </c>
      <c r="G1701" s="46">
        <v>16.5</v>
      </c>
      <c r="H1701" s="3">
        <v>17.5</v>
      </c>
      <c r="I1701" s="46">
        <v>0</v>
      </c>
      <c r="J1701" s="55">
        <v>0</v>
      </c>
      <c r="K1701" s="1">
        <f t="shared" ref="K1701" si="1651">(IF(F1701="SELL",G1701-H1701,IF(F1701="BUY",H1701-G1701)))*E1701</f>
        <v>2000</v>
      </c>
      <c r="L1701" s="51">
        <v>0</v>
      </c>
      <c r="M1701" s="52">
        <v>0</v>
      </c>
      <c r="N1701" s="2">
        <f t="shared" si="1572"/>
        <v>1</v>
      </c>
      <c r="O1701" s="2">
        <f t="shared" si="1588"/>
        <v>2000</v>
      </c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</row>
    <row r="1702" spans="1:33" s="14" customFormat="1" ht="15" customHeight="1">
      <c r="A1702" s="10">
        <v>43047</v>
      </c>
      <c r="B1702" s="3" t="s">
        <v>161</v>
      </c>
      <c r="C1702" s="15" t="s">
        <v>47</v>
      </c>
      <c r="D1702" s="15">
        <v>470</v>
      </c>
      <c r="E1702" s="11">
        <v>1500</v>
      </c>
      <c r="F1702" s="3" t="s">
        <v>8</v>
      </c>
      <c r="G1702" s="46">
        <v>16.5</v>
      </c>
      <c r="H1702" s="3">
        <v>17.45</v>
      </c>
      <c r="I1702" s="46">
        <v>0</v>
      </c>
      <c r="J1702" s="55">
        <v>0</v>
      </c>
      <c r="K1702" s="1">
        <f t="shared" ref="K1702" si="1652">(IF(F1702="SELL",G1702-H1702,IF(F1702="BUY",H1702-G1702)))*E1702</f>
        <v>1424.9999999999989</v>
      </c>
      <c r="L1702" s="51">
        <v>0</v>
      </c>
      <c r="M1702" s="52">
        <v>0</v>
      </c>
      <c r="N1702" s="2">
        <f t="shared" ref="N1702:N1755" si="1653">(L1702+K1702+M1702)/E1702</f>
        <v>0.94999999999999929</v>
      </c>
      <c r="O1702" s="2">
        <f t="shared" si="1588"/>
        <v>1424.9999999999989</v>
      </c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</row>
    <row r="1703" spans="1:33" s="14" customFormat="1" ht="15" customHeight="1">
      <c r="A1703" s="10">
        <v>43047</v>
      </c>
      <c r="B1703" s="3" t="s">
        <v>192</v>
      </c>
      <c r="C1703" s="15" t="s">
        <v>47</v>
      </c>
      <c r="D1703" s="15">
        <v>1000</v>
      </c>
      <c r="E1703" s="11">
        <v>550</v>
      </c>
      <c r="F1703" s="3" t="s">
        <v>8</v>
      </c>
      <c r="G1703" s="46">
        <v>29</v>
      </c>
      <c r="H1703" s="3">
        <v>32</v>
      </c>
      <c r="I1703" s="46">
        <v>0</v>
      </c>
      <c r="J1703" s="55">
        <v>0</v>
      </c>
      <c r="K1703" s="1">
        <f t="shared" ref="K1703" si="1654">(IF(F1703="SELL",G1703-H1703,IF(F1703="BUY",H1703-G1703)))*E1703</f>
        <v>1650</v>
      </c>
      <c r="L1703" s="51">
        <v>0</v>
      </c>
      <c r="M1703" s="52">
        <v>0</v>
      </c>
      <c r="N1703" s="2">
        <f t="shared" si="1653"/>
        <v>3</v>
      </c>
      <c r="O1703" s="2">
        <f t="shared" si="1588"/>
        <v>1650</v>
      </c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</row>
    <row r="1704" spans="1:33" s="14" customFormat="1" ht="15" customHeight="1">
      <c r="A1704" s="10">
        <v>43047</v>
      </c>
      <c r="B1704" s="3" t="s">
        <v>224</v>
      </c>
      <c r="C1704" s="15" t="s">
        <v>47</v>
      </c>
      <c r="D1704" s="15">
        <v>290</v>
      </c>
      <c r="E1704" s="11">
        <v>3000</v>
      </c>
      <c r="F1704" s="3" t="s">
        <v>8</v>
      </c>
      <c r="G1704" s="46">
        <v>10.9</v>
      </c>
      <c r="H1704" s="3">
        <v>9</v>
      </c>
      <c r="I1704" s="46">
        <v>0</v>
      </c>
      <c r="J1704" s="55">
        <v>0</v>
      </c>
      <c r="K1704" s="1">
        <f t="shared" ref="K1704" si="1655">(IF(F1704="SELL",G1704-H1704,IF(F1704="BUY",H1704-G1704)))*E1704</f>
        <v>-5700.0000000000009</v>
      </c>
      <c r="L1704" s="51">
        <v>0</v>
      </c>
      <c r="M1704" s="52">
        <v>0</v>
      </c>
      <c r="N1704" s="2">
        <f t="shared" si="1653"/>
        <v>-1.9000000000000004</v>
      </c>
      <c r="O1704" s="2">
        <f t="shared" si="1588"/>
        <v>-5700.0000000000009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</row>
    <row r="1705" spans="1:33" s="14" customFormat="1" ht="15" customHeight="1">
      <c r="A1705" s="10">
        <v>43046</v>
      </c>
      <c r="B1705" s="3" t="s">
        <v>196</v>
      </c>
      <c r="C1705" s="15" t="s">
        <v>47</v>
      </c>
      <c r="D1705" s="15">
        <v>480</v>
      </c>
      <c r="E1705" s="11">
        <v>1100</v>
      </c>
      <c r="F1705" s="3" t="s">
        <v>8</v>
      </c>
      <c r="G1705" s="46">
        <v>10.3</v>
      </c>
      <c r="H1705" s="3">
        <v>12</v>
      </c>
      <c r="I1705" s="46">
        <v>13.9</v>
      </c>
      <c r="J1705" s="55">
        <v>0</v>
      </c>
      <c r="K1705" s="1">
        <f t="shared" ref="K1705" si="1656">(IF(F1705="SELL",G1705-H1705,IF(F1705="BUY",H1705-G1705)))*E1705</f>
        <v>1869.9999999999993</v>
      </c>
      <c r="L1705" s="51">
        <f t="shared" ref="L1705" si="1657">(IF(F1705="SELL",IF(I1705="",0,H1705-I1705),IF(F1705="BUY",IF(I1705="",0,I1705-H1705))))*E1705</f>
        <v>2090.0000000000005</v>
      </c>
      <c r="M1705" s="52">
        <v>0</v>
      </c>
      <c r="N1705" s="2">
        <f t="shared" si="1653"/>
        <v>3.6</v>
      </c>
      <c r="O1705" s="2">
        <f t="shared" si="1588"/>
        <v>3960</v>
      </c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</row>
    <row r="1706" spans="1:33" s="14" customFormat="1" ht="15" customHeight="1">
      <c r="A1706" s="10">
        <v>43046</v>
      </c>
      <c r="B1706" s="3" t="s">
        <v>167</v>
      </c>
      <c r="C1706" s="15" t="s">
        <v>47</v>
      </c>
      <c r="D1706" s="15">
        <v>1000</v>
      </c>
      <c r="E1706" s="11">
        <v>1000</v>
      </c>
      <c r="F1706" s="3" t="s">
        <v>8</v>
      </c>
      <c r="G1706" s="46">
        <v>25</v>
      </c>
      <c r="H1706" s="3">
        <v>27</v>
      </c>
      <c r="I1706" s="46">
        <v>0</v>
      </c>
      <c r="J1706" s="55">
        <v>0</v>
      </c>
      <c r="K1706" s="1">
        <f t="shared" ref="K1706" si="1658">(IF(F1706="SELL",G1706-H1706,IF(F1706="BUY",H1706-G1706)))*E1706</f>
        <v>2000</v>
      </c>
      <c r="L1706" s="51">
        <v>0</v>
      </c>
      <c r="M1706" s="52">
        <v>0</v>
      </c>
      <c r="N1706" s="2">
        <f t="shared" si="1653"/>
        <v>2</v>
      </c>
      <c r="O1706" s="2">
        <f t="shared" si="1588"/>
        <v>2000</v>
      </c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</row>
    <row r="1707" spans="1:33" s="14" customFormat="1" ht="15" customHeight="1">
      <c r="A1707" s="10">
        <v>43046</v>
      </c>
      <c r="B1707" s="3" t="s">
        <v>156</v>
      </c>
      <c r="C1707" s="15" t="s">
        <v>47</v>
      </c>
      <c r="D1707" s="15">
        <v>520</v>
      </c>
      <c r="E1707" s="11">
        <v>2000</v>
      </c>
      <c r="F1707" s="3" t="s">
        <v>8</v>
      </c>
      <c r="G1707" s="46">
        <v>13</v>
      </c>
      <c r="H1707" s="3">
        <v>14</v>
      </c>
      <c r="I1707" s="46">
        <v>15.4</v>
      </c>
      <c r="J1707" s="55">
        <v>0</v>
      </c>
      <c r="K1707" s="1">
        <f t="shared" ref="K1707" si="1659">(IF(F1707="SELL",G1707-H1707,IF(F1707="BUY",H1707-G1707)))*E1707</f>
        <v>2000</v>
      </c>
      <c r="L1707" s="51">
        <f t="shared" ref="L1707" si="1660">(IF(F1707="SELL",IF(I1707="",0,H1707-I1707),IF(F1707="BUY",IF(I1707="",0,I1707-H1707))))*E1707</f>
        <v>2800.0000000000009</v>
      </c>
      <c r="M1707" s="52">
        <v>0</v>
      </c>
      <c r="N1707" s="2">
        <f t="shared" si="1653"/>
        <v>2.4000000000000004</v>
      </c>
      <c r="O1707" s="2">
        <f t="shared" si="1588"/>
        <v>4800.0000000000009</v>
      </c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</row>
    <row r="1708" spans="1:33" s="14" customFormat="1" ht="15" customHeight="1">
      <c r="A1708" s="10">
        <v>43046</v>
      </c>
      <c r="B1708" s="3" t="s">
        <v>227</v>
      </c>
      <c r="C1708" s="15" t="s">
        <v>47</v>
      </c>
      <c r="D1708" s="15">
        <v>390</v>
      </c>
      <c r="E1708" s="11">
        <v>3750</v>
      </c>
      <c r="F1708" s="3" t="s">
        <v>8</v>
      </c>
      <c r="G1708" s="46">
        <v>7.5</v>
      </c>
      <c r="H1708" s="3">
        <v>8</v>
      </c>
      <c r="I1708" s="46">
        <v>0</v>
      </c>
      <c r="J1708" s="55">
        <v>0</v>
      </c>
      <c r="K1708" s="1">
        <f t="shared" ref="K1708" si="1661">(IF(F1708="SELL",G1708-H1708,IF(F1708="BUY",H1708-G1708)))*E1708</f>
        <v>1875</v>
      </c>
      <c r="L1708" s="51">
        <v>0</v>
      </c>
      <c r="M1708" s="52">
        <v>0</v>
      </c>
      <c r="N1708" s="2">
        <f t="shared" si="1653"/>
        <v>0.5</v>
      </c>
      <c r="O1708" s="2">
        <f t="shared" si="1588"/>
        <v>1875</v>
      </c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</row>
    <row r="1709" spans="1:33" s="14" customFormat="1" ht="15" customHeight="1">
      <c r="A1709" s="10">
        <v>43046</v>
      </c>
      <c r="B1709" s="3" t="s">
        <v>214</v>
      </c>
      <c r="C1709" s="15" t="s">
        <v>47</v>
      </c>
      <c r="D1709" s="15">
        <v>480</v>
      </c>
      <c r="E1709" s="11">
        <v>2000</v>
      </c>
      <c r="F1709" s="3" t="s">
        <v>8</v>
      </c>
      <c r="G1709" s="46">
        <v>13.5</v>
      </c>
      <c r="H1709" s="3">
        <v>15</v>
      </c>
      <c r="I1709" s="46">
        <v>0</v>
      </c>
      <c r="J1709" s="55">
        <v>0</v>
      </c>
      <c r="K1709" s="1">
        <f t="shared" ref="K1709" si="1662">(IF(F1709="SELL",G1709-H1709,IF(F1709="BUY",H1709-G1709)))*E1709</f>
        <v>3000</v>
      </c>
      <c r="L1709" s="51">
        <v>0</v>
      </c>
      <c r="M1709" s="52">
        <v>0</v>
      </c>
      <c r="N1709" s="2">
        <f t="shared" si="1653"/>
        <v>1.5</v>
      </c>
      <c r="O1709" s="2">
        <f t="shared" si="1588"/>
        <v>3000</v>
      </c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</row>
    <row r="1710" spans="1:33" s="14" customFormat="1" ht="15" customHeight="1">
      <c r="A1710" s="10">
        <v>43045</v>
      </c>
      <c r="B1710" s="3" t="s">
        <v>169</v>
      </c>
      <c r="C1710" s="15" t="s">
        <v>47</v>
      </c>
      <c r="D1710" s="15">
        <v>920</v>
      </c>
      <c r="E1710" s="11">
        <v>1000</v>
      </c>
      <c r="F1710" s="3" t="s">
        <v>8</v>
      </c>
      <c r="G1710" s="46">
        <v>31</v>
      </c>
      <c r="H1710" s="3">
        <v>33</v>
      </c>
      <c r="I1710" s="46">
        <v>35</v>
      </c>
      <c r="J1710" s="55">
        <v>39.1</v>
      </c>
      <c r="K1710" s="1">
        <f t="shared" ref="K1710" si="1663">(IF(F1710="SELL",G1710-H1710,IF(F1710="BUY",H1710-G1710)))*E1710</f>
        <v>2000</v>
      </c>
      <c r="L1710" s="51">
        <f t="shared" ref="L1710" si="1664">(IF(F1710="SELL",IF(I1710="",0,H1710-I1710),IF(F1710="BUY",IF(I1710="",0,I1710-H1710))))*E1710</f>
        <v>2000</v>
      </c>
      <c r="M1710" s="52">
        <f>(IF(F1710="SELL",IF(J1710="",0,I1710-J1710),IF(F1710="BUY",IF(J1710="",0,(J1710-I1710)))))*E1710</f>
        <v>4100.0000000000018</v>
      </c>
      <c r="N1710" s="2">
        <f t="shared" si="1653"/>
        <v>8.1000000000000014</v>
      </c>
      <c r="O1710" s="2">
        <f t="shared" si="1588"/>
        <v>8100.0000000000018</v>
      </c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</row>
    <row r="1711" spans="1:33" s="14" customFormat="1" ht="15" customHeight="1">
      <c r="A1711" s="10">
        <v>43042</v>
      </c>
      <c r="B1711" s="3" t="s">
        <v>169</v>
      </c>
      <c r="C1711" s="15" t="s">
        <v>47</v>
      </c>
      <c r="D1711" s="15">
        <v>880</v>
      </c>
      <c r="E1711" s="11">
        <v>1000</v>
      </c>
      <c r="F1711" s="3" t="s">
        <v>8</v>
      </c>
      <c r="G1711" s="46">
        <v>38</v>
      </c>
      <c r="H1711" s="3">
        <v>40</v>
      </c>
      <c r="I1711" s="46">
        <v>43</v>
      </c>
      <c r="J1711" s="55">
        <v>0</v>
      </c>
      <c r="K1711" s="1">
        <f t="shared" ref="K1711" si="1665">(IF(F1711="SELL",G1711-H1711,IF(F1711="BUY",H1711-G1711)))*E1711</f>
        <v>2000</v>
      </c>
      <c r="L1711" s="51">
        <f t="shared" ref="L1711" si="1666">(IF(F1711="SELL",IF(I1711="",0,H1711-I1711),IF(F1711="BUY",IF(I1711="",0,I1711-H1711))))*E1711</f>
        <v>3000</v>
      </c>
      <c r="M1711" s="52">
        <v>0</v>
      </c>
      <c r="N1711" s="2">
        <f t="shared" si="1653"/>
        <v>5</v>
      </c>
      <c r="O1711" s="2">
        <f t="shared" si="1588"/>
        <v>5000</v>
      </c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</row>
    <row r="1712" spans="1:33" s="14" customFormat="1" ht="15" customHeight="1">
      <c r="A1712" s="10">
        <v>43042</v>
      </c>
      <c r="B1712" s="3" t="s">
        <v>144</v>
      </c>
      <c r="C1712" s="15" t="s">
        <v>47</v>
      </c>
      <c r="D1712" s="15">
        <v>570</v>
      </c>
      <c r="E1712" s="11">
        <v>1700</v>
      </c>
      <c r="F1712" s="3" t="s">
        <v>8</v>
      </c>
      <c r="G1712" s="46">
        <v>17</v>
      </c>
      <c r="H1712" s="3">
        <v>20</v>
      </c>
      <c r="I1712" s="46">
        <v>0</v>
      </c>
      <c r="J1712" s="55">
        <v>0</v>
      </c>
      <c r="K1712" s="1">
        <f t="shared" ref="K1712" si="1667">(IF(F1712="SELL",G1712-H1712,IF(F1712="BUY",H1712-G1712)))*E1712</f>
        <v>5100</v>
      </c>
      <c r="L1712" s="51">
        <v>0</v>
      </c>
      <c r="M1712" s="52">
        <v>0</v>
      </c>
      <c r="N1712" s="2">
        <f t="shared" si="1653"/>
        <v>3</v>
      </c>
      <c r="O1712" s="2">
        <f t="shared" si="1588"/>
        <v>5100</v>
      </c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</row>
    <row r="1713" spans="1:33" s="14" customFormat="1" ht="15" customHeight="1">
      <c r="A1713" s="10">
        <v>43041</v>
      </c>
      <c r="B1713" s="3" t="s">
        <v>226</v>
      </c>
      <c r="C1713" s="15" t="s">
        <v>47</v>
      </c>
      <c r="D1713" s="15">
        <v>660</v>
      </c>
      <c r="E1713" s="11">
        <v>700</v>
      </c>
      <c r="F1713" s="3" t="s">
        <v>8</v>
      </c>
      <c r="G1713" s="46">
        <v>25</v>
      </c>
      <c r="H1713" s="3">
        <v>27</v>
      </c>
      <c r="I1713" s="46">
        <v>31</v>
      </c>
      <c r="J1713" s="55">
        <v>0</v>
      </c>
      <c r="K1713" s="1">
        <f t="shared" ref="K1713:K1714" si="1668">(IF(F1713="SELL",G1713-H1713,IF(F1713="BUY",H1713-G1713)))*E1713</f>
        <v>1400</v>
      </c>
      <c r="L1713" s="51">
        <f t="shared" ref="L1713:L1714" si="1669">(IF(F1713="SELL",IF(I1713="",0,H1713-I1713),IF(F1713="BUY",IF(I1713="",0,I1713-H1713))))*E1713</f>
        <v>2800</v>
      </c>
      <c r="M1713" s="52">
        <v>0</v>
      </c>
      <c r="N1713" s="2">
        <f t="shared" si="1653"/>
        <v>6</v>
      </c>
      <c r="O1713" s="2">
        <f t="shared" ref="O1713:O1776" si="1670">N1713*E1713</f>
        <v>4200</v>
      </c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</row>
    <row r="1714" spans="1:33" s="14" customFormat="1" ht="15" customHeight="1">
      <c r="A1714" s="10">
        <v>43041</v>
      </c>
      <c r="B1714" s="3" t="s">
        <v>225</v>
      </c>
      <c r="C1714" s="15" t="s">
        <v>47</v>
      </c>
      <c r="D1714" s="15">
        <v>800</v>
      </c>
      <c r="E1714" s="11">
        <v>800</v>
      </c>
      <c r="F1714" s="3" t="s">
        <v>8</v>
      </c>
      <c r="G1714" s="46">
        <v>25.5</v>
      </c>
      <c r="H1714" s="3">
        <v>27.5</v>
      </c>
      <c r="I1714" s="46">
        <v>32</v>
      </c>
      <c r="J1714" s="55">
        <v>36</v>
      </c>
      <c r="K1714" s="1">
        <f t="shared" si="1668"/>
        <v>1600</v>
      </c>
      <c r="L1714" s="51">
        <f t="shared" si="1669"/>
        <v>3600</v>
      </c>
      <c r="M1714" s="52">
        <f>(IF(F1714="SELL",IF(J1714="",0,I1714-J1714),IF(F1714="BUY",IF(J1714="",0,(J1714-I1714)))))*E1714</f>
        <v>3200</v>
      </c>
      <c r="N1714" s="2">
        <f t="shared" si="1653"/>
        <v>10.5</v>
      </c>
      <c r="O1714" s="2">
        <f t="shared" si="1670"/>
        <v>8400</v>
      </c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</row>
    <row r="1715" spans="1:33" s="14" customFormat="1" ht="15" customHeight="1">
      <c r="A1715" s="10">
        <v>43040</v>
      </c>
      <c r="B1715" s="3" t="s">
        <v>224</v>
      </c>
      <c r="C1715" s="15" t="s">
        <v>47</v>
      </c>
      <c r="D1715" s="15">
        <v>290</v>
      </c>
      <c r="E1715" s="11">
        <v>3000</v>
      </c>
      <c r="F1715" s="3" t="s">
        <v>8</v>
      </c>
      <c r="G1715" s="46">
        <v>10.9</v>
      </c>
      <c r="H1715" s="3">
        <v>9</v>
      </c>
      <c r="I1715" s="46">
        <v>0</v>
      </c>
      <c r="J1715" s="55">
        <v>0</v>
      </c>
      <c r="K1715" s="1">
        <f t="shared" ref="K1715:K1716" si="1671">(IF(F1715="SELL",G1715-H1715,IF(F1715="BUY",H1715-G1715)))*E1715</f>
        <v>-5700.0000000000009</v>
      </c>
      <c r="L1715" s="51">
        <v>0</v>
      </c>
      <c r="M1715" s="52">
        <v>0</v>
      </c>
      <c r="N1715" s="2">
        <f t="shared" si="1653"/>
        <v>-1.9000000000000004</v>
      </c>
      <c r="O1715" s="2">
        <f t="shared" si="1670"/>
        <v>-5700.0000000000009</v>
      </c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</row>
    <row r="1716" spans="1:33" s="14" customFormat="1" ht="15" customHeight="1">
      <c r="A1716" s="10">
        <v>43040</v>
      </c>
      <c r="B1716" s="3" t="s">
        <v>21</v>
      </c>
      <c r="C1716" s="15" t="s">
        <v>47</v>
      </c>
      <c r="D1716" s="15">
        <v>320</v>
      </c>
      <c r="E1716" s="11">
        <v>3000</v>
      </c>
      <c r="F1716" s="3" t="s">
        <v>8</v>
      </c>
      <c r="G1716" s="46">
        <v>10</v>
      </c>
      <c r="H1716" s="3">
        <v>10.5</v>
      </c>
      <c r="I1716" s="46">
        <v>11</v>
      </c>
      <c r="J1716" s="55">
        <v>0</v>
      </c>
      <c r="K1716" s="1">
        <f t="shared" si="1671"/>
        <v>1500</v>
      </c>
      <c r="L1716" s="51">
        <f t="shared" ref="L1716" si="1672">(IF(F1716="SELL",IF(I1716="",0,H1716-I1716),IF(F1716="BUY",IF(I1716="",0,I1716-H1716))))*E1716</f>
        <v>1500</v>
      </c>
      <c r="M1716" s="52">
        <v>0</v>
      </c>
      <c r="N1716" s="2">
        <f t="shared" si="1653"/>
        <v>1</v>
      </c>
      <c r="O1716" s="2">
        <f t="shared" si="1670"/>
        <v>3000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</row>
    <row r="1717" spans="1:33" s="14" customFormat="1" ht="15" customHeight="1">
      <c r="A1717" s="10">
        <v>43040</v>
      </c>
      <c r="B1717" s="3" t="s">
        <v>208</v>
      </c>
      <c r="C1717" s="15" t="s">
        <v>47</v>
      </c>
      <c r="D1717" s="15">
        <v>940</v>
      </c>
      <c r="E1717" s="11">
        <v>800</v>
      </c>
      <c r="F1717" s="3" t="s">
        <v>8</v>
      </c>
      <c r="G1717" s="46">
        <v>25</v>
      </c>
      <c r="H1717" s="3">
        <v>30</v>
      </c>
      <c r="I1717" s="46">
        <v>35</v>
      </c>
      <c r="J1717" s="55">
        <v>0</v>
      </c>
      <c r="K1717" s="1">
        <f t="shared" ref="K1717" si="1673">(IF(F1717="SELL",G1717-H1717,IF(F1717="BUY",H1717-G1717)))*E1717</f>
        <v>4000</v>
      </c>
      <c r="L1717" s="51">
        <f t="shared" ref="L1717" si="1674">(IF(F1717="SELL",IF(I1717="",0,H1717-I1717),IF(F1717="BUY",IF(I1717="",0,I1717-H1717))))*E1717</f>
        <v>4000</v>
      </c>
      <c r="M1717" s="52">
        <v>0</v>
      </c>
      <c r="N1717" s="2">
        <f t="shared" si="1653"/>
        <v>10</v>
      </c>
      <c r="O1717" s="2">
        <f t="shared" si="1670"/>
        <v>8000</v>
      </c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</row>
    <row r="1718" spans="1:33" s="14" customFormat="1" ht="15" customHeight="1">
      <c r="A1718" s="10">
        <v>43039</v>
      </c>
      <c r="B1718" s="3" t="s">
        <v>135</v>
      </c>
      <c r="C1718" s="15" t="s">
        <v>47</v>
      </c>
      <c r="D1718" s="15">
        <v>1260</v>
      </c>
      <c r="E1718" s="11">
        <v>750</v>
      </c>
      <c r="F1718" s="3" t="s">
        <v>8</v>
      </c>
      <c r="G1718" s="46">
        <v>25</v>
      </c>
      <c r="H1718" s="3">
        <v>27</v>
      </c>
      <c r="I1718" s="46">
        <v>30</v>
      </c>
      <c r="J1718" s="55">
        <v>0</v>
      </c>
      <c r="K1718" s="1">
        <f t="shared" ref="K1718" si="1675">(IF(F1718="SELL",G1718-H1718,IF(F1718="BUY",H1718-G1718)))*E1718</f>
        <v>1500</v>
      </c>
      <c r="L1718" s="51">
        <f t="shared" ref="L1718" si="1676">(IF(F1718="SELL",IF(I1718="",0,H1718-I1718),IF(F1718="BUY",IF(I1718="",0,I1718-H1718))))*E1718</f>
        <v>2250</v>
      </c>
      <c r="M1718" s="52">
        <v>0</v>
      </c>
      <c r="N1718" s="2">
        <f t="shared" si="1653"/>
        <v>5</v>
      </c>
      <c r="O1718" s="2">
        <f t="shared" si="1670"/>
        <v>3750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</row>
    <row r="1719" spans="1:33" s="14" customFormat="1" ht="15" customHeight="1">
      <c r="A1719" s="10">
        <v>43039</v>
      </c>
      <c r="B1719" s="3" t="s">
        <v>223</v>
      </c>
      <c r="C1719" s="15" t="s">
        <v>47</v>
      </c>
      <c r="D1719" s="15">
        <v>720</v>
      </c>
      <c r="E1719" s="11">
        <v>600</v>
      </c>
      <c r="F1719" s="3" t="s">
        <v>8</v>
      </c>
      <c r="G1719" s="46">
        <v>13.5</v>
      </c>
      <c r="H1719" s="3">
        <v>16</v>
      </c>
      <c r="I1719" s="46">
        <v>20</v>
      </c>
      <c r="J1719" s="55">
        <v>24</v>
      </c>
      <c r="K1719" s="1">
        <f t="shared" ref="K1719" si="1677">(IF(F1719="SELL",G1719-H1719,IF(F1719="BUY",H1719-G1719)))*E1719</f>
        <v>1500</v>
      </c>
      <c r="L1719" s="51">
        <f t="shared" ref="L1719" si="1678">(IF(F1719="SELL",IF(I1719="",0,H1719-I1719),IF(F1719="BUY",IF(I1719="",0,I1719-H1719))))*E1719</f>
        <v>2400</v>
      </c>
      <c r="M1719" s="52">
        <f>(IF(F1719="SELL",IF(J1719="",0,I1719-J1719),IF(F1719="BUY",IF(J1719="",0,(J1719-I1719)))))*E1719</f>
        <v>2400</v>
      </c>
      <c r="N1719" s="2">
        <f t="shared" si="1653"/>
        <v>10.5</v>
      </c>
      <c r="O1719" s="2">
        <f t="shared" si="1670"/>
        <v>6300</v>
      </c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</row>
    <row r="1720" spans="1:33" s="14" customFormat="1" ht="15" customHeight="1">
      <c r="A1720" s="10">
        <v>43039</v>
      </c>
      <c r="B1720" s="3" t="s">
        <v>222</v>
      </c>
      <c r="C1720" s="15" t="s">
        <v>47</v>
      </c>
      <c r="D1720" s="15">
        <v>1300</v>
      </c>
      <c r="E1720" s="11">
        <v>500</v>
      </c>
      <c r="F1720" s="3" t="s">
        <v>8</v>
      </c>
      <c r="G1720" s="46">
        <v>32</v>
      </c>
      <c r="H1720" s="3">
        <v>36</v>
      </c>
      <c r="I1720" s="46">
        <v>42</v>
      </c>
      <c r="J1720" s="55">
        <v>0</v>
      </c>
      <c r="K1720" s="1">
        <f t="shared" ref="K1720:K1721" si="1679">(IF(F1720="SELL",G1720-H1720,IF(F1720="BUY",H1720-G1720)))*E1720</f>
        <v>2000</v>
      </c>
      <c r="L1720" s="51">
        <f t="shared" ref="L1720" si="1680">(IF(F1720="SELL",IF(I1720="",0,H1720-I1720),IF(F1720="BUY",IF(I1720="",0,I1720-H1720))))*E1720</f>
        <v>3000</v>
      </c>
      <c r="M1720" s="52">
        <v>0</v>
      </c>
      <c r="N1720" s="2">
        <f t="shared" si="1653"/>
        <v>10</v>
      </c>
      <c r="O1720" s="2">
        <f t="shared" si="1670"/>
        <v>5000</v>
      </c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</row>
    <row r="1721" spans="1:33" s="14" customFormat="1" ht="15" customHeight="1">
      <c r="A1721" s="10">
        <v>43038</v>
      </c>
      <c r="B1721" s="3" t="s">
        <v>151</v>
      </c>
      <c r="C1721" s="15" t="s">
        <v>47</v>
      </c>
      <c r="D1721" s="15">
        <v>630</v>
      </c>
      <c r="E1721" s="11">
        <v>1100</v>
      </c>
      <c r="F1721" s="3" t="s">
        <v>8</v>
      </c>
      <c r="G1721" s="46">
        <v>21.5</v>
      </c>
      <c r="H1721" s="3">
        <v>17.5</v>
      </c>
      <c r="I1721" s="46">
        <v>0</v>
      </c>
      <c r="J1721" s="55">
        <v>0</v>
      </c>
      <c r="K1721" s="1">
        <f t="shared" si="1679"/>
        <v>-4400</v>
      </c>
      <c r="L1721" s="51">
        <v>0</v>
      </c>
      <c r="M1721" s="52">
        <v>0</v>
      </c>
      <c r="N1721" s="2">
        <f t="shared" si="1653"/>
        <v>-4</v>
      </c>
      <c r="O1721" s="2">
        <f t="shared" si="1670"/>
        <v>-4400</v>
      </c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</row>
    <row r="1722" spans="1:33" s="14" customFormat="1" ht="15" customHeight="1">
      <c r="A1722" s="10">
        <v>43038</v>
      </c>
      <c r="B1722" s="3" t="s">
        <v>221</v>
      </c>
      <c r="C1722" s="15" t="s">
        <v>47</v>
      </c>
      <c r="D1722" s="15">
        <v>700</v>
      </c>
      <c r="E1722" s="11">
        <v>800</v>
      </c>
      <c r="F1722" s="3" t="s">
        <v>8</v>
      </c>
      <c r="G1722" s="46">
        <v>29</v>
      </c>
      <c r="H1722" s="3">
        <v>31</v>
      </c>
      <c r="I1722" s="46">
        <v>0</v>
      </c>
      <c r="J1722" s="55">
        <v>0</v>
      </c>
      <c r="K1722" s="1">
        <f t="shared" ref="K1722" si="1681">(IF(F1722="SELL",G1722-H1722,IF(F1722="BUY",H1722-G1722)))*E1722</f>
        <v>1600</v>
      </c>
      <c r="L1722" s="51">
        <v>0</v>
      </c>
      <c r="M1722" s="52">
        <v>0</v>
      </c>
      <c r="N1722" s="2">
        <f t="shared" si="1653"/>
        <v>2</v>
      </c>
      <c r="O1722" s="2">
        <f t="shared" si="1670"/>
        <v>1600</v>
      </c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</row>
    <row r="1723" spans="1:33" s="14" customFormat="1" ht="15" customHeight="1">
      <c r="A1723" s="10">
        <v>43038</v>
      </c>
      <c r="B1723" s="3" t="s">
        <v>220</v>
      </c>
      <c r="C1723" s="15" t="s">
        <v>47</v>
      </c>
      <c r="D1723" s="15">
        <v>2500</v>
      </c>
      <c r="E1723" s="11">
        <v>200</v>
      </c>
      <c r="F1723" s="3" t="s">
        <v>8</v>
      </c>
      <c r="G1723" s="46">
        <v>79</v>
      </c>
      <c r="H1723" s="3">
        <v>87</v>
      </c>
      <c r="I1723" s="46">
        <v>0</v>
      </c>
      <c r="J1723" s="55">
        <v>0</v>
      </c>
      <c r="K1723" s="1">
        <f t="shared" ref="K1723" si="1682">(IF(F1723="SELL",G1723-H1723,IF(F1723="BUY",H1723-G1723)))*E1723</f>
        <v>1600</v>
      </c>
      <c r="L1723" s="51">
        <v>0</v>
      </c>
      <c r="M1723" s="52">
        <v>0</v>
      </c>
      <c r="N1723" s="2">
        <f t="shared" si="1653"/>
        <v>8</v>
      </c>
      <c r="O1723" s="2">
        <f t="shared" si="1670"/>
        <v>1600</v>
      </c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</row>
    <row r="1724" spans="1:33" s="14" customFormat="1" ht="15" customHeight="1">
      <c r="A1724" s="10">
        <v>43038</v>
      </c>
      <c r="B1724" s="3" t="s">
        <v>199</v>
      </c>
      <c r="C1724" s="15" t="s">
        <v>47</v>
      </c>
      <c r="D1724" s="15">
        <v>750</v>
      </c>
      <c r="E1724" s="11">
        <v>2000</v>
      </c>
      <c r="F1724" s="3" t="s">
        <v>8</v>
      </c>
      <c r="G1724" s="46">
        <v>17.5</v>
      </c>
      <c r="H1724" s="3">
        <v>18.5</v>
      </c>
      <c r="I1724" s="46">
        <v>0</v>
      </c>
      <c r="J1724" s="55">
        <v>0</v>
      </c>
      <c r="K1724" s="1">
        <f t="shared" ref="K1724:K1725" si="1683">(IF(F1724="SELL",G1724-H1724,IF(F1724="BUY",H1724-G1724)))*E1724</f>
        <v>2000</v>
      </c>
      <c r="L1724" s="51">
        <v>0</v>
      </c>
      <c r="M1724" s="52">
        <v>0</v>
      </c>
      <c r="N1724" s="2">
        <f t="shared" si="1653"/>
        <v>1</v>
      </c>
      <c r="O1724" s="2">
        <f t="shared" si="1670"/>
        <v>2000</v>
      </c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</row>
    <row r="1725" spans="1:33" s="14" customFormat="1" ht="15" customHeight="1">
      <c r="A1725" s="10">
        <v>43038</v>
      </c>
      <c r="B1725" s="3" t="s">
        <v>156</v>
      </c>
      <c r="C1725" s="15" t="s">
        <v>47</v>
      </c>
      <c r="D1725" s="15">
        <v>620</v>
      </c>
      <c r="E1725" s="11">
        <v>2000</v>
      </c>
      <c r="F1725" s="3" t="s">
        <v>8</v>
      </c>
      <c r="G1725" s="46">
        <v>16</v>
      </c>
      <c r="H1725" s="3">
        <v>17</v>
      </c>
      <c r="I1725" s="46">
        <v>18</v>
      </c>
      <c r="J1725" s="55">
        <v>0</v>
      </c>
      <c r="K1725" s="1">
        <f t="shared" si="1683"/>
        <v>2000</v>
      </c>
      <c r="L1725" s="51">
        <f t="shared" ref="L1725" si="1684">(IF(F1725="SELL",IF(I1725="",0,H1725-I1725),IF(F1725="BUY",IF(I1725="",0,I1725-H1725))))*E1725</f>
        <v>2000</v>
      </c>
      <c r="M1725" s="52">
        <v>0</v>
      </c>
      <c r="N1725" s="2">
        <f t="shared" si="1653"/>
        <v>2</v>
      </c>
      <c r="O1725" s="2">
        <f t="shared" si="1670"/>
        <v>4000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</row>
    <row r="1726" spans="1:33" s="14" customFormat="1" ht="15" customHeight="1">
      <c r="A1726" s="10">
        <v>43038</v>
      </c>
      <c r="B1726" s="3" t="s">
        <v>219</v>
      </c>
      <c r="C1726" s="15" t="s">
        <v>47</v>
      </c>
      <c r="D1726" s="15">
        <v>640</v>
      </c>
      <c r="E1726" s="11">
        <v>1500</v>
      </c>
      <c r="F1726" s="3" t="s">
        <v>8</v>
      </c>
      <c r="G1726" s="46">
        <v>22</v>
      </c>
      <c r="H1726" s="3">
        <v>23</v>
      </c>
      <c r="I1726" s="46">
        <v>25</v>
      </c>
      <c r="J1726" s="55">
        <v>0</v>
      </c>
      <c r="K1726" s="1">
        <f t="shared" ref="K1726" si="1685">(IF(F1726="SELL",G1726-H1726,IF(F1726="BUY",H1726-G1726)))*E1726</f>
        <v>1500</v>
      </c>
      <c r="L1726" s="51">
        <f t="shared" ref="L1726" si="1686">(IF(F1726="SELL",IF(I1726="",0,H1726-I1726),IF(F1726="BUY",IF(I1726="",0,I1726-H1726))))*E1726</f>
        <v>3000</v>
      </c>
      <c r="M1726" s="52">
        <v>0</v>
      </c>
      <c r="N1726" s="2">
        <f t="shared" si="1653"/>
        <v>3</v>
      </c>
      <c r="O1726" s="2">
        <f t="shared" si="1670"/>
        <v>4500</v>
      </c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</row>
    <row r="1727" spans="1:33" s="14" customFormat="1" ht="15" customHeight="1">
      <c r="A1727" s="10">
        <v>43035</v>
      </c>
      <c r="B1727" s="3" t="s">
        <v>218</v>
      </c>
      <c r="C1727" s="15" t="s">
        <v>47</v>
      </c>
      <c r="D1727" s="15">
        <v>620</v>
      </c>
      <c r="E1727" s="11">
        <v>1500</v>
      </c>
      <c r="F1727" s="3" t="s">
        <v>8</v>
      </c>
      <c r="G1727" s="46">
        <v>20</v>
      </c>
      <c r="H1727" s="3">
        <v>21</v>
      </c>
      <c r="I1727" s="46">
        <v>23</v>
      </c>
      <c r="J1727" s="55">
        <v>0</v>
      </c>
      <c r="K1727" s="1">
        <f t="shared" ref="K1727:K1728" si="1687">(IF(F1727="SELL",G1727-H1727,IF(F1727="BUY",H1727-G1727)))*E1727</f>
        <v>1500</v>
      </c>
      <c r="L1727" s="51">
        <f t="shared" ref="L1727:L1728" si="1688">(IF(F1727="SELL",IF(I1727="",0,H1727-I1727),IF(F1727="BUY",IF(I1727="",0,I1727-H1727))))*E1727</f>
        <v>3000</v>
      </c>
      <c r="M1727" s="52">
        <v>0</v>
      </c>
      <c r="N1727" s="2">
        <f t="shared" si="1653"/>
        <v>3</v>
      </c>
      <c r="O1727" s="2">
        <f t="shared" si="1670"/>
        <v>4500</v>
      </c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</row>
    <row r="1728" spans="1:33" s="14" customFormat="1" ht="15" customHeight="1">
      <c r="A1728" s="10">
        <v>43035</v>
      </c>
      <c r="B1728" s="3" t="s">
        <v>218</v>
      </c>
      <c r="C1728" s="15" t="s">
        <v>47</v>
      </c>
      <c r="D1728" s="15">
        <v>620</v>
      </c>
      <c r="E1728" s="11">
        <v>2000</v>
      </c>
      <c r="F1728" s="3" t="s">
        <v>8</v>
      </c>
      <c r="G1728" s="46">
        <v>20.5</v>
      </c>
      <c r="H1728" s="3">
        <v>21.5</v>
      </c>
      <c r="I1728" s="46">
        <v>23</v>
      </c>
      <c r="J1728" s="55">
        <v>25</v>
      </c>
      <c r="K1728" s="1">
        <f t="shared" si="1687"/>
        <v>2000</v>
      </c>
      <c r="L1728" s="51">
        <f t="shared" si="1688"/>
        <v>3000</v>
      </c>
      <c r="M1728" s="52">
        <f>(IF(F1728="SELL",IF(J1728="",0,I1728-J1728),IF(F1728="BUY",IF(J1728="",0,(J1728-I1728)))))*E1728</f>
        <v>4000</v>
      </c>
      <c r="N1728" s="2">
        <f t="shared" si="1653"/>
        <v>4.5</v>
      </c>
      <c r="O1728" s="2">
        <f t="shared" si="1670"/>
        <v>9000</v>
      </c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</row>
    <row r="1729" spans="1:33" s="14" customFormat="1" ht="15" customHeight="1">
      <c r="A1729" s="10">
        <v>43035</v>
      </c>
      <c r="B1729" s="3" t="s">
        <v>217</v>
      </c>
      <c r="C1729" s="15" t="s">
        <v>47</v>
      </c>
      <c r="D1729" s="15">
        <v>280</v>
      </c>
      <c r="E1729" s="11">
        <v>3000</v>
      </c>
      <c r="F1729" s="3" t="s">
        <v>8</v>
      </c>
      <c r="G1729" s="46">
        <v>7.2</v>
      </c>
      <c r="H1729" s="3">
        <v>7.7</v>
      </c>
      <c r="I1729" s="46">
        <v>8.5</v>
      </c>
      <c r="J1729" s="55">
        <v>0</v>
      </c>
      <c r="K1729" s="1">
        <f t="shared" ref="K1729" si="1689">(IF(F1729="SELL",G1729-H1729,IF(F1729="BUY",H1729-G1729)))*E1729</f>
        <v>1500</v>
      </c>
      <c r="L1729" s="51">
        <v>1750</v>
      </c>
      <c r="M1729" s="52">
        <v>0</v>
      </c>
      <c r="N1729" s="2">
        <f t="shared" si="1653"/>
        <v>1.0833333333333333</v>
      </c>
      <c r="O1729" s="2">
        <f t="shared" si="1670"/>
        <v>3250</v>
      </c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</row>
    <row r="1730" spans="1:33" s="14" customFormat="1" ht="15" customHeight="1">
      <c r="A1730" s="10">
        <v>43034</v>
      </c>
      <c r="B1730" s="3" t="s">
        <v>60</v>
      </c>
      <c r="C1730" s="15" t="s">
        <v>47</v>
      </c>
      <c r="D1730" s="15">
        <v>340</v>
      </c>
      <c r="E1730" s="11">
        <v>3500</v>
      </c>
      <c r="F1730" s="3" t="s">
        <v>8</v>
      </c>
      <c r="G1730" s="46">
        <v>2</v>
      </c>
      <c r="H1730" s="3">
        <v>2.5</v>
      </c>
      <c r="I1730" s="46">
        <v>3</v>
      </c>
      <c r="J1730" s="55">
        <v>0</v>
      </c>
      <c r="K1730" s="1">
        <f t="shared" ref="K1730" si="1690">(IF(F1730="SELL",G1730-H1730,IF(F1730="BUY",H1730-G1730)))*E1730</f>
        <v>1750</v>
      </c>
      <c r="L1730" s="51">
        <v>1750</v>
      </c>
      <c r="M1730" s="52">
        <v>0</v>
      </c>
      <c r="N1730" s="2">
        <f t="shared" si="1653"/>
        <v>1</v>
      </c>
      <c r="O1730" s="2">
        <f t="shared" si="1670"/>
        <v>3500</v>
      </c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</row>
    <row r="1731" spans="1:33" s="14" customFormat="1" ht="15" customHeight="1">
      <c r="A1731" s="10">
        <v>43034</v>
      </c>
      <c r="B1731" s="3" t="s">
        <v>216</v>
      </c>
      <c r="C1731" s="15" t="s">
        <v>47</v>
      </c>
      <c r="D1731" s="15">
        <v>260</v>
      </c>
      <c r="E1731" s="11">
        <v>3000</v>
      </c>
      <c r="F1731" s="3" t="s">
        <v>8</v>
      </c>
      <c r="G1731" s="46">
        <v>2.75</v>
      </c>
      <c r="H1731" s="3">
        <v>3.75</v>
      </c>
      <c r="I1731" s="46">
        <v>0</v>
      </c>
      <c r="J1731" s="55">
        <v>0</v>
      </c>
      <c r="K1731" s="1">
        <f t="shared" ref="K1731" si="1691">(IF(F1731="SELL",G1731-H1731,IF(F1731="BUY",H1731-G1731)))*E1731</f>
        <v>3000</v>
      </c>
      <c r="L1731" s="51">
        <v>0</v>
      </c>
      <c r="M1731" s="52">
        <v>0</v>
      </c>
      <c r="N1731" s="2">
        <f t="shared" si="1653"/>
        <v>1</v>
      </c>
      <c r="O1731" s="2">
        <f t="shared" si="1670"/>
        <v>3000</v>
      </c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</row>
    <row r="1732" spans="1:33" s="14" customFormat="1" ht="15" customHeight="1">
      <c r="A1732" s="10">
        <v>43033</v>
      </c>
      <c r="B1732" s="3" t="s">
        <v>153</v>
      </c>
      <c r="C1732" s="15" t="s">
        <v>47</v>
      </c>
      <c r="D1732" s="15">
        <v>540</v>
      </c>
      <c r="E1732" s="11">
        <v>3000</v>
      </c>
      <c r="F1732" s="3" t="s">
        <v>8</v>
      </c>
      <c r="G1732" s="46">
        <v>4.5</v>
      </c>
      <c r="H1732" s="3">
        <v>0</v>
      </c>
      <c r="I1732" s="46">
        <v>0</v>
      </c>
      <c r="J1732" s="55">
        <v>0</v>
      </c>
      <c r="K1732" s="1">
        <v>0</v>
      </c>
      <c r="L1732" s="51">
        <v>0</v>
      </c>
      <c r="M1732" s="52">
        <v>0</v>
      </c>
      <c r="N1732" s="2">
        <f t="shared" si="1653"/>
        <v>0</v>
      </c>
      <c r="O1732" s="2">
        <f t="shared" si="1670"/>
        <v>0</v>
      </c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</row>
    <row r="1733" spans="1:33" s="14" customFormat="1" ht="15" customHeight="1">
      <c r="A1733" s="10">
        <v>43032</v>
      </c>
      <c r="B1733" s="3" t="s">
        <v>156</v>
      </c>
      <c r="C1733" s="15" t="s">
        <v>47</v>
      </c>
      <c r="D1733" s="15">
        <v>510</v>
      </c>
      <c r="E1733" s="11">
        <v>2000</v>
      </c>
      <c r="F1733" s="3" t="s">
        <v>8</v>
      </c>
      <c r="G1733" s="46">
        <v>4.3</v>
      </c>
      <c r="H1733" s="3">
        <v>5.15</v>
      </c>
      <c r="I1733" s="46">
        <v>0</v>
      </c>
      <c r="J1733" s="55">
        <v>0</v>
      </c>
      <c r="K1733" s="1">
        <f t="shared" ref="K1733" si="1692">(IF(F1733="SELL",G1733-H1733,IF(F1733="BUY",H1733-G1733)))*E1733</f>
        <v>1700.0000000000011</v>
      </c>
      <c r="L1733" s="51">
        <v>0</v>
      </c>
      <c r="M1733" s="52">
        <v>0</v>
      </c>
      <c r="N1733" s="2">
        <f t="shared" si="1653"/>
        <v>0.85000000000000053</v>
      </c>
      <c r="O1733" s="2">
        <f t="shared" si="1670"/>
        <v>1700.0000000000011</v>
      </c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</row>
    <row r="1734" spans="1:33" s="14" customFormat="1" ht="15" customHeight="1">
      <c r="A1734" s="10">
        <v>43032</v>
      </c>
      <c r="B1734" s="3" t="s">
        <v>213</v>
      </c>
      <c r="C1734" s="15" t="s">
        <v>47</v>
      </c>
      <c r="D1734" s="15">
        <v>410</v>
      </c>
      <c r="E1734" s="11">
        <v>2000</v>
      </c>
      <c r="F1734" s="3" t="s">
        <v>8</v>
      </c>
      <c r="G1734" s="46">
        <v>3.3</v>
      </c>
      <c r="H1734" s="3">
        <v>5</v>
      </c>
      <c r="I1734" s="46">
        <v>7</v>
      </c>
      <c r="J1734" s="55">
        <v>0</v>
      </c>
      <c r="K1734" s="1">
        <f t="shared" ref="K1734" si="1693">(IF(F1734="SELL",G1734-H1734,IF(F1734="BUY",H1734-G1734)))*E1734</f>
        <v>3400.0000000000005</v>
      </c>
      <c r="L1734" s="51">
        <f t="shared" ref="L1734" si="1694">(IF(F1734="SELL",IF(I1734="",0,H1734-I1734),IF(F1734="BUY",IF(I1734="",0,I1734-H1734))))*E1734</f>
        <v>4000</v>
      </c>
      <c r="M1734" s="52">
        <v>0</v>
      </c>
      <c r="N1734" s="2">
        <f t="shared" si="1653"/>
        <v>3.7</v>
      </c>
      <c r="O1734" s="2">
        <f t="shared" si="1670"/>
        <v>7400</v>
      </c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</row>
    <row r="1735" spans="1:33" s="14" customFormat="1" ht="15" customHeight="1">
      <c r="A1735" s="10">
        <v>43031</v>
      </c>
      <c r="B1735" s="3" t="s">
        <v>16</v>
      </c>
      <c r="C1735" s="15" t="s">
        <v>47</v>
      </c>
      <c r="D1735" s="15">
        <v>410</v>
      </c>
      <c r="E1735" s="11">
        <v>2500</v>
      </c>
      <c r="F1735" s="3" t="s">
        <v>8</v>
      </c>
      <c r="G1735" s="46">
        <v>5</v>
      </c>
      <c r="H1735" s="3">
        <v>6.1</v>
      </c>
      <c r="I1735" s="46">
        <v>0</v>
      </c>
      <c r="J1735" s="55">
        <v>0</v>
      </c>
      <c r="K1735" s="1">
        <f t="shared" ref="K1735" si="1695">(IF(F1735="SELL",G1735-H1735,IF(F1735="BUY",H1735-G1735)))*E1735</f>
        <v>2749.9999999999991</v>
      </c>
      <c r="L1735" s="51">
        <v>0</v>
      </c>
      <c r="M1735" s="52">
        <v>0</v>
      </c>
      <c r="N1735" s="2">
        <f t="shared" si="1653"/>
        <v>1.0999999999999996</v>
      </c>
      <c r="O1735" s="2">
        <f t="shared" si="1670"/>
        <v>2749.9999999999991</v>
      </c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</row>
    <row r="1736" spans="1:33" s="14" customFormat="1" ht="15" customHeight="1">
      <c r="A1736" s="10">
        <v>43031</v>
      </c>
      <c r="B1736" s="3" t="s">
        <v>215</v>
      </c>
      <c r="C1736" s="15" t="s">
        <v>47</v>
      </c>
      <c r="D1736" s="15">
        <v>490</v>
      </c>
      <c r="E1736" s="11">
        <v>1300</v>
      </c>
      <c r="F1736" s="3" t="s">
        <v>8</v>
      </c>
      <c r="G1736" s="46">
        <v>8.6</v>
      </c>
      <c r="H1736" s="3">
        <v>10</v>
      </c>
      <c r="I1736" s="46">
        <v>0</v>
      </c>
      <c r="J1736" s="55">
        <v>0</v>
      </c>
      <c r="K1736" s="1">
        <f t="shared" ref="K1736" si="1696">(IF(F1736="SELL",G1736-H1736,IF(F1736="BUY",H1736-G1736)))*E1736</f>
        <v>1820.0000000000005</v>
      </c>
      <c r="L1736" s="51">
        <v>0</v>
      </c>
      <c r="M1736" s="52">
        <v>0</v>
      </c>
      <c r="N1736" s="2">
        <f t="shared" si="1653"/>
        <v>1.4000000000000004</v>
      </c>
      <c r="O1736" s="2">
        <f t="shared" si="1670"/>
        <v>1820.0000000000005</v>
      </c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</row>
    <row r="1737" spans="1:33" s="14" customFormat="1" ht="15" customHeight="1">
      <c r="A1737" s="10">
        <v>43031</v>
      </c>
      <c r="B1737" s="3" t="s">
        <v>214</v>
      </c>
      <c r="C1737" s="15" t="s">
        <v>47</v>
      </c>
      <c r="D1737" s="15">
        <v>440</v>
      </c>
      <c r="E1737" s="11">
        <v>2000</v>
      </c>
      <c r="F1737" s="3" t="s">
        <v>8</v>
      </c>
      <c r="G1737" s="46">
        <v>5.0999999999999996</v>
      </c>
      <c r="H1737" s="3">
        <v>6.1</v>
      </c>
      <c r="I1737" s="46">
        <v>0</v>
      </c>
      <c r="J1737" s="55">
        <v>0</v>
      </c>
      <c r="K1737" s="1">
        <f t="shared" ref="K1737" si="1697">(IF(F1737="SELL",G1737-H1737,IF(F1737="BUY",H1737-G1737)))*E1737</f>
        <v>2000</v>
      </c>
      <c r="L1737" s="51">
        <v>0</v>
      </c>
      <c r="M1737" s="52">
        <v>0</v>
      </c>
      <c r="N1737" s="2">
        <f t="shared" si="1653"/>
        <v>1</v>
      </c>
      <c r="O1737" s="2">
        <f t="shared" si="1670"/>
        <v>2000</v>
      </c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</row>
    <row r="1738" spans="1:33" s="14" customFormat="1" ht="15" customHeight="1">
      <c r="A1738" s="10">
        <v>43031</v>
      </c>
      <c r="B1738" s="3" t="s">
        <v>156</v>
      </c>
      <c r="C1738" s="15" t="s">
        <v>47</v>
      </c>
      <c r="D1738" s="15">
        <v>560</v>
      </c>
      <c r="E1738" s="11">
        <v>2000</v>
      </c>
      <c r="F1738" s="3" t="s">
        <v>8</v>
      </c>
      <c r="G1738" s="46">
        <v>9</v>
      </c>
      <c r="H1738" s="3">
        <v>10</v>
      </c>
      <c r="I1738" s="46">
        <v>11.5</v>
      </c>
      <c r="J1738" s="55">
        <v>0</v>
      </c>
      <c r="K1738" s="1">
        <f t="shared" ref="K1738" si="1698">(IF(F1738="SELL",G1738-H1738,IF(F1738="BUY",H1738-G1738)))*E1738</f>
        <v>2000</v>
      </c>
      <c r="L1738" s="51">
        <f t="shared" ref="L1738" si="1699">(IF(F1738="SELL",IF(I1738="",0,H1738-I1738),IF(F1738="BUY",IF(I1738="",0,I1738-H1738))))*E1738</f>
        <v>3000</v>
      </c>
      <c r="M1738" s="52">
        <v>0</v>
      </c>
      <c r="N1738" s="2">
        <f t="shared" si="1653"/>
        <v>2.5</v>
      </c>
      <c r="O1738" s="2">
        <f t="shared" si="1670"/>
        <v>5000</v>
      </c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</row>
    <row r="1739" spans="1:33" s="14" customFormat="1" ht="15" customHeight="1">
      <c r="A1739" s="10">
        <v>43026</v>
      </c>
      <c r="B1739" s="3" t="s">
        <v>213</v>
      </c>
      <c r="C1739" s="15" t="s">
        <v>47</v>
      </c>
      <c r="D1739" s="15">
        <v>400</v>
      </c>
      <c r="E1739" s="11">
        <v>2000</v>
      </c>
      <c r="F1739" s="3" t="s">
        <v>8</v>
      </c>
      <c r="G1739" s="46">
        <v>7</v>
      </c>
      <c r="H1739" s="3">
        <v>8.5</v>
      </c>
      <c r="I1739" s="46">
        <v>0</v>
      </c>
      <c r="J1739" s="55">
        <v>0</v>
      </c>
      <c r="K1739" s="1">
        <f t="shared" ref="K1739" si="1700">(IF(F1739="SELL",G1739-H1739,IF(F1739="BUY",H1739-G1739)))*E1739</f>
        <v>3000</v>
      </c>
      <c r="L1739" s="51">
        <v>0</v>
      </c>
      <c r="M1739" s="52">
        <v>0</v>
      </c>
      <c r="N1739" s="2">
        <f t="shared" si="1653"/>
        <v>1.5</v>
      </c>
      <c r="O1739" s="2">
        <f t="shared" si="1670"/>
        <v>3000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</row>
    <row r="1740" spans="1:33" s="14" customFormat="1" ht="15" customHeight="1">
      <c r="A1740" s="10">
        <v>43026</v>
      </c>
      <c r="B1740" s="3" t="s">
        <v>181</v>
      </c>
      <c r="C1740" s="15" t="s">
        <v>47</v>
      </c>
      <c r="D1740" s="15">
        <v>1360</v>
      </c>
      <c r="E1740" s="11">
        <v>800</v>
      </c>
      <c r="F1740" s="3" t="s">
        <v>8</v>
      </c>
      <c r="G1740" s="46">
        <v>20</v>
      </c>
      <c r="H1740" s="3">
        <v>23</v>
      </c>
      <c r="I1740" s="46">
        <v>0</v>
      </c>
      <c r="J1740" s="55">
        <v>0</v>
      </c>
      <c r="K1740" s="1">
        <f t="shared" ref="K1740" si="1701">(IF(F1740="SELL",G1740-H1740,IF(F1740="BUY",H1740-G1740)))*E1740</f>
        <v>2400</v>
      </c>
      <c r="L1740" s="51">
        <v>0</v>
      </c>
      <c r="M1740" s="52">
        <v>0</v>
      </c>
      <c r="N1740" s="2">
        <f t="shared" si="1653"/>
        <v>3</v>
      </c>
      <c r="O1740" s="2">
        <f t="shared" si="1670"/>
        <v>2400</v>
      </c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</row>
    <row r="1741" spans="1:33" s="14" customFormat="1" ht="15" customHeight="1">
      <c r="A1741" s="10">
        <v>43026</v>
      </c>
      <c r="B1741" s="3" t="s">
        <v>212</v>
      </c>
      <c r="C1741" s="15" t="s">
        <v>47</v>
      </c>
      <c r="D1741" s="15">
        <v>170</v>
      </c>
      <c r="E1741" s="11">
        <v>4950</v>
      </c>
      <c r="F1741" s="3" t="s">
        <v>8</v>
      </c>
      <c r="G1741" s="46">
        <v>3.9</v>
      </c>
      <c r="H1741" s="3">
        <v>4.5</v>
      </c>
      <c r="I1741" s="46">
        <v>0</v>
      </c>
      <c r="J1741" s="55">
        <v>0</v>
      </c>
      <c r="K1741" s="1">
        <f t="shared" ref="K1741" si="1702">(IF(F1741="SELL",G1741-H1741,IF(F1741="BUY",H1741-G1741)))*E1741</f>
        <v>2970.0000000000005</v>
      </c>
      <c r="L1741" s="51">
        <v>0</v>
      </c>
      <c r="M1741" s="52">
        <v>0</v>
      </c>
      <c r="N1741" s="2">
        <f t="shared" si="1653"/>
        <v>0.60000000000000009</v>
      </c>
      <c r="O1741" s="2">
        <f t="shared" si="1670"/>
        <v>2970.0000000000005</v>
      </c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</row>
    <row r="1742" spans="1:33" s="14" customFormat="1" ht="15" customHeight="1">
      <c r="A1742" s="10">
        <v>43025</v>
      </c>
      <c r="B1742" s="3" t="s">
        <v>154</v>
      </c>
      <c r="C1742" s="15" t="s">
        <v>47</v>
      </c>
      <c r="D1742" s="15">
        <v>510</v>
      </c>
      <c r="E1742" s="11">
        <v>1800</v>
      </c>
      <c r="F1742" s="3" t="s">
        <v>8</v>
      </c>
      <c r="G1742" s="46">
        <v>8.65</v>
      </c>
      <c r="H1742" s="3">
        <v>9.65</v>
      </c>
      <c r="I1742" s="46">
        <v>11</v>
      </c>
      <c r="J1742" s="55">
        <v>0</v>
      </c>
      <c r="K1742" s="1">
        <f t="shared" ref="K1742" si="1703">(IF(F1742="SELL",G1742-H1742,IF(F1742="BUY",H1742-G1742)))*E1742</f>
        <v>1800</v>
      </c>
      <c r="L1742" s="51">
        <f t="shared" ref="L1742" si="1704">(IF(F1742="SELL",IF(I1742="",0,H1742-I1742),IF(F1742="BUY",IF(I1742="",0,I1742-H1742))))*E1742</f>
        <v>2429.9999999999995</v>
      </c>
      <c r="M1742" s="52">
        <v>0</v>
      </c>
      <c r="N1742" s="2">
        <f t="shared" si="1653"/>
        <v>2.35</v>
      </c>
      <c r="O1742" s="2">
        <f t="shared" si="1670"/>
        <v>4230</v>
      </c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</row>
    <row r="1743" spans="1:33" s="14" customFormat="1" ht="15" customHeight="1">
      <c r="A1743" s="10">
        <v>43025</v>
      </c>
      <c r="B1743" s="3" t="s">
        <v>172</v>
      </c>
      <c r="C1743" s="15" t="s">
        <v>47</v>
      </c>
      <c r="D1743" s="15">
        <v>470</v>
      </c>
      <c r="E1743" s="11">
        <v>1575</v>
      </c>
      <c r="F1743" s="3" t="s">
        <v>8</v>
      </c>
      <c r="G1743" s="46">
        <v>10</v>
      </c>
      <c r="H1743" s="3">
        <v>11</v>
      </c>
      <c r="I1743" s="46">
        <v>12</v>
      </c>
      <c r="J1743" s="55">
        <v>0</v>
      </c>
      <c r="K1743" s="1">
        <f t="shared" ref="K1743" si="1705">(IF(F1743="SELL",G1743-H1743,IF(F1743="BUY",H1743-G1743)))*E1743</f>
        <v>1575</v>
      </c>
      <c r="L1743" s="51">
        <f t="shared" ref="L1743" si="1706">(IF(F1743="SELL",IF(I1743="",0,H1743-I1743),IF(F1743="BUY",IF(I1743="",0,I1743-H1743))))*E1743</f>
        <v>1575</v>
      </c>
      <c r="M1743" s="52">
        <v>0</v>
      </c>
      <c r="N1743" s="2">
        <f t="shared" si="1653"/>
        <v>2</v>
      </c>
      <c r="O1743" s="2">
        <f t="shared" si="1670"/>
        <v>3150</v>
      </c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</row>
    <row r="1744" spans="1:33" s="14" customFormat="1" ht="15" customHeight="1">
      <c r="A1744" s="10">
        <v>43025</v>
      </c>
      <c r="B1744" s="3" t="s">
        <v>151</v>
      </c>
      <c r="C1744" s="15" t="s">
        <v>47</v>
      </c>
      <c r="D1744" s="15">
        <v>680</v>
      </c>
      <c r="E1744" s="11">
        <v>1100</v>
      </c>
      <c r="F1744" s="3" t="s">
        <v>8</v>
      </c>
      <c r="G1744" s="46">
        <v>6.6</v>
      </c>
      <c r="H1744" s="3">
        <v>8</v>
      </c>
      <c r="I1744" s="46">
        <v>0</v>
      </c>
      <c r="J1744" s="55">
        <v>0</v>
      </c>
      <c r="K1744" s="1">
        <f t="shared" ref="K1744" si="1707">(IF(F1744="SELL",G1744-H1744,IF(F1744="BUY",H1744-G1744)))*E1744</f>
        <v>1540.0000000000005</v>
      </c>
      <c r="L1744" s="51">
        <v>0</v>
      </c>
      <c r="M1744" s="52">
        <v>0</v>
      </c>
      <c r="N1744" s="2">
        <f t="shared" si="1653"/>
        <v>1.4000000000000004</v>
      </c>
      <c r="O1744" s="2">
        <f t="shared" si="1670"/>
        <v>1540.0000000000005</v>
      </c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</row>
    <row r="1745" spans="1:33" s="14" customFormat="1" ht="15" customHeight="1">
      <c r="A1745" s="10">
        <v>43024</v>
      </c>
      <c r="B1745" s="3" t="s">
        <v>152</v>
      </c>
      <c r="C1745" s="15" t="s">
        <v>47</v>
      </c>
      <c r="D1745" s="15">
        <v>1960</v>
      </c>
      <c r="E1745" s="11">
        <v>500</v>
      </c>
      <c r="F1745" s="3" t="s">
        <v>8</v>
      </c>
      <c r="G1745" s="46">
        <v>45</v>
      </c>
      <c r="H1745" s="3">
        <v>35</v>
      </c>
      <c r="I1745" s="46">
        <v>0</v>
      </c>
      <c r="J1745" s="55">
        <v>0</v>
      </c>
      <c r="K1745" s="1">
        <f t="shared" ref="K1745" si="1708">(IF(F1745="SELL",G1745-H1745,IF(F1745="BUY",H1745-G1745)))*E1745</f>
        <v>-5000</v>
      </c>
      <c r="L1745" s="51">
        <v>0</v>
      </c>
      <c r="M1745" s="52">
        <v>0</v>
      </c>
      <c r="N1745" s="2">
        <f t="shared" si="1653"/>
        <v>-10</v>
      </c>
      <c r="O1745" s="2">
        <f t="shared" si="1670"/>
        <v>-5000</v>
      </c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</row>
    <row r="1746" spans="1:33" s="14" customFormat="1" ht="15" customHeight="1">
      <c r="A1746" s="10">
        <v>43024</v>
      </c>
      <c r="B1746" s="3" t="s">
        <v>206</v>
      </c>
      <c r="C1746" s="15" t="s">
        <v>47</v>
      </c>
      <c r="D1746" s="15">
        <v>650</v>
      </c>
      <c r="E1746" s="11">
        <v>1500</v>
      </c>
      <c r="F1746" s="3" t="s">
        <v>8</v>
      </c>
      <c r="G1746" s="46">
        <v>7.1</v>
      </c>
      <c r="H1746" s="3">
        <v>8.5</v>
      </c>
      <c r="I1746" s="46">
        <v>0</v>
      </c>
      <c r="J1746" s="55">
        <v>0</v>
      </c>
      <c r="K1746" s="1">
        <f t="shared" ref="K1746" si="1709">(IF(F1746="SELL",G1746-H1746,IF(F1746="BUY",H1746-G1746)))*E1746</f>
        <v>2100.0000000000005</v>
      </c>
      <c r="L1746" s="51">
        <v>0</v>
      </c>
      <c r="M1746" s="52">
        <v>0</v>
      </c>
      <c r="N1746" s="2">
        <f t="shared" si="1653"/>
        <v>1.4000000000000004</v>
      </c>
      <c r="O1746" s="2">
        <f t="shared" si="1670"/>
        <v>2100.0000000000005</v>
      </c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</row>
    <row r="1747" spans="1:33" s="14" customFormat="1" ht="15" customHeight="1">
      <c r="A1747" s="10">
        <v>43021</v>
      </c>
      <c r="B1747" s="3" t="s">
        <v>58</v>
      </c>
      <c r="C1747" s="15" t="s">
        <v>46</v>
      </c>
      <c r="D1747" s="15">
        <v>530</v>
      </c>
      <c r="E1747" s="11">
        <v>2000</v>
      </c>
      <c r="F1747" s="3" t="s">
        <v>8</v>
      </c>
      <c r="G1747" s="46">
        <v>8.8000000000000007</v>
      </c>
      <c r="H1747" s="3">
        <v>9.6</v>
      </c>
      <c r="I1747" s="46">
        <v>0</v>
      </c>
      <c r="J1747" s="55">
        <v>0</v>
      </c>
      <c r="K1747" s="1">
        <f t="shared" ref="K1747" si="1710">(IF(F1747="SELL",G1747-H1747,IF(F1747="BUY",H1747-G1747)))*E1747</f>
        <v>1599.999999999998</v>
      </c>
      <c r="L1747" s="51">
        <v>0</v>
      </c>
      <c r="M1747" s="52">
        <v>0</v>
      </c>
      <c r="N1747" s="2">
        <f t="shared" si="1653"/>
        <v>0.79999999999999893</v>
      </c>
      <c r="O1747" s="2">
        <f t="shared" si="1670"/>
        <v>1599.999999999998</v>
      </c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</row>
    <row r="1748" spans="1:33" s="14" customFormat="1" ht="15" customHeight="1">
      <c r="A1748" s="10">
        <v>43021</v>
      </c>
      <c r="B1748" s="3" t="s">
        <v>91</v>
      </c>
      <c r="C1748" s="15" t="s">
        <v>46</v>
      </c>
      <c r="D1748" s="15">
        <v>250</v>
      </c>
      <c r="E1748" s="11">
        <v>3000</v>
      </c>
      <c r="F1748" s="3" t="s">
        <v>8</v>
      </c>
      <c r="G1748" s="46">
        <v>4.9000000000000004</v>
      </c>
      <c r="H1748" s="3">
        <v>5.5</v>
      </c>
      <c r="I1748" s="46">
        <v>0</v>
      </c>
      <c r="J1748" s="55">
        <v>0</v>
      </c>
      <c r="K1748" s="1">
        <f t="shared" ref="K1748" si="1711">(IF(F1748="SELL",G1748-H1748,IF(F1748="BUY",H1748-G1748)))*E1748</f>
        <v>1799.9999999999989</v>
      </c>
      <c r="L1748" s="51">
        <v>0</v>
      </c>
      <c r="M1748" s="52">
        <v>0</v>
      </c>
      <c r="N1748" s="2">
        <f t="shared" si="1653"/>
        <v>0.59999999999999964</v>
      </c>
      <c r="O1748" s="2">
        <f t="shared" si="1670"/>
        <v>1799.9999999999989</v>
      </c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</row>
    <row r="1749" spans="1:33" s="14" customFormat="1" ht="15" customHeight="1">
      <c r="A1749" s="10">
        <v>43021</v>
      </c>
      <c r="B1749" s="3" t="s">
        <v>211</v>
      </c>
      <c r="C1749" s="15" t="s">
        <v>47</v>
      </c>
      <c r="D1749" s="15">
        <v>630</v>
      </c>
      <c r="E1749" s="11">
        <v>1500</v>
      </c>
      <c r="F1749" s="3" t="s">
        <v>8</v>
      </c>
      <c r="G1749" s="46">
        <v>18</v>
      </c>
      <c r="H1749" s="3">
        <v>19</v>
      </c>
      <c r="I1749" s="46">
        <v>0</v>
      </c>
      <c r="J1749" s="55">
        <v>0</v>
      </c>
      <c r="K1749" s="1">
        <v>1500</v>
      </c>
      <c r="L1749" s="51">
        <v>0</v>
      </c>
      <c r="M1749" s="52">
        <f>(IF(F1749="SELL",IF(J1749="",0,I1749-J1749),IF(F1749="BUY",IF(J1749="",0,(J1749-I1749)))))*E1749</f>
        <v>0</v>
      </c>
      <c r="N1749" s="2">
        <f t="shared" si="1653"/>
        <v>1</v>
      </c>
      <c r="O1749" s="2">
        <f t="shared" si="1670"/>
        <v>1500</v>
      </c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</row>
    <row r="1750" spans="1:33" s="14" customFormat="1" ht="15" customHeight="1">
      <c r="A1750" s="10">
        <v>43021</v>
      </c>
      <c r="B1750" s="3" t="s">
        <v>210</v>
      </c>
      <c r="C1750" s="15" t="s">
        <v>47</v>
      </c>
      <c r="D1750" s="15">
        <v>2750</v>
      </c>
      <c r="E1750" s="11">
        <v>2750</v>
      </c>
      <c r="F1750" s="3" t="s">
        <v>8</v>
      </c>
      <c r="G1750" s="46">
        <v>4.2</v>
      </c>
      <c r="H1750" s="3">
        <v>4.7</v>
      </c>
      <c r="I1750" s="46">
        <v>5.5</v>
      </c>
      <c r="J1750" s="55">
        <v>0</v>
      </c>
      <c r="K1750" s="1">
        <v>1350</v>
      </c>
      <c r="L1750" s="51">
        <v>1925</v>
      </c>
      <c r="M1750" s="52">
        <v>0</v>
      </c>
      <c r="N1750" s="2">
        <f t="shared" si="1653"/>
        <v>1.1909090909090909</v>
      </c>
      <c r="O1750" s="2">
        <f t="shared" si="1670"/>
        <v>3275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</row>
    <row r="1751" spans="1:33" s="14" customFormat="1" ht="15" customHeight="1">
      <c r="A1751" s="10">
        <v>43020</v>
      </c>
      <c r="B1751" s="3" t="s">
        <v>206</v>
      </c>
      <c r="C1751" s="15" t="s">
        <v>47</v>
      </c>
      <c r="D1751" s="15">
        <v>620</v>
      </c>
      <c r="E1751" s="11">
        <v>1500</v>
      </c>
      <c r="F1751" s="3" t="s">
        <v>8</v>
      </c>
      <c r="G1751" s="46">
        <v>15</v>
      </c>
      <c r="H1751" s="3">
        <v>0</v>
      </c>
      <c r="I1751" s="46">
        <v>0</v>
      </c>
      <c r="J1751" s="55">
        <v>0</v>
      </c>
      <c r="K1751" s="1">
        <v>0</v>
      </c>
      <c r="L1751" s="51">
        <v>0</v>
      </c>
      <c r="M1751" s="52">
        <f t="shared" ref="M1751:M1756" si="1712">(IF(F1751="SELL",IF(J1751="",0,I1751-J1751),IF(F1751="BUY",IF(J1751="",0,(J1751-I1751)))))*E1751</f>
        <v>0</v>
      </c>
      <c r="N1751" s="2">
        <f t="shared" si="1653"/>
        <v>0</v>
      </c>
      <c r="O1751" s="2">
        <f t="shared" si="1670"/>
        <v>0</v>
      </c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</row>
    <row r="1752" spans="1:33" s="14" customFormat="1" ht="15" customHeight="1">
      <c r="A1752" s="10">
        <v>43020</v>
      </c>
      <c r="B1752" s="3" t="s">
        <v>96</v>
      </c>
      <c r="C1752" s="15" t="s">
        <v>47</v>
      </c>
      <c r="D1752" s="15">
        <v>1340</v>
      </c>
      <c r="E1752" s="11">
        <v>500</v>
      </c>
      <c r="F1752" s="3" t="s">
        <v>8</v>
      </c>
      <c r="G1752" s="46">
        <v>16</v>
      </c>
      <c r="H1752" s="3">
        <v>20</v>
      </c>
      <c r="I1752" s="46">
        <v>0</v>
      </c>
      <c r="J1752" s="55">
        <v>0</v>
      </c>
      <c r="K1752" s="1">
        <f t="shared" ref="K1752" si="1713">(IF(F1752="SELL",G1752-H1752,IF(F1752="BUY",H1752-G1752)))*E1752</f>
        <v>2000</v>
      </c>
      <c r="L1752" s="51">
        <v>0</v>
      </c>
      <c r="M1752" s="52">
        <f t="shared" si="1712"/>
        <v>0</v>
      </c>
      <c r="N1752" s="2">
        <f t="shared" si="1653"/>
        <v>4</v>
      </c>
      <c r="O1752" s="2">
        <f t="shared" si="1670"/>
        <v>2000</v>
      </c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</row>
    <row r="1753" spans="1:33" s="14" customFormat="1" ht="15" customHeight="1">
      <c r="A1753" s="10">
        <v>43019</v>
      </c>
      <c r="B1753" s="3" t="s">
        <v>139</v>
      </c>
      <c r="C1753" s="15" t="s">
        <v>47</v>
      </c>
      <c r="D1753" s="15">
        <v>1580</v>
      </c>
      <c r="E1753" s="11">
        <v>500</v>
      </c>
      <c r="F1753" s="3" t="s">
        <v>8</v>
      </c>
      <c r="G1753" s="46">
        <v>40.5</v>
      </c>
      <c r="H1753" s="3">
        <v>33</v>
      </c>
      <c r="I1753" s="46">
        <v>0</v>
      </c>
      <c r="J1753" s="55">
        <v>0</v>
      </c>
      <c r="K1753" s="1">
        <f t="shared" ref="K1753" si="1714">(IF(F1753="SELL",G1753-H1753,IF(F1753="BUY",H1753-G1753)))*E1753</f>
        <v>-3750</v>
      </c>
      <c r="L1753" s="51">
        <v>0</v>
      </c>
      <c r="M1753" s="52">
        <f t="shared" si="1712"/>
        <v>0</v>
      </c>
      <c r="N1753" s="2">
        <f t="shared" si="1653"/>
        <v>-7.5</v>
      </c>
      <c r="O1753" s="2">
        <f t="shared" si="1670"/>
        <v>-3750</v>
      </c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</row>
    <row r="1754" spans="1:33" s="14" customFormat="1" ht="15" customHeight="1">
      <c r="A1754" s="10">
        <v>43019</v>
      </c>
      <c r="B1754" s="3" t="s">
        <v>209</v>
      </c>
      <c r="C1754" s="15" t="s">
        <v>47</v>
      </c>
      <c r="D1754" s="15">
        <v>520</v>
      </c>
      <c r="E1754" s="11">
        <v>1200</v>
      </c>
      <c r="F1754" s="3" t="s">
        <v>8</v>
      </c>
      <c r="G1754" s="46">
        <v>17.5</v>
      </c>
      <c r="H1754" s="3">
        <v>19</v>
      </c>
      <c r="I1754" s="46">
        <v>0</v>
      </c>
      <c r="J1754" s="55">
        <v>0</v>
      </c>
      <c r="K1754" s="1">
        <f t="shared" ref="K1754" si="1715">(IF(F1754="SELL",G1754-H1754,IF(F1754="BUY",H1754-G1754)))*E1754</f>
        <v>1800</v>
      </c>
      <c r="L1754" s="51">
        <v>0</v>
      </c>
      <c r="M1754" s="52">
        <f t="shared" si="1712"/>
        <v>0</v>
      </c>
      <c r="N1754" s="2">
        <f t="shared" si="1653"/>
        <v>1.5</v>
      </c>
      <c r="O1754" s="2">
        <f t="shared" si="1670"/>
        <v>1800</v>
      </c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</row>
    <row r="1755" spans="1:33" s="14" customFormat="1" ht="15" customHeight="1">
      <c r="A1755" s="10">
        <v>43018</v>
      </c>
      <c r="B1755" s="3" t="s">
        <v>66</v>
      </c>
      <c r="C1755" s="15" t="s">
        <v>47</v>
      </c>
      <c r="D1755" s="15">
        <v>520</v>
      </c>
      <c r="E1755" s="11">
        <v>1200</v>
      </c>
      <c r="F1755" s="3" t="s">
        <v>8</v>
      </c>
      <c r="G1755" s="46">
        <v>17.5</v>
      </c>
      <c r="H1755" s="3">
        <v>19</v>
      </c>
      <c r="I1755" s="46">
        <v>0</v>
      </c>
      <c r="J1755" s="55">
        <v>0</v>
      </c>
      <c r="K1755" s="1">
        <f t="shared" ref="K1755" si="1716">(IF(F1755="SELL",G1755-H1755,IF(F1755="BUY",H1755-G1755)))*E1755</f>
        <v>1800</v>
      </c>
      <c r="L1755" s="51">
        <v>0</v>
      </c>
      <c r="M1755" s="52">
        <f t="shared" si="1712"/>
        <v>0</v>
      </c>
      <c r="N1755" s="2">
        <f t="shared" si="1653"/>
        <v>1.5</v>
      </c>
      <c r="O1755" s="2">
        <f t="shared" si="1670"/>
        <v>1800</v>
      </c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</row>
    <row r="1756" spans="1:33" s="14" customFormat="1" ht="15" customHeight="1">
      <c r="A1756" s="10">
        <v>43018</v>
      </c>
      <c r="B1756" s="3" t="s">
        <v>208</v>
      </c>
      <c r="C1756" s="15" t="s">
        <v>47</v>
      </c>
      <c r="D1756" s="15">
        <v>520</v>
      </c>
      <c r="E1756" s="11">
        <v>2000</v>
      </c>
      <c r="F1756" s="3" t="s">
        <v>8</v>
      </c>
      <c r="G1756" s="46">
        <v>26</v>
      </c>
      <c r="H1756" s="3">
        <v>0</v>
      </c>
      <c r="I1756" s="46">
        <v>0</v>
      </c>
      <c r="J1756" s="55">
        <v>0</v>
      </c>
      <c r="K1756" s="1">
        <v>0</v>
      </c>
      <c r="L1756" s="51">
        <f t="shared" ref="L1756" si="1717">(IF(F1756="SELL",IF(I1756="",0,H1756-I1756),IF(F1756="BUY",IF(I1756="",0,I1756-H1756))))*E1756</f>
        <v>0</v>
      </c>
      <c r="M1756" s="52">
        <f t="shared" si="1712"/>
        <v>0</v>
      </c>
      <c r="N1756" s="2">
        <v>0</v>
      </c>
      <c r="O1756" s="2">
        <f t="shared" si="1670"/>
        <v>0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</row>
    <row r="1757" spans="1:33" s="14" customFormat="1" ht="15" customHeight="1">
      <c r="A1757" s="10">
        <v>43017</v>
      </c>
      <c r="B1757" s="3" t="s">
        <v>206</v>
      </c>
      <c r="C1757" s="15" t="s">
        <v>47</v>
      </c>
      <c r="D1757" s="15">
        <v>620</v>
      </c>
      <c r="E1757" s="11">
        <v>1500</v>
      </c>
      <c r="F1757" s="3" t="s">
        <v>8</v>
      </c>
      <c r="G1757" s="46">
        <v>9</v>
      </c>
      <c r="H1757" s="3">
        <v>10.4</v>
      </c>
      <c r="I1757" s="46">
        <v>0</v>
      </c>
      <c r="J1757" s="55">
        <v>0</v>
      </c>
      <c r="K1757" s="1">
        <f t="shared" ref="K1757" si="1718">(IF(F1757="SELL",G1757-H1757,IF(F1757="BUY",H1757-G1757)))*E1757</f>
        <v>2100.0000000000005</v>
      </c>
      <c r="L1757" s="51">
        <v>0</v>
      </c>
      <c r="M1757" s="52">
        <v>0</v>
      </c>
      <c r="N1757" s="2">
        <f t="shared" ref="N1757:N1820" si="1719">(L1757+K1757+M1757)/E1757</f>
        <v>1.4000000000000004</v>
      </c>
      <c r="O1757" s="2">
        <f t="shared" si="1670"/>
        <v>2100.0000000000005</v>
      </c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</row>
    <row r="1758" spans="1:33" s="14" customFormat="1" ht="15" customHeight="1">
      <c r="A1758" s="10">
        <v>43017</v>
      </c>
      <c r="B1758" s="3" t="s">
        <v>207</v>
      </c>
      <c r="C1758" s="15" t="s">
        <v>47</v>
      </c>
      <c r="D1758" s="15">
        <v>1320</v>
      </c>
      <c r="E1758" s="11">
        <v>550</v>
      </c>
      <c r="F1758" s="3" t="s">
        <v>8</v>
      </c>
      <c r="G1758" s="46">
        <v>25</v>
      </c>
      <c r="H1758" s="3">
        <v>28</v>
      </c>
      <c r="I1758" s="46">
        <v>0</v>
      </c>
      <c r="J1758" s="55">
        <v>0</v>
      </c>
      <c r="K1758" s="1">
        <f t="shared" ref="K1758" si="1720">(IF(F1758="SELL",G1758-H1758,IF(F1758="BUY",H1758-G1758)))*E1758</f>
        <v>1650</v>
      </c>
      <c r="L1758" s="51">
        <v>0</v>
      </c>
      <c r="M1758" s="52">
        <f>(IF(F1758="SELL",IF(J1758="",0,I1758-J1758),IF(F1758="BUY",IF(J1758="",0,(J1758-I1758)))))*E1758</f>
        <v>0</v>
      </c>
      <c r="N1758" s="2">
        <f t="shared" si="1719"/>
        <v>3</v>
      </c>
      <c r="O1758" s="2">
        <f t="shared" si="1670"/>
        <v>1650</v>
      </c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</row>
    <row r="1759" spans="1:33" s="14" customFormat="1" ht="15" customHeight="1">
      <c r="A1759" s="10">
        <v>43014</v>
      </c>
      <c r="B1759" s="3" t="s">
        <v>195</v>
      </c>
      <c r="C1759" s="15" t="s">
        <v>47</v>
      </c>
      <c r="D1759" s="15">
        <v>670</v>
      </c>
      <c r="E1759" s="11">
        <v>2000</v>
      </c>
      <c r="F1759" s="3" t="s">
        <v>8</v>
      </c>
      <c r="G1759" s="46">
        <v>15</v>
      </c>
      <c r="H1759" s="3">
        <v>16</v>
      </c>
      <c r="I1759" s="46">
        <v>18</v>
      </c>
      <c r="J1759" s="55">
        <v>20</v>
      </c>
      <c r="K1759" s="1">
        <f t="shared" ref="K1759" si="1721">(IF(F1759="SELL",G1759-H1759,IF(F1759="BUY",H1759-G1759)))*E1759</f>
        <v>2000</v>
      </c>
      <c r="L1759" s="51">
        <f t="shared" ref="L1759" si="1722">(IF(F1759="SELL",IF(I1759="",0,H1759-I1759),IF(F1759="BUY",IF(I1759="",0,I1759-H1759))))*E1759</f>
        <v>4000</v>
      </c>
      <c r="M1759" s="52">
        <f>(IF(F1759="SELL",IF(J1759="",0,I1759-J1759),IF(F1759="BUY",IF(J1759="",0,(J1759-I1759)))))*E1759</f>
        <v>4000</v>
      </c>
      <c r="N1759" s="2">
        <f t="shared" si="1719"/>
        <v>5</v>
      </c>
      <c r="O1759" s="2">
        <f t="shared" si="1670"/>
        <v>10000</v>
      </c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</row>
    <row r="1760" spans="1:33" s="14" customFormat="1" ht="15" customHeight="1">
      <c r="A1760" s="10">
        <v>43014</v>
      </c>
      <c r="B1760" s="3" t="s">
        <v>192</v>
      </c>
      <c r="C1760" s="15" t="s">
        <v>47</v>
      </c>
      <c r="D1760" s="15">
        <v>1040</v>
      </c>
      <c r="E1760" s="11">
        <v>1000</v>
      </c>
      <c r="F1760" s="3" t="s">
        <v>8</v>
      </c>
      <c r="G1760" s="46">
        <v>17</v>
      </c>
      <c r="H1760" s="3">
        <v>18.5</v>
      </c>
      <c r="I1760" s="46">
        <v>24</v>
      </c>
      <c r="J1760" s="55">
        <v>27</v>
      </c>
      <c r="K1760" s="1">
        <f t="shared" ref="K1760" si="1723">(IF(F1760="SELL",G1760-H1760,IF(F1760="BUY",H1760-G1760)))*E1760</f>
        <v>1500</v>
      </c>
      <c r="L1760" s="51">
        <f t="shared" ref="L1760" si="1724">(IF(F1760="SELL",IF(I1760="",0,H1760-I1760),IF(F1760="BUY",IF(I1760="",0,I1760-H1760))))*E1760</f>
        <v>5500</v>
      </c>
      <c r="M1760" s="52">
        <f>(IF(F1760="SELL",IF(J1760="",0,I1760-J1760),IF(F1760="BUY",IF(J1760="",0,(J1760-I1760)))))*E1760</f>
        <v>3000</v>
      </c>
      <c r="N1760" s="2">
        <f t="shared" si="1719"/>
        <v>10</v>
      </c>
      <c r="O1760" s="2">
        <f t="shared" si="1670"/>
        <v>10000</v>
      </c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</row>
    <row r="1761" spans="1:33" s="14" customFormat="1" ht="15" customHeight="1">
      <c r="A1761" s="10">
        <v>43014</v>
      </c>
      <c r="B1761" s="3" t="s">
        <v>206</v>
      </c>
      <c r="C1761" s="15" t="s">
        <v>47</v>
      </c>
      <c r="D1761" s="15">
        <v>600</v>
      </c>
      <c r="E1761" s="11">
        <v>1500</v>
      </c>
      <c r="F1761" s="3" t="s">
        <v>8</v>
      </c>
      <c r="G1761" s="46">
        <v>16</v>
      </c>
      <c r="H1761" s="3">
        <v>17.5</v>
      </c>
      <c r="I1761" s="46">
        <v>21</v>
      </c>
      <c r="J1761" s="55">
        <v>0</v>
      </c>
      <c r="K1761" s="1">
        <f t="shared" ref="K1761" si="1725">(IF(F1761="SELL",G1761-H1761,IF(F1761="BUY",H1761-G1761)))*E1761</f>
        <v>2250</v>
      </c>
      <c r="L1761" s="51">
        <f t="shared" ref="L1761" si="1726">(IF(F1761="SELL",IF(I1761="",0,H1761-I1761),IF(F1761="BUY",IF(I1761="",0,I1761-H1761))))*E1761</f>
        <v>5250</v>
      </c>
      <c r="M1761" s="52">
        <v>0</v>
      </c>
      <c r="N1761" s="2">
        <f t="shared" si="1719"/>
        <v>5</v>
      </c>
      <c r="O1761" s="2">
        <f t="shared" si="1670"/>
        <v>7500</v>
      </c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</row>
    <row r="1762" spans="1:33" s="14" customFormat="1" ht="15" customHeight="1">
      <c r="A1762" s="10">
        <v>43014</v>
      </c>
      <c r="B1762" s="3" t="s">
        <v>190</v>
      </c>
      <c r="C1762" s="15" t="s">
        <v>47</v>
      </c>
      <c r="D1762" s="15">
        <v>750</v>
      </c>
      <c r="E1762" s="11">
        <v>1100</v>
      </c>
      <c r="F1762" s="3" t="s">
        <v>8</v>
      </c>
      <c r="G1762" s="46">
        <v>19</v>
      </c>
      <c r="H1762" s="3">
        <v>21</v>
      </c>
      <c r="I1762" s="46">
        <v>0</v>
      </c>
      <c r="J1762" s="55">
        <v>0</v>
      </c>
      <c r="K1762" s="1">
        <f t="shared" ref="K1762" si="1727">(IF(F1762="SELL",G1762-H1762,IF(F1762="BUY",H1762-G1762)))*E1762</f>
        <v>2200</v>
      </c>
      <c r="L1762" s="51">
        <v>0</v>
      </c>
      <c r="M1762" s="52">
        <v>0</v>
      </c>
      <c r="N1762" s="2">
        <f t="shared" si="1719"/>
        <v>2</v>
      </c>
      <c r="O1762" s="2">
        <f t="shared" si="1670"/>
        <v>2200</v>
      </c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</row>
    <row r="1763" spans="1:33" s="14" customFormat="1" ht="15" customHeight="1">
      <c r="A1763" s="10">
        <v>43013</v>
      </c>
      <c r="B1763" s="3" t="s">
        <v>139</v>
      </c>
      <c r="C1763" s="15" t="s">
        <v>47</v>
      </c>
      <c r="D1763" s="15">
        <v>1480</v>
      </c>
      <c r="E1763" s="11">
        <v>500</v>
      </c>
      <c r="F1763" s="3" t="s">
        <v>8</v>
      </c>
      <c r="G1763" s="46">
        <v>52</v>
      </c>
      <c r="H1763" s="3">
        <v>56</v>
      </c>
      <c r="I1763" s="46">
        <v>62</v>
      </c>
      <c r="J1763" s="55">
        <v>0</v>
      </c>
      <c r="K1763" s="1">
        <f t="shared" ref="K1763" si="1728">(IF(F1763="SELL",G1763-H1763,IF(F1763="BUY",H1763-G1763)))*E1763</f>
        <v>2000</v>
      </c>
      <c r="L1763" s="51">
        <f t="shared" ref="L1763:L1764" si="1729">(IF(F1763="SELL",IF(I1763="",0,H1763-I1763),IF(F1763="BUY",IF(I1763="",0,I1763-H1763))))*E1763</f>
        <v>3000</v>
      </c>
      <c r="M1763" s="52">
        <v>0</v>
      </c>
      <c r="N1763" s="2">
        <f t="shared" si="1719"/>
        <v>10</v>
      </c>
      <c r="O1763" s="2">
        <f t="shared" si="1670"/>
        <v>5000</v>
      </c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</row>
    <row r="1764" spans="1:33" s="14" customFormat="1" ht="15" customHeight="1">
      <c r="A1764" s="10">
        <v>43013</v>
      </c>
      <c r="B1764" s="3" t="s">
        <v>167</v>
      </c>
      <c r="C1764" s="15" t="s">
        <v>47</v>
      </c>
      <c r="D1764" s="15">
        <v>980</v>
      </c>
      <c r="E1764" s="11">
        <v>1000</v>
      </c>
      <c r="F1764" s="3" t="s">
        <v>8</v>
      </c>
      <c r="G1764" s="46">
        <v>23.5</v>
      </c>
      <c r="H1764" s="3">
        <v>25</v>
      </c>
      <c r="I1764" s="46">
        <v>28</v>
      </c>
      <c r="J1764" s="55">
        <v>0</v>
      </c>
      <c r="K1764" s="1">
        <f t="shared" ref="K1764" si="1730">(IF(F1764="SELL",G1764-H1764,IF(F1764="BUY",H1764-G1764)))*E1764</f>
        <v>1500</v>
      </c>
      <c r="L1764" s="51">
        <f t="shared" si="1729"/>
        <v>3000</v>
      </c>
      <c r="M1764" s="52">
        <v>0</v>
      </c>
      <c r="N1764" s="2">
        <f t="shared" si="1719"/>
        <v>4.5</v>
      </c>
      <c r="O1764" s="2">
        <f t="shared" si="1670"/>
        <v>4500</v>
      </c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</row>
    <row r="1765" spans="1:33" s="14" customFormat="1" ht="15" customHeight="1">
      <c r="A1765" s="10">
        <v>43013</v>
      </c>
      <c r="B1765" s="3" t="s">
        <v>205</v>
      </c>
      <c r="C1765" s="15" t="s">
        <v>47</v>
      </c>
      <c r="D1765" s="15">
        <v>1700</v>
      </c>
      <c r="E1765" s="11">
        <v>400</v>
      </c>
      <c r="F1765" s="3" t="s">
        <v>8</v>
      </c>
      <c r="G1765" s="46">
        <v>35</v>
      </c>
      <c r="H1765" s="3">
        <v>39</v>
      </c>
      <c r="I1765" s="46">
        <v>0</v>
      </c>
      <c r="J1765" s="55">
        <v>0</v>
      </c>
      <c r="K1765" s="1">
        <f t="shared" ref="K1765" si="1731">(IF(F1765="SELL",G1765-H1765,IF(F1765="BUY",H1765-G1765)))*E1765</f>
        <v>1600</v>
      </c>
      <c r="L1765" s="51">
        <v>0</v>
      </c>
      <c r="M1765" s="52">
        <f>(IF(F1765="SELL",IF(J1765="",0,I1765-J1765),IF(F1765="BUY",IF(J1765="",0,(J1765-I1765)))))*E1765</f>
        <v>0</v>
      </c>
      <c r="N1765" s="2">
        <f t="shared" si="1719"/>
        <v>4</v>
      </c>
      <c r="O1765" s="2">
        <f t="shared" si="1670"/>
        <v>1600</v>
      </c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</row>
    <row r="1766" spans="1:33" s="14" customFormat="1" ht="15" customHeight="1">
      <c r="A1766" s="10">
        <v>43013</v>
      </c>
      <c r="B1766" s="3" t="s">
        <v>139</v>
      </c>
      <c r="C1766" s="15" t="s">
        <v>47</v>
      </c>
      <c r="D1766" s="15">
        <v>500</v>
      </c>
      <c r="E1766" s="11">
        <v>500</v>
      </c>
      <c r="F1766" s="3" t="s">
        <v>8</v>
      </c>
      <c r="G1766" s="46">
        <v>47.2</v>
      </c>
      <c r="H1766" s="3">
        <v>51</v>
      </c>
      <c r="I1766" s="46">
        <v>55</v>
      </c>
      <c r="J1766" s="55">
        <v>60</v>
      </c>
      <c r="K1766" s="1">
        <f t="shared" ref="K1766:K1767" si="1732">(IF(F1766="SELL",G1766-H1766,IF(F1766="BUY",H1766-G1766)))*E1766</f>
        <v>1899.9999999999986</v>
      </c>
      <c r="L1766" s="51">
        <f t="shared" ref="L1766:L1768" si="1733">(IF(F1766="SELL",IF(I1766="",0,H1766-I1766),IF(F1766="BUY",IF(I1766="",0,I1766-H1766))))*E1766</f>
        <v>2000</v>
      </c>
      <c r="M1766" s="52">
        <f>(IF(F1766="SELL",IF(J1766="",0,I1766-J1766),IF(F1766="BUY",IF(J1766="",0,(J1766-I1766)))))*E1766</f>
        <v>2500</v>
      </c>
      <c r="N1766" s="2">
        <f t="shared" si="1719"/>
        <v>12.799999999999997</v>
      </c>
      <c r="O1766" s="2">
        <f t="shared" si="1670"/>
        <v>6399.9999999999982</v>
      </c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</row>
    <row r="1767" spans="1:33" s="14" customFormat="1" ht="15" customHeight="1">
      <c r="A1767" s="10">
        <v>43012</v>
      </c>
      <c r="B1767" s="3" t="s">
        <v>167</v>
      </c>
      <c r="C1767" s="15" t="s">
        <v>46</v>
      </c>
      <c r="D1767" s="15">
        <v>920</v>
      </c>
      <c r="E1767" s="11">
        <v>1000</v>
      </c>
      <c r="F1767" s="3" t="s">
        <v>8</v>
      </c>
      <c r="G1767" s="46">
        <v>24.5</v>
      </c>
      <c r="H1767" s="3">
        <v>19</v>
      </c>
      <c r="I1767" s="46">
        <v>0</v>
      </c>
      <c r="J1767" s="55">
        <v>0</v>
      </c>
      <c r="K1767" s="1">
        <f t="shared" si="1732"/>
        <v>-5500</v>
      </c>
      <c r="L1767" s="51">
        <v>0</v>
      </c>
      <c r="M1767" s="52">
        <f>(IF(F1767="SELL",IF(J1767="",0,I1767-J1767),IF(F1767="BUY",IF(J1767="",0,(J1767-I1767)))))*E1767</f>
        <v>0</v>
      </c>
      <c r="N1767" s="2">
        <f t="shared" si="1719"/>
        <v>-5.5</v>
      </c>
      <c r="O1767" s="2">
        <f t="shared" si="1670"/>
        <v>-5500</v>
      </c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</row>
    <row r="1768" spans="1:33" s="14" customFormat="1" ht="15" customHeight="1">
      <c r="A1768" s="10">
        <v>43011</v>
      </c>
      <c r="B1768" s="3" t="s">
        <v>79</v>
      </c>
      <c r="C1768" s="15" t="s">
        <v>47</v>
      </c>
      <c r="D1768" s="15">
        <v>175</v>
      </c>
      <c r="E1768" s="11">
        <v>3500</v>
      </c>
      <c r="F1768" s="3" t="s">
        <v>8</v>
      </c>
      <c r="G1768" s="46">
        <v>6.85</v>
      </c>
      <c r="H1768" s="3">
        <v>7.5</v>
      </c>
      <c r="I1768" s="46">
        <v>8.5</v>
      </c>
      <c r="J1768" s="55">
        <v>9.5</v>
      </c>
      <c r="K1768" s="1">
        <f t="shared" ref="K1768" si="1734">(IF(F1768="SELL",G1768-H1768,IF(F1768="BUY",H1768-G1768)))*E1768</f>
        <v>2275.0000000000014</v>
      </c>
      <c r="L1768" s="51">
        <f t="shared" si="1733"/>
        <v>3500</v>
      </c>
      <c r="M1768" s="52">
        <f>(IF(F1768="SELL",IF(J1768="",0,I1768-J1768),IF(F1768="BUY",IF(J1768="",0,(J1768-I1768)))))*E1768</f>
        <v>3500</v>
      </c>
      <c r="N1768" s="2">
        <f t="shared" si="1719"/>
        <v>2.6500000000000004</v>
      </c>
      <c r="O1768" s="2">
        <f t="shared" si="1670"/>
        <v>9275.0000000000018</v>
      </c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</row>
    <row r="1769" spans="1:33" s="14" customFormat="1" ht="15" customHeight="1">
      <c r="A1769" s="10">
        <v>43011</v>
      </c>
      <c r="B1769" s="3" t="s">
        <v>203</v>
      </c>
      <c r="C1769" s="15" t="s">
        <v>47</v>
      </c>
      <c r="D1769" s="15">
        <v>640</v>
      </c>
      <c r="E1769" s="11">
        <v>1100</v>
      </c>
      <c r="F1769" s="3" t="s">
        <v>8</v>
      </c>
      <c r="G1769" s="46">
        <v>16</v>
      </c>
      <c r="H1769" s="3">
        <v>17.5</v>
      </c>
      <c r="I1769" s="46">
        <v>0</v>
      </c>
      <c r="J1769" s="55">
        <v>0</v>
      </c>
      <c r="K1769" s="1">
        <f t="shared" ref="K1769" si="1735">(IF(F1769="SELL",G1769-H1769,IF(F1769="BUY",H1769-G1769)))*E1769</f>
        <v>1650</v>
      </c>
      <c r="L1769" s="51">
        <v>0</v>
      </c>
      <c r="M1769" s="52">
        <v>0</v>
      </c>
      <c r="N1769" s="2">
        <f t="shared" si="1719"/>
        <v>1.5</v>
      </c>
      <c r="O1769" s="2">
        <f t="shared" si="1670"/>
        <v>1650</v>
      </c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</row>
    <row r="1770" spans="1:33" s="14" customFormat="1" ht="15" customHeight="1">
      <c r="A1770" s="10">
        <v>43011</v>
      </c>
      <c r="B1770" s="3" t="s">
        <v>204</v>
      </c>
      <c r="C1770" s="15" t="s">
        <v>47</v>
      </c>
      <c r="D1770" s="15">
        <v>1260</v>
      </c>
      <c r="E1770" s="11">
        <v>800</v>
      </c>
      <c r="F1770" s="3" t="s">
        <v>8</v>
      </c>
      <c r="G1770" s="46">
        <v>30</v>
      </c>
      <c r="H1770" s="3">
        <v>33</v>
      </c>
      <c r="I1770" s="46">
        <v>0</v>
      </c>
      <c r="J1770" s="55">
        <v>0</v>
      </c>
      <c r="K1770" s="1">
        <f t="shared" ref="K1770" si="1736">(IF(F1770="SELL",G1770-H1770,IF(F1770="BUY",H1770-G1770)))*E1770</f>
        <v>2400</v>
      </c>
      <c r="L1770" s="51">
        <v>0</v>
      </c>
      <c r="M1770" s="52">
        <v>0</v>
      </c>
      <c r="N1770" s="2">
        <f t="shared" si="1719"/>
        <v>3</v>
      </c>
      <c r="O1770" s="2">
        <f t="shared" si="1670"/>
        <v>2400</v>
      </c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</row>
    <row r="1771" spans="1:33" s="14" customFormat="1" ht="15" customHeight="1">
      <c r="A1771" s="10">
        <v>43007</v>
      </c>
      <c r="B1771" s="3" t="s">
        <v>202</v>
      </c>
      <c r="C1771" s="15" t="s">
        <v>47</v>
      </c>
      <c r="D1771" s="15">
        <v>420</v>
      </c>
      <c r="E1771" s="11">
        <v>2500</v>
      </c>
      <c r="F1771" s="3" t="s">
        <v>8</v>
      </c>
      <c r="G1771" s="46">
        <v>12</v>
      </c>
      <c r="H1771" s="3">
        <v>13</v>
      </c>
      <c r="I1771" s="46">
        <v>14</v>
      </c>
      <c r="J1771" s="55">
        <v>0</v>
      </c>
      <c r="K1771" s="1">
        <f t="shared" ref="K1771" si="1737">(IF(F1771="SELL",G1771-H1771,IF(F1771="BUY",H1771-G1771)))*E1771</f>
        <v>2500</v>
      </c>
      <c r="L1771" s="51">
        <f t="shared" ref="L1771" si="1738">(IF(F1771="SELL",IF(I1771="",0,H1771-I1771),IF(F1771="BUY",IF(I1771="",0,I1771-H1771))))*E1771</f>
        <v>2500</v>
      </c>
      <c r="M1771" s="52">
        <v>0</v>
      </c>
      <c r="N1771" s="2">
        <f t="shared" si="1719"/>
        <v>2</v>
      </c>
      <c r="O1771" s="2">
        <f t="shared" si="1670"/>
        <v>5000</v>
      </c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</row>
    <row r="1772" spans="1:33" s="14" customFormat="1" ht="15" customHeight="1">
      <c r="A1772" s="10">
        <v>43007</v>
      </c>
      <c r="B1772" s="3" t="s">
        <v>201</v>
      </c>
      <c r="C1772" s="15" t="s">
        <v>47</v>
      </c>
      <c r="D1772" s="15">
        <v>650</v>
      </c>
      <c r="E1772" s="11">
        <v>2000</v>
      </c>
      <c r="F1772" s="3" t="s">
        <v>8</v>
      </c>
      <c r="G1772" s="46">
        <v>6.2</v>
      </c>
      <c r="H1772" s="3">
        <v>7.2</v>
      </c>
      <c r="I1772" s="46">
        <v>8.1999999999999993</v>
      </c>
      <c r="J1772" s="55">
        <v>10</v>
      </c>
      <c r="K1772" s="1">
        <f t="shared" ref="K1772" si="1739">(IF(F1772="SELL",G1772-H1772,IF(F1772="BUY",H1772-G1772)))*E1772</f>
        <v>2000</v>
      </c>
      <c r="L1772" s="51">
        <f t="shared" ref="L1772" si="1740">(IF(F1772="SELL",IF(I1772="",0,H1772-I1772),IF(F1772="BUY",IF(I1772="",0,I1772-H1772))))*E1772</f>
        <v>1999.9999999999982</v>
      </c>
      <c r="M1772" s="52">
        <f>(IF(F1772="SELL",IF(J1772="",0,I1772-J1772),IF(F1772="BUY",IF(J1772="",0,(J1772-I1772)))))*E1772</f>
        <v>3600.0000000000014</v>
      </c>
      <c r="N1772" s="2">
        <f t="shared" si="1719"/>
        <v>3.8</v>
      </c>
      <c r="O1772" s="2">
        <f t="shared" si="1670"/>
        <v>7600</v>
      </c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</row>
    <row r="1773" spans="1:33" s="14" customFormat="1" ht="15" customHeight="1">
      <c r="A1773" s="10">
        <v>43007</v>
      </c>
      <c r="B1773" s="3" t="s">
        <v>35</v>
      </c>
      <c r="C1773" s="15" t="s">
        <v>47</v>
      </c>
      <c r="D1773" s="15">
        <v>640</v>
      </c>
      <c r="E1773" s="11">
        <v>1100</v>
      </c>
      <c r="F1773" s="3" t="s">
        <v>8</v>
      </c>
      <c r="G1773" s="46">
        <v>15.3</v>
      </c>
      <c r="H1773" s="3">
        <v>16.95</v>
      </c>
      <c r="I1773" s="46">
        <v>0</v>
      </c>
      <c r="J1773" s="55">
        <v>0</v>
      </c>
      <c r="K1773" s="1">
        <f t="shared" ref="K1773" si="1741">(IF(F1773="SELL",G1773-H1773,IF(F1773="BUY",H1773-G1773)))*E1773</f>
        <v>1814.9999999999984</v>
      </c>
      <c r="L1773" s="51">
        <v>0</v>
      </c>
      <c r="M1773" s="52">
        <v>0</v>
      </c>
      <c r="N1773" s="2">
        <f t="shared" si="1719"/>
        <v>1.6499999999999986</v>
      </c>
      <c r="O1773" s="2">
        <f t="shared" si="1670"/>
        <v>1814.9999999999984</v>
      </c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</row>
    <row r="1774" spans="1:33" s="14" customFormat="1" ht="15" customHeight="1">
      <c r="A1774" s="10">
        <v>43006</v>
      </c>
      <c r="B1774" s="3" t="s">
        <v>200</v>
      </c>
      <c r="C1774" s="15" t="s">
        <v>47</v>
      </c>
      <c r="D1774" s="15">
        <v>630</v>
      </c>
      <c r="E1774" s="11">
        <v>1500</v>
      </c>
      <c r="F1774" s="3" t="s">
        <v>8</v>
      </c>
      <c r="G1774" s="46">
        <v>6.75</v>
      </c>
      <c r="H1774" s="3">
        <v>8</v>
      </c>
      <c r="I1774" s="46">
        <v>10</v>
      </c>
      <c r="J1774" s="55">
        <v>0</v>
      </c>
      <c r="K1774" s="1">
        <f t="shared" ref="K1774:K1775" si="1742">(IF(F1774="SELL",G1774-H1774,IF(F1774="BUY",H1774-G1774)))*E1774</f>
        <v>1875</v>
      </c>
      <c r="L1774" s="51">
        <f t="shared" ref="L1774" si="1743">(IF(F1774="SELL",IF(I1774="",0,H1774-I1774),IF(F1774="BUY",IF(I1774="",0,I1774-H1774))))*E1774</f>
        <v>3000</v>
      </c>
      <c r="M1774" s="52">
        <v>0</v>
      </c>
      <c r="N1774" s="2">
        <f t="shared" si="1719"/>
        <v>3.25</v>
      </c>
      <c r="O1774" s="2">
        <f t="shared" si="1670"/>
        <v>4875</v>
      </c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</row>
    <row r="1775" spans="1:33" s="14" customFormat="1" ht="15" customHeight="1">
      <c r="A1775" s="10">
        <v>43006</v>
      </c>
      <c r="B1775" s="3" t="s">
        <v>28</v>
      </c>
      <c r="C1775" s="15" t="s">
        <v>46</v>
      </c>
      <c r="D1775" s="15">
        <v>385</v>
      </c>
      <c r="E1775" s="11">
        <v>1700</v>
      </c>
      <c r="F1775" s="3" t="s">
        <v>8</v>
      </c>
      <c r="G1775" s="46">
        <v>6</v>
      </c>
      <c r="H1775" s="3">
        <v>7</v>
      </c>
      <c r="I1775" s="46">
        <v>0</v>
      </c>
      <c r="J1775" s="55">
        <v>0</v>
      </c>
      <c r="K1775" s="1">
        <f t="shared" si="1742"/>
        <v>1700</v>
      </c>
      <c r="L1775" s="51">
        <v>0</v>
      </c>
      <c r="M1775" s="52">
        <f>(IF(F1775="SELL",IF(J1775="",0,I1775-J1775),IF(F1775="BUY",IF(J1775="",0,(J1775-I1775)))))*E1775</f>
        <v>0</v>
      </c>
      <c r="N1775" s="2">
        <f t="shared" si="1719"/>
        <v>1</v>
      </c>
      <c r="O1775" s="2">
        <f t="shared" si="1670"/>
        <v>1700</v>
      </c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</row>
    <row r="1776" spans="1:33" s="14" customFormat="1" ht="15" customHeight="1">
      <c r="A1776" s="10">
        <v>43005</v>
      </c>
      <c r="B1776" s="3" t="s">
        <v>26</v>
      </c>
      <c r="C1776" s="15" t="s">
        <v>47</v>
      </c>
      <c r="D1776" s="15">
        <v>650</v>
      </c>
      <c r="E1776" s="11">
        <v>1700</v>
      </c>
      <c r="F1776" s="3" t="s">
        <v>8</v>
      </c>
      <c r="G1776" s="46">
        <v>6.2</v>
      </c>
      <c r="H1776" s="3">
        <v>0</v>
      </c>
      <c r="I1776" s="46">
        <v>0</v>
      </c>
      <c r="J1776" s="55">
        <v>0</v>
      </c>
      <c r="K1776" s="1">
        <v>0</v>
      </c>
      <c r="L1776" s="51">
        <v>0</v>
      </c>
      <c r="M1776" s="52">
        <f>(IF(F1776="SELL",IF(J1776="",0,I1776-J1776),IF(F1776="BUY",IF(J1776="",0,(J1776-I1776)))))*E1776</f>
        <v>0</v>
      </c>
      <c r="N1776" s="2">
        <f t="shared" si="1719"/>
        <v>0</v>
      </c>
      <c r="O1776" s="2">
        <f t="shared" si="1670"/>
        <v>0</v>
      </c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</row>
    <row r="1777" spans="1:33" s="14" customFormat="1" ht="15" customHeight="1">
      <c r="A1777" s="10">
        <v>43004</v>
      </c>
      <c r="B1777" s="3" t="s">
        <v>199</v>
      </c>
      <c r="C1777" s="15" t="s">
        <v>47</v>
      </c>
      <c r="D1777" s="15">
        <v>650</v>
      </c>
      <c r="E1777" s="11">
        <v>2000</v>
      </c>
      <c r="F1777" s="3" t="s">
        <v>8</v>
      </c>
      <c r="G1777" s="46">
        <v>6.2</v>
      </c>
      <c r="H1777" s="3">
        <v>7.2</v>
      </c>
      <c r="I1777" s="46">
        <v>8.1999999999999993</v>
      </c>
      <c r="J1777" s="55">
        <v>10</v>
      </c>
      <c r="K1777" s="1">
        <f t="shared" ref="K1777" si="1744">(IF(F1777="SELL",G1777-H1777,IF(F1777="BUY",H1777-G1777)))*E1777</f>
        <v>2000</v>
      </c>
      <c r="L1777" s="51">
        <f t="shared" ref="L1777" si="1745">(IF(F1777="SELL",IF(I1777="",0,H1777-I1777),IF(F1777="BUY",IF(I1777="",0,I1777-H1777))))*E1777</f>
        <v>1999.9999999999982</v>
      </c>
      <c r="M1777" s="52">
        <f>(IF(F1777="SELL",IF(J1777="",0,I1777-J1777),IF(F1777="BUY",IF(J1777="",0,(J1777-I1777)))))*E1777</f>
        <v>3600.0000000000014</v>
      </c>
      <c r="N1777" s="2">
        <f t="shared" si="1719"/>
        <v>3.8</v>
      </c>
      <c r="O1777" s="2">
        <f t="shared" ref="O1777:O1840" si="1746">N1777*E1777</f>
        <v>7600</v>
      </c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</row>
    <row r="1778" spans="1:33" s="14" customFormat="1" ht="15" customHeight="1">
      <c r="A1778" s="10">
        <v>43004</v>
      </c>
      <c r="B1778" s="3" t="s">
        <v>172</v>
      </c>
      <c r="C1778" s="15" t="s">
        <v>46</v>
      </c>
      <c r="D1778" s="15">
        <v>420</v>
      </c>
      <c r="E1778" s="11">
        <v>1500</v>
      </c>
      <c r="F1778" s="3" t="s">
        <v>8</v>
      </c>
      <c r="G1778" s="46">
        <v>11</v>
      </c>
      <c r="H1778" s="3">
        <v>12</v>
      </c>
      <c r="I1778" s="46">
        <v>14</v>
      </c>
      <c r="J1778" s="55">
        <v>16</v>
      </c>
      <c r="K1778" s="1">
        <f t="shared" ref="K1778" si="1747">(IF(F1778="SELL",G1778-H1778,IF(F1778="BUY",H1778-G1778)))*E1778</f>
        <v>1500</v>
      </c>
      <c r="L1778" s="51">
        <f t="shared" ref="L1778" si="1748">(IF(F1778="SELL",IF(I1778="",0,H1778-I1778),IF(F1778="BUY",IF(I1778="",0,I1778-H1778))))*E1778</f>
        <v>3000</v>
      </c>
      <c r="M1778" s="52">
        <f>(IF(F1778="SELL",IF(J1778="",0,I1778-J1778),IF(F1778="BUY",IF(J1778="",0,(J1778-I1778)))))*E1778</f>
        <v>3000</v>
      </c>
      <c r="N1778" s="2">
        <f t="shared" si="1719"/>
        <v>5</v>
      </c>
      <c r="O1778" s="2">
        <f t="shared" si="1746"/>
        <v>7500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</row>
    <row r="1779" spans="1:33" s="14" customFormat="1" ht="15" customHeight="1">
      <c r="A1779" s="10">
        <v>43003</v>
      </c>
      <c r="B1779" s="3" t="s">
        <v>197</v>
      </c>
      <c r="C1779" s="15" t="s">
        <v>47</v>
      </c>
      <c r="D1779" s="15">
        <v>165</v>
      </c>
      <c r="E1779" s="11">
        <v>6000</v>
      </c>
      <c r="F1779" s="3" t="s">
        <v>8</v>
      </c>
      <c r="G1779" s="46">
        <v>3.3</v>
      </c>
      <c r="H1779" s="3">
        <v>3.9</v>
      </c>
      <c r="I1779" s="46">
        <v>4.5</v>
      </c>
      <c r="J1779" s="55">
        <v>0</v>
      </c>
      <c r="K1779" s="1">
        <f t="shared" ref="K1779" si="1749">(IF(F1779="SELL",G1779-H1779,IF(F1779="BUY",H1779-G1779)))*E1779</f>
        <v>3600.0000000000005</v>
      </c>
      <c r="L1779" s="51">
        <f t="shared" ref="L1779" si="1750">(IF(F1779="SELL",IF(I1779="",0,H1779-I1779),IF(F1779="BUY",IF(I1779="",0,I1779-H1779))))*E1779</f>
        <v>3600.0000000000005</v>
      </c>
      <c r="M1779" s="52">
        <v>0</v>
      </c>
      <c r="N1779" s="2">
        <f t="shared" si="1719"/>
        <v>1.2000000000000002</v>
      </c>
      <c r="O1779" s="2">
        <f t="shared" si="1746"/>
        <v>7200.0000000000009</v>
      </c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</row>
    <row r="1780" spans="1:33" s="14" customFormat="1" ht="15" customHeight="1">
      <c r="A1780" s="10">
        <v>43003</v>
      </c>
      <c r="B1780" s="3" t="s">
        <v>195</v>
      </c>
      <c r="C1780" s="15" t="s">
        <v>47</v>
      </c>
      <c r="D1780" s="15">
        <v>640</v>
      </c>
      <c r="E1780" s="11">
        <v>2000</v>
      </c>
      <c r="F1780" s="3" t="s">
        <v>8</v>
      </c>
      <c r="G1780" s="46">
        <v>6.6</v>
      </c>
      <c r="H1780" s="3">
        <v>7.6</v>
      </c>
      <c r="I1780" s="46">
        <v>9.6999999999999993</v>
      </c>
      <c r="J1780" s="55">
        <v>0</v>
      </c>
      <c r="K1780" s="1">
        <f t="shared" ref="K1780" si="1751">(IF(F1780="SELL",G1780-H1780,IF(F1780="BUY",H1780-G1780)))*E1780</f>
        <v>2000</v>
      </c>
      <c r="L1780" s="51">
        <f t="shared" ref="L1780" si="1752">(IF(F1780="SELL",IF(I1780="",0,H1780-I1780),IF(F1780="BUY",IF(I1780="",0,I1780-H1780))))*E1780</f>
        <v>4199.9999999999991</v>
      </c>
      <c r="M1780" s="52">
        <v>0</v>
      </c>
      <c r="N1780" s="2">
        <f t="shared" si="1719"/>
        <v>3.0999999999999996</v>
      </c>
      <c r="O1780" s="2">
        <f t="shared" si="1746"/>
        <v>6199.9999999999991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</row>
    <row r="1781" spans="1:33" s="14" customFormat="1" ht="15" customHeight="1">
      <c r="A1781" s="10">
        <v>43003</v>
      </c>
      <c r="B1781" s="3" t="s">
        <v>198</v>
      </c>
      <c r="C1781" s="15" t="s">
        <v>47</v>
      </c>
      <c r="D1781" s="15">
        <v>260</v>
      </c>
      <c r="E1781" s="11">
        <v>3000</v>
      </c>
      <c r="F1781" s="3" t="s">
        <v>8</v>
      </c>
      <c r="G1781" s="46">
        <v>2.6</v>
      </c>
      <c r="H1781" s="3">
        <v>3.1</v>
      </c>
      <c r="I1781" s="46">
        <v>0</v>
      </c>
      <c r="J1781" s="55">
        <v>0</v>
      </c>
      <c r="K1781" s="1">
        <f t="shared" ref="K1781" si="1753">(IF(F1781="SELL",G1781-H1781,IF(F1781="BUY",H1781-G1781)))*E1781</f>
        <v>1500</v>
      </c>
      <c r="L1781" s="51">
        <v>0</v>
      </c>
      <c r="M1781" s="52">
        <v>0</v>
      </c>
      <c r="N1781" s="2">
        <f t="shared" si="1719"/>
        <v>0.5</v>
      </c>
      <c r="O1781" s="2">
        <f t="shared" si="1746"/>
        <v>1500</v>
      </c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</row>
    <row r="1782" spans="1:33" s="14" customFormat="1" ht="15" customHeight="1">
      <c r="A1782" s="10">
        <v>43000</v>
      </c>
      <c r="B1782" s="3" t="s">
        <v>158</v>
      </c>
      <c r="C1782" s="15" t="s">
        <v>47</v>
      </c>
      <c r="D1782" s="15">
        <v>8100</v>
      </c>
      <c r="E1782" s="11">
        <v>150</v>
      </c>
      <c r="F1782" s="3" t="s">
        <v>8</v>
      </c>
      <c r="G1782" s="46">
        <v>77</v>
      </c>
      <c r="H1782" s="3">
        <v>0</v>
      </c>
      <c r="I1782" s="46">
        <v>0</v>
      </c>
      <c r="J1782" s="55">
        <v>0</v>
      </c>
      <c r="K1782" s="1">
        <v>0</v>
      </c>
      <c r="L1782" s="51">
        <f t="shared" ref="L1782" si="1754">(IF(F1782="SELL",IF(I1782="",0,H1782-I1782),IF(F1782="BUY",IF(I1782="",0,I1782-H1782))))*E1782</f>
        <v>0</v>
      </c>
      <c r="M1782" s="52">
        <v>0</v>
      </c>
      <c r="N1782" s="2">
        <f t="shared" si="1719"/>
        <v>0</v>
      </c>
      <c r="O1782" s="2">
        <f t="shared" si="1746"/>
        <v>0</v>
      </c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</row>
    <row r="1783" spans="1:33" s="14" customFormat="1" ht="15" customHeight="1">
      <c r="A1783" s="10">
        <v>42999</v>
      </c>
      <c r="B1783" s="3" t="s">
        <v>195</v>
      </c>
      <c r="C1783" s="15" t="s">
        <v>47</v>
      </c>
      <c r="D1783" s="15">
        <v>690</v>
      </c>
      <c r="E1783" s="11">
        <v>2000</v>
      </c>
      <c r="F1783" s="3" t="s">
        <v>8</v>
      </c>
      <c r="G1783" s="46">
        <v>9.4</v>
      </c>
      <c r="H1783" s="3">
        <v>10.4</v>
      </c>
      <c r="I1783" s="46">
        <v>12</v>
      </c>
      <c r="J1783" s="55">
        <v>0</v>
      </c>
      <c r="K1783" s="1">
        <f t="shared" ref="K1783" si="1755">(IF(F1783="SELL",G1783-H1783,IF(F1783="BUY",H1783-G1783)))*E1783</f>
        <v>2000</v>
      </c>
      <c r="L1783" s="51">
        <f t="shared" ref="L1783" si="1756">(IF(F1783="SELL",IF(I1783="",0,H1783-I1783),IF(F1783="BUY",IF(I1783="",0,I1783-H1783))))*E1783</f>
        <v>3199.9999999999991</v>
      </c>
      <c r="M1783" s="52">
        <v>0</v>
      </c>
      <c r="N1783" s="2">
        <f t="shared" si="1719"/>
        <v>2.5999999999999996</v>
      </c>
      <c r="O1783" s="2">
        <f t="shared" si="1746"/>
        <v>5199.9999999999991</v>
      </c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</row>
    <row r="1784" spans="1:33" s="14" customFormat="1" ht="15" customHeight="1">
      <c r="A1784" s="10">
        <v>42999</v>
      </c>
      <c r="B1784" s="3" t="s">
        <v>196</v>
      </c>
      <c r="C1784" s="15" t="s">
        <v>47</v>
      </c>
      <c r="D1784" s="15">
        <v>450</v>
      </c>
      <c r="E1784" s="11">
        <v>1100</v>
      </c>
      <c r="F1784" s="3" t="s">
        <v>8</v>
      </c>
      <c r="G1784" s="46">
        <v>9.5</v>
      </c>
      <c r="H1784" s="3">
        <v>10.5</v>
      </c>
      <c r="I1784" s="46">
        <v>12</v>
      </c>
      <c r="J1784" s="55">
        <v>0</v>
      </c>
      <c r="K1784" s="1">
        <f t="shared" ref="K1784" si="1757">(IF(F1784="SELL",G1784-H1784,IF(F1784="BUY",H1784-G1784)))*E1784</f>
        <v>1100</v>
      </c>
      <c r="L1784" s="51">
        <f t="shared" ref="L1784" si="1758">(IF(F1784="SELL",IF(I1784="",0,H1784-I1784),IF(F1784="BUY",IF(I1784="",0,I1784-H1784))))*E1784</f>
        <v>1650</v>
      </c>
      <c r="M1784" s="52">
        <v>0</v>
      </c>
      <c r="N1784" s="2">
        <f t="shared" si="1719"/>
        <v>2.5</v>
      </c>
      <c r="O1784" s="2">
        <f t="shared" si="1746"/>
        <v>2750</v>
      </c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</row>
    <row r="1785" spans="1:33" s="14" customFormat="1" ht="15" customHeight="1">
      <c r="A1785" s="10">
        <v>42999</v>
      </c>
      <c r="B1785" s="3" t="s">
        <v>155</v>
      </c>
      <c r="C1785" s="15" t="s">
        <v>47</v>
      </c>
      <c r="D1785" s="15">
        <v>1040</v>
      </c>
      <c r="E1785" s="11">
        <v>400</v>
      </c>
      <c r="F1785" s="3" t="s">
        <v>8</v>
      </c>
      <c r="G1785" s="46">
        <v>21</v>
      </c>
      <c r="H1785" s="3">
        <v>25</v>
      </c>
      <c r="I1785" s="46">
        <v>0</v>
      </c>
      <c r="J1785" s="55">
        <v>0</v>
      </c>
      <c r="K1785" s="1">
        <f t="shared" ref="K1785" si="1759">(IF(F1785="SELL",G1785-H1785,IF(F1785="BUY",H1785-G1785)))*E1785</f>
        <v>1600</v>
      </c>
      <c r="L1785" s="51">
        <v>0</v>
      </c>
      <c r="M1785" s="52">
        <v>0</v>
      </c>
      <c r="N1785" s="2">
        <f t="shared" si="1719"/>
        <v>4</v>
      </c>
      <c r="O1785" s="2">
        <f t="shared" si="1746"/>
        <v>1600</v>
      </c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</row>
    <row r="1786" spans="1:33" s="14" customFormat="1" ht="15" customHeight="1">
      <c r="A1786" s="10">
        <v>42998</v>
      </c>
      <c r="B1786" s="3" t="s">
        <v>195</v>
      </c>
      <c r="C1786" s="15" t="s">
        <v>47</v>
      </c>
      <c r="D1786" s="15">
        <v>680</v>
      </c>
      <c r="E1786" s="11">
        <v>2000</v>
      </c>
      <c r="F1786" s="3" t="s">
        <v>8</v>
      </c>
      <c r="G1786" s="46">
        <v>13</v>
      </c>
      <c r="H1786" s="3">
        <v>14</v>
      </c>
      <c r="I1786" s="46">
        <v>16</v>
      </c>
      <c r="J1786" s="55">
        <v>0</v>
      </c>
      <c r="K1786" s="1">
        <f t="shared" ref="K1786:K1787" si="1760">(IF(F1786="SELL",G1786-H1786,IF(F1786="BUY",H1786-G1786)))*E1786</f>
        <v>2000</v>
      </c>
      <c r="L1786" s="51">
        <f t="shared" ref="L1786" si="1761">(IF(F1786="SELL",IF(I1786="",0,H1786-I1786),IF(F1786="BUY",IF(I1786="",0,I1786-H1786))))*E1786</f>
        <v>4000</v>
      </c>
      <c r="M1786" s="52">
        <v>0</v>
      </c>
      <c r="N1786" s="2">
        <f t="shared" si="1719"/>
        <v>3</v>
      </c>
      <c r="O1786" s="2">
        <f t="shared" si="1746"/>
        <v>6000</v>
      </c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</row>
    <row r="1787" spans="1:33" s="14" customFormat="1" ht="15" customHeight="1">
      <c r="A1787" s="10">
        <v>42998</v>
      </c>
      <c r="B1787" s="3" t="s">
        <v>181</v>
      </c>
      <c r="C1787" s="15" t="s">
        <v>47</v>
      </c>
      <c r="D1787" s="15">
        <v>1320</v>
      </c>
      <c r="E1787" s="11">
        <v>800</v>
      </c>
      <c r="F1787" s="3" t="s">
        <v>8</v>
      </c>
      <c r="G1787" s="46">
        <v>21.5</v>
      </c>
      <c r="H1787" s="3">
        <v>24.5</v>
      </c>
      <c r="I1787" s="46">
        <v>0</v>
      </c>
      <c r="J1787" s="55">
        <v>0</v>
      </c>
      <c r="K1787" s="1">
        <f t="shared" si="1760"/>
        <v>2400</v>
      </c>
      <c r="L1787" s="51">
        <v>0</v>
      </c>
      <c r="M1787" s="52">
        <v>0</v>
      </c>
      <c r="N1787" s="2">
        <f t="shared" si="1719"/>
        <v>3</v>
      </c>
      <c r="O1787" s="2">
        <f t="shared" si="1746"/>
        <v>2400</v>
      </c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</row>
    <row r="1788" spans="1:33" s="14" customFormat="1" ht="15" customHeight="1">
      <c r="A1788" s="10">
        <v>42997</v>
      </c>
      <c r="B1788" s="3" t="s">
        <v>194</v>
      </c>
      <c r="C1788" s="15" t="s">
        <v>46</v>
      </c>
      <c r="D1788" s="15">
        <v>390</v>
      </c>
      <c r="E1788" s="11">
        <v>1700</v>
      </c>
      <c r="F1788" s="3" t="s">
        <v>8</v>
      </c>
      <c r="G1788" s="46">
        <v>10.25</v>
      </c>
      <c r="H1788" s="3">
        <v>11.25</v>
      </c>
      <c r="I1788" s="46">
        <v>0</v>
      </c>
      <c r="J1788" s="55">
        <v>0</v>
      </c>
      <c r="K1788" s="1">
        <f t="shared" ref="K1788" si="1762">(IF(F1788="SELL",G1788-H1788,IF(F1788="BUY",H1788-G1788)))*E1788</f>
        <v>1700</v>
      </c>
      <c r="L1788" s="51">
        <v>0</v>
      </c>
      <c r="M1788" s="52">
        <f>(IF(F1788="SELL",IF(J1788="",0,I1788-J1788),IF(F1788="BUY",IF(J1788="",0,(J1788-I1788)))))*E1788</f>
        <v>0</v>
      </c>
      <c r="N1788" s="2">
        <f t="shared" si="1719"/>
        <v>1</v>
      </c>
      <c r="O1788" s="2">
        <f t="shared" si="1746"/>
        <v>1700</v>
      </c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</row>
    <row r="1789" spans="1:33" s="14" customFormat="1" ht="15" customHeight="1">
      <c r="A1789" s="10">
        <v>42997</v>
      </c>
      <c r="B1789" s="3" t="s">
        <v>101</v>
      </c>
      <c r="C1789" s="15" t="s">
        <v>47</v>
      </c>
      <c r="D1789" s="15">
        <v>1030</v>
      </c>
      <c r="E1789" s="11">
        <v>800</v>
      </c>
      <c r="F1789" s="3" t="s">
        <v>8</v>
      </c>
      <c r="G1789" s="46">
        <v>16</v>
      </c>
      <c r="H1789" s="3">
        <v>18</v>
      </c>
      <c r="I1789" s="46">
        <v>21.5</v>
      </c>
      <c r="J1789" s="55">
        <v>0</v>
      </c>
      <c r="K1789" s="1">
        <f t="shared" ref="K1789" si="1763">(IF(F1789="SELL",G1789-H1789,IF(F1789="BUY",H1789-G1789)))*E1789</f>
        <v>1600</v>
      </c>
      <c r="L1789" s="51">
        <f t="shared" ref="L1789" si="1764">(IF(F1789="SELL",IF(I1789="",0,H1789-I1789),IF(F1789="BUY",IF(I1789="",0,I1789-H1789))))*E1789</f>
        <v>2800</v>
      </c>
      <c r="M1789" s="52">
        <v>0</v>
      </c>
      <c r="N1789" s="2">
        <f t="shared" si="1719"/>
        <v>5.5</v>
      </c>
      <c r="O1789" s="2">
        <f t="shared" si="1746"/>
        <v>4400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</row>
    <row r="1790" spans="1:33" s="14" customFormat="1" ht="15" customHeight="1">
      <c r="A1790" s="10">
        <v>42997</v>
      </c>
      <c r="B1790" s="3" t="s">
        <v>193</v>
      </c>
      <c r="C1790" s="15" t="s">
        <v>47</v>
      </c>
      <c r="D1790" s="15">
        <v>1460</v>
      </c>
      <c r="E1790" s="11">
        <v>550</v>
      </c>
      <c r="F1790" s="3" t="s">
        <v>8</v>
      </c>
      <c r="G1790" s="46">
        <v>30</v>
      </c>
      <c r="H1790" s="3">
        <v>35</v>
      </c>
      <c r="I1790" s="46">
        <v>0</v>
      </c>
      <c r="J1790" s="55">
        <v>0</v>
      </c>
      <c r="K1790" s="1">
        <f t="shared" ref="K1790" si="1765">(IF(F1790="SELL",G1790-H1790,IF(F1790="BUY",H1790-G1790)))*E1790</f>
        <v>2750</v>
      </c>
      <c r="L1790" s="51">
        <v>0</v>
      </c>
      <c r="M1790" s="52">
        <f>(IF(F1790="SELL",IF(J1790="",0,I1790-J1790),IF(F1790="BUY",IF(J1790="",0,(J1790-I1790)))))*E1790</f>
        <v>0</v>
      </c>
      <c r="N1790" s="2">
        <f t="shared" si="1719"/>
        <v>5</v>
      </c>
      <c r="O1790" s="2">
        <f t="shared" si="1746"/>
        <v>2750</v>
      </c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</row>
    <row r="1791" spans="1:33" s="14" customFormat="1" ht="15" customHeight="1">
      <c r="A1791" s="10">
        <v>42996</v>
      </c>
      <c r="B1791" s="3" t="s">
        <v>192</v>
      </c>
      <c r="C1791" s="15" t="s">
        <v>47</v>
      </c>
      <c r="D1791" s="15">
        <v>1060</v>
      </c>
      <c r="E1791" s="11">
        <v>1100</v>
      </c>
      <c r="F1791" s="3" t="s">
        <v>8</v>
      </c>
      <c r="G1791" s="46">
        <v>26</v>
      </c>
      <c r="H1791" s="3">
        <v>22</v>
      </c>
      <c r="I1791" s="46">
        <v>0</v>
      </c>
      <c r="J1791" s="55">
        <v>0</v>
      </c>
      <c r="K1791" s="1">
        <f t="shared" ref="K1791" si="1766">(IF(F1791="SELL",G1791-H1791,IF(F1791="BUY",H1791-G1791)))*E1791</f>
        <v>-4400</v>
      </c>
      <c r="L1791" s="51">
        <v>0</v>
      </c>
      <c r="M1791" s="52">
        <f>(IF(F1791="SELL",IF(J1791="",0,I1791-J1791),IF(F1791="BUY",IF(J1791="",0,(J1791-I1791)))))*E1791</f>
        <v>0</v>
      </c>
      <c r="N1791" s="2">
        <f t="shared" si="1719"/>
        <v>-4</v>
      </c>
      <c r="O1791" s="2">
        <f t="shared" si="1746"/>
        <v>-4400</v>
      </c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</row>
    <row r="1792" spans="1:33" s="14" customFormat="1" ht="15" customHeight="1">
      <c r="A1792" s="10">
        <v>42996</v>
      </c>
      <c r="B1792" s="3" t="s">
        <v>139</v>
      </c>
      <c r="C1792" s="15" t="s">
        <v>47</v>
      </c>
      <c r="D1792" s="15">
        <v>1400</v>
      </c>
      <c r="E1792" s="11">
        <v>500</v>
      </c>
      <c r="F1792" s="3" t="s">
        <v>8</v>
      </c>
      <c r="G1792" s="46">
        <v>34</v>
      </c>
      <c r="H1792" s="3">
        <v>37</v>
      </c>
      <c r="I1792" s="46">
        <v>40</v>
      </c>
      <c r="J1792" s="55">
        <v>45</v>
      </c>
      <c r="K1792" s="1">
        <f t="shared" ref="K1792" si="1767">(IF(F1792="SELL",G1792-H1792,IF(F1792="BUY",H1792-G1792)))*E1792</f>
        <v>1500</v>
      </c>
      <c r="L1792" s="51">
        <f t="shared" ref="L1792" si="1768">(IF(F1792="SELL",IF(I1792="",0,H1792-I1792),IF(F1792="BUY",IF(I1792="",0,I1792-H1792))))*E1792</f>
        <v>1500</v>
      </c>
      <c r="M1792" s="52">
        <f>(IF(F1792="SELL",IF(J1792="",0,I1792-J1792),IF(F1792="BUY",IF(J1792="",0,(J1792-I1792)))))*E1792</f>
        <v>2500</v>
      </c>
      <c r="N1792" s="2">
        <f t="shared" si="1719"/>
        <v>11</v>
      </c>
      <c r="O1792" s="2">
        <f t="shared" si="1746"/>
        <v>5500</v>
      </c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</row>
    <row r="1793" spans="1:33" s="14" customFormat="1" ht="15" customHeight="1">
      <c r="A1793" s="10">
        <v>42993</v>
      </c>
      <c r="B1793" s="3" t="s">
        <v>151</v>
      </c>
      <c r="C1793" s="15" t="s">
        <v>46</v>
      </c>
      <c r="D1793" s="15">
        <v>650</v>
      </c>
      <c r="E1793" s="11">
        <v>1100</v>
      </c>
      <c r="F1793" s="3" t="s">
        <v>8</v>
      </c>
      <c r="G1793" s="46">
        <v>12.5</v>
      </c>
      <c r="H1793" s="3">
        <v>14</v>
      </c>
      <c r="I1793" s="46">
        <v>0</v>
      </c>
      <c r="J1793" s="55">
        <v>0</v>
      </c>
      <c r="K1793" s="1">
        <f t="shared" ref="K1793" si="1769">(IF(F1793="SELL",G1793-H1793,IF(F1793="BUY",H1793-G1793)))*E1793</f>
        <v>1650</v>
      </c>
      <c r="L1793" s="51">
        <v>0</v>
      </c>
      <c r="M1793" s="52">
        <v>0</v>
      </c>
      <c r="N1793" s="2">
        <f t="shared" si="1719"/>
        <v>1.5</v>
      </c>
      <c r="O1793" s="2">
        <f t="shared" si="1746"/>
        <v>1650</v>
      </c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</row>
    <row r="1794" spans="1:33" s="14" customFormat="1" ht="15" customHeight="1">
      <c r="A1794" s="10">
        <v>42992</v>
      </c>
      <c r="B1794" s="3" t="s">
        <v>60</v>
      </c>
      <c r="C1794" s="15" t="s">
        <v>46</v>
      </c>
      <c r="D1794" s="15">
        <v>320</v>
      </c>
      <c r="E1794" s="11">
        <v>3500</v>
      </c>
      <c r="F1794" s="3" t="s">
        <v>8</v>
      </c>
      <c r="G1794" s="46">
        <v>5.5</v>
      </c>
      <c r="H1794" s="3">
        <v>6</v>
      </c>
      <c r="I1794" s="46">
        <v>7</v>
      </c>
      <c r="J1794" s="55">
        <v>8</v>
      </c>
      <c r="K1794" s="1">
        <f t="shared" ref="K1794" si="1770">(IF(F1794="SELL",G1794-H1794,IF(F1794="BUY",H1794-G1794)))*E1794</f>
        <v>1750</v>
      </c>
      <c r="L1794" s="51">
        <f t="shared" ref="L1794" si="1771">(IF(F1794="SELL",IF(I1794="",0,H1794-I1794),IF(F1794="BUY",IF(I1794="",0,I1794-H1794))))*E1794</f>
        <v>3500</v>
      </c>
      <c r="M1794" s="52">
        <f t="shared" ref="M1794:M1800" si="1772">(IF(F1794="SELL",IF(J1794="",0,I1794-J1794),IF(F1794="BUY",IF(J1794="",0,(J1794-I1794)))))*E1794</f>
        <v>3500</v>
      </c>
      <c r="N1794" s="2">
        <f t="shared" si="1719"/>
        <v>2.5</v>
      </c>
      <c r="O1794" s="2">
        <f t="shared" si="1746"/>
        <v>8750</v>
      </c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</row>
    <row r="1795" spans="1:33" s="14" customFormat="1" ht="15" customHeight="1">
      <c r="A1795" s="10">
        <v>42992</v>
      </c>
      <c r="B1795" s="3" t="s">
        <v>77</v>
      </c>
      <c r="C1795" s="15" t="s">
        <v>46</v>
      </c>
      <c r="D1795" s="15">
        <v>410</v>
      </c>
      <c r="E1795" s="11">
        <v>2000</v>
      </c>
      <c r="F1795" s="3" t="s">
        <v>8</v>
      </c>
      <c r="G1795" s="46">
        <v>10.5</v>
      </c>
      <c r="H1795" s="3">
        <v>11.5</v>
      </c>
      <c r="I1795" s="46">
        <v>13</v>
      </c>
      <c r="J1795" s="55">
        <v>15</v>
      </c>
      <c r="K1795" s="1">
        <f t="shared" ref="K1795" si="1773">(IF(F1795="SELL",G1795-H1795,IF(F1795="BUY",H1795-G1795)))*E1795</f>
        <v>2000</v>
      </c>
      <c r="L1795" s="51">
        <f t="shared" ref="L1795" si="1774">(IF(F1795="SELL",IF(I1795="",0,H1795-I1795),IF(F1795="BUY",IF(I1795="",0,I1795-H1795))))*E1795</f>
        <v>3000</v>
      </c>
      <c r="M1795" s="52">
        <f t="shared" si="1772"/>
        <v>4000</v>
      </c>
      <c r="N1795" s="2">
        <f t="shared" si="1719"/>
        <v>4.5</v>
      </c>
      <c r="O1795" s="2">
        <f t="shared" si="1746"/>
        <v>9000</v>
      </c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</row>
    <row r="1796" spans="1:33" s="14" customFormat="1" ht="15" customHeight="1">
      <c r="A1796" s="10">
        <v>42991</v>
      </c>
      <c r="B1796" s="3" t="s">
        <v>58</v>
      </c>
      <c r="C1796" s="15" t="s">
        <v>46</v>
      </c>
      <c r="D1796" s="15">
        <v>560</v>
      </c>
      <c r="E1796" s="11">
        <v>2000</v>
      </c>
      <c r="F1796" s="3" t="s">
        <v>8</v>
      </c>
      <c r="G1796" s="46">
        <v>13</v>
      </c>
      <c r="H1796" s="3">
        <v>14</v>
      </c>
      <c r="I1796" s="46">
        <v>16</v>
      </c>
      <c r="J1796" s="55">
        <v>18</v>
      </c>
      <c r="K1796" s="1">
        <f t="shared" ref="K1796" si="1775">(IF(F1796="SELL",G1796-H1796,IF(F1796="BUY",H1796-G1796)))*E1796</f>
        <v>2000</v>
      </c>
      <c r="L1796" s="51">
        <f t="shared" ref="L1796" si="1776">(IF(F1796="SELL",IF(I1796="",0,H1796-I1796),IF(F1796="BUY",IF(I1796="",0,I1796-H1796))))*E1796</f>
        <v>4000</v>
      </c>
      <c r="M1796" s="52">
        <f t="shared" si="1772"/>
        <v>4000</v>
      </c>
      <c r="N1796" s="2">
        <f t="shared" si="1719"/>
        <v>5</v>
      </c>
      <c r="O1796" s="2">
        <f t="shared" si="1746"/>
        <v>10000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</row>
    <row r="1797" spans="1:33" s="14" customFormat="1" ht="15" customHeight="1">
      <c r="A1797" s="10">
        <v>42991</v>
      </c>
      <c r="B1797" s="3" t="s">
        <v>176</v>
      </c>
      <c r="C1797" s="15" t="s">
        <v>46</v>
      </c>
      <c r="D1797" s="15">
        <v>710</v>
      </c>
      <c r="E1797" s="11">
        <v>1100</v>
      </c>
      <c r="F1797" s="3" t="s">
        <v>8</v>
      </c>
      <c r="G1797" s="46">
        <v>15</v>
      </c>
      <c r="H1797" s="3">
        <v>16</v>
      </c>
      <c r="I1797" s="46">
        <v>0</v>
      </c>
      <c r="J1797" s="55">
        <v>0</v>
      </c>
      <c r="K1797" s="1">
        <f t="shared" ref="K1797" si="1777">(IF(F1797="SELL",G1797-H1797,IF(F1797="BUY",H1797-G1797)))*E1797</f>
        <v>1100</v>
      </c>
      <c r="L1797" s="51">
        <v>0</v>
      </c>
      <c r="M1797" s="52">
        <f t="shared" si="1772"/>
        <v>0</v>
      </c>
      <c r="N1797" s="2">
        <f t="shared" si="1719"/>
        <v>1</v>
      </c>
      <c r="O1797" s="2">
        <f t="shared" si="1746"/>
        <v>1100</v>
      </c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</row>
    <row r="1798" spans="1:33" s="14" customFormat="1" ht="15" customHeight="1">
      <c r="A1798" s="10">
        <v>42990</v>
      </c>
      <c r="B1798" s="3" t="s">
        <v>191</v>
      </c>
      <c r="C1798" s="15" t="s">
        <v>47</v>
      </c>
      <c r="D1798" s="15">
        <v>260</v>
      </c>
      <c r="E1798" s="11">
        <v>3000</v>
      </c>
      <c r="F1798" s="3" t="s">
        <v>8</v>
      </c>
      <c r="G1798" s="46">
        <v>7.7</v>
      </c>
      <c r="H1798" s="3">
        <v>8.3000000000000007</v>
      </c>
      <c r="I1798" s="46">
        <v>9</v>
      </c>
      <c r="J1798" s="55">
        <v>10</v>
      </c>
      <c r="K1798" s="1">
        <f t="shared" ref="K1798" si="1778">(IF(F1798="SELL",G1798-H1798,IF(F1798="BUY",H1798-G1798)))*E1798</f>
        <v>1800.0000000000016</v>
      </c>
      <c r="L1798" s="51">
        <f t="shared" ref="L1798" si="1779">(IF(F1798="SELL",IF(I1798="",0,H1798-I1798),IF(F1798="BUY",IF(I1798="",0,I1798-H1798))))*E1798</f>
        <v>2099.9999999999977</v>
      </c>
      <c r="M1798" s="52">
        <f t="shared" si="1772"/>
        <v>3000</v>
      </c>
      <c r="N1798" s="2">
        <f t="shared" si="1719"/>
        <v>2.2999999999999998</v>
      </c>
      <c r="O1798" s="2">
        <f t="shared" si="1746"/>
        <v>6899.9999999999991</v>
      </c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</row>
    <row r="1799" spans="1:33" s="14" customFormat="1" ht="15" customHeight="1">
      <c r="A1799" s="10">
        <v>42990</v>
      </c>
      <c r="B1799" s="3" t="s">
        <v>96</v>
      </c>
      <c r="C1799" s="15" t="s">
        <v>47</v>
      </c>
      <c r="D1799" s="15">
        <v>1300</v>
      </c>
      <c r="E1799" s="11">
        <v>500</v>
      </c>
      <c r="F1799" s="3" t="s">
        <v>8</v>
      </c>
      <c r="G1799" s="46">
        <v>23</v>
      </c>
      <c r="H1799" s="3">
        <v>26</v>
      </c>
      <c r="I1799" s="46">
        <v>0</v>
      </c>
      <c r="J1799" s="55">
        <v>0</v>
      </c>
      <c r="K1799" s="1">
        <f t="shared" ref="K1799" si="1780">(IF(F1799="SELL",G1799-H1799,IF(F1799="BUY",H1799-G1799)))*E1799</f>
        <v>1500</v>
      </c>
      <c r="L1799" s="51">
        <v>0</v>
      </c>
      <c r="M1799" s="52">
        <f t="shared" si="1772"/>
        <v>0</v>
      </c>
      <c r="N1799" s="2">
        <f t="shared" si="1719"/>
        <v>3</v>
      </c>
      <c r="O1799" s="2">
        <f t="shared" si="1746"/>
        <v>1500</v>
      </c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</row>
    <row r="1800" spans="1:33" s="14" customFormat="1" ht="15" customHeight="1">
      <c r="A1800" s="10">
        <v>42989</v>
      </c>
      <c r="B1800" s="3" t="s">
        <v>190</v>
      </c>
      <c r="C1800" s="15" t="s">
        <v>47</v>
      </c>
      <c r="D1800" s="15">
        <v>700</v>
      </c>
      <c r="E1800" s="11">
        <v>1100</v>
      </c>
      <c r="F1800" s="3" t="s">
        <v>8</v>
      </c>
      <c r="G1800" s="46">
        <v>21</v>
      </c>
      <c r="H1800" s="3">
        <v>23</v>
      </c>
      <c r="I1800" s="46">
        <v>26</v>
      </c>
      <c r="J1800" s="55">
        <v>30</v>
      </c>
      <c r="K1800" s="1">
        <f t="shared" ref="K1800" si="1781">(IF(F1800="SELL",G1800-H1800,IF(F1800="BUY",H1800-G1800)))*E1800</f>
        <v>2200</v>
      </c>
      <c r="L1800" s="51">
        <f t="shared" ref="L1800" si="1782">(IF(F1800="SELL",IF(I1800="",0,H1800-I1800),IF(F1800="BUY",IF(I1800="",0,I1800-H1800))))*E1800</f>
        <v>3300</v>
      </c>
      <c r="M1800" s="52">
        <f t="shared" si="1772"/>
        <v>4400</v>
      </c>
      <c r="N1800" s="2">
        <f t="shared" si="1719"/>
        <v>9</v>
      </c>
      <c r="O1800" s="2">
        <f t="shared" si="1746"/>
        <v>9900</v>
      </c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</row>
    <row r="1801" spans="1:33" s="14" customFormat="1" ht="15" customHeight="1">
      <c r="A1801" s="10">
        <v>42989</v>
      </c>
      <c r="B1801" s="3" t="s">
        <v>189</v>
      </c>
      <c r="C1801" s="15" t="s">
        <v>47</v>
      </c>
      <c r="D1801" s="15">
        <v>780</v>
      </c>
      <c r="E1801" s="11">
        <v>1500</v>
      </c>
      <c r="F1801" s="3" t="s">
        <v>8</v>
      </c>
      <c r="G1801" s="46">
        <v>20</v>
      </c>
      <c r="H1801" s="3">
        <v>21.5</v>
      </c>
      <c r="I1801" s="46">
        <v>0</v>
      </c>
      <c r="J1801" s="55">
        <v>0</v>
      </c>
      <c r="K1801" s="1">
        <f t="shared" ref="K1801" si="1783">(IF(F1801="SELL",G1801-H1801,IF(F1801="BUY",H1801-G1801)))*E1801</f>
        <v>2250</v>
      </c>
      <c r="L1801" s="51">
        <v>0</v>
      </c>
      <c r="M1801" s="52">
        <v>0</v>
      </c>
      <c r="N1801" s="2">
        <f t="shared" si="1719"/>
        <v>1.5</v>
      </c>
      <c r="O1801" s="2">
        <f t="shared" si="1746"/>
        <v>2250</v>
      </c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</row>
    <row r="1802" spans="1:33" s="14" customFormat="1" ht="15" customHeight="1">
      <c r="A1802" s="10">
        <v>42986</v>
      </c>
      <c r="B1802" s="3" t="s">
        <v>188</v>
      </c>
      <c r="C1802" s="15" t="s">
        <v>46</v>
      </c>
      <c r="D1802" s="15">
        <v>280</v>
      </c>
      <c r="E1802" s="11">
        <v>2000</v>
      </c>
      <c r="F1802" s="3" t="s">
        <v>8</v>
      </c>
      <c r="G1802" s="46">
        <v>10.5</v>
      </c>
      <c r="H1802" s="3">
        <v>11.5</v>
      </c>
      <c r="I1802" s="46">
        <v>13</v>
      </c>
      <c r="J1802" s="55">
        <v>0</v>
      </c>
      <c r="K1802" s="1">
        <f t="shared" ref="K1802" si="1784">(IF(F1802="SELL",G1802-H1802,IF(F1802="BUY",H1802-G1802)))*E1802</f>
        <v>2000</v>
      </c>
      <c r="L1802" s="51">
        <f t="shared" ref="L1802" si="1785">(IF(F1802="SELL",IF(I1802="",0,H1802-I1802),IF(F1802="BUY",IF(I1802="",0,I1802-H1802))))*E1802</f>
        <v>3000</v>
      </c>
      <c r="M1802" s="52">
        <v>0</v>
      </c>
      <c r="N1802" s="2">
        <f t="shared" si="1719"/>
        <v>2.5</v>
      </c>
      <c r="O1802" s="2">
        <f t="shared" si="1746"/>
        <v>5000</v>
      </c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</row>
    <row r="1803" spans="1:33" s="14" customFormat="1" ht="15" customHeight="1">
      <c r="A1803" s="10">
        <v>42986</v>
      </c>
      <c r="B1803" s="3" t="s">
        <v>187</v>
      </c>
      <c r="C1803" s="15" t="s">
        <v>46</v>
      </c>
      <c r="D1803" s="15">
        <v>920</v>
      </c>
      <c r="E1803" s="11">
        <v>1000</v>
      </c>
      <c r="F1803" s="3" t="s">
        <v>8</v>
      </c>
      <c r="G1803" s="46">
        <v>25.5</v>
      </c>
      <c r="H1803" s="3">
        <v>27</v>
      </c>
      <c r="I1803" s="46">
        <v>29.5</v>
      </c>
      <c r="J1803" s="55">
        <v>0</v>
      </c>
      <c r="K1803" s="1">
        <f t="shared" ref="K1803" si="1786">(IF(F1803="SELL",G1803-H1803,IF(F1803="BUY",H1803-G1803)))*E1803</f>
        <v>1500</v>
      </c>
      <c r="L1803" s="51">
        <f t="shared" ref="L1803:L1811" si="1787">(IF(F1803="SELL",IF(I1803="",0,H1803-I1803),IF(F1803="BUY",IF(I1803="",0,I1803-H1803))))*E1803</f>
        <v>2500</v>
      </c>
      <c r="M1803" s="52">
        <v>0</v>
      </c>
      <c r="N1803" s="2">
        <f t="shared" si="1719"/>
        <v>4</v>
      </c>
      <c r="O1803" s="2">
        <f t="shared" si="1746"/>
        <v>4000</v>
      </c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</row>
    <row r="1804" spans="1:33" s="14" customFormat="1" ht="15" customHeight="1">
      <c r="A1804" s="10">
        <v>42985</v>
      </c>
      <c r="B1804" s="3" t="s">
        <v>96</v>
      </c>
      <c r="C1804" s="15" t="s">
        <v>47</v>
      </c>
      <c r="D1804" s="15">
        <v>1360</v>
      </c>
      <c r="E1804" s="11">
        <v>500</v>
      </c>
      <c r="F1804" s="3" t="s">
        <v>8</v>
      </c>
      <c r="G1804" s="46">
        <v>18</v>
      </c>
      <c r="H1804" s="3">
        <v>21</v>
      </c>
      <c r="I1804" s="46">
        <v>0</v>
      </c>
      <c r="J1804" s="55">
        <v>0</v>
      </c>
      <c r="K1804" s="1">
        <f t="shared" ref="K1804" si="1788">(IF(F1804="SELL",G1804-H1804,IF(F1804="BUY",H1804-G1804)))*E1804</f>
        <v>1500</v>
      </c>
      <c r="L1804" s="51">
        <v>0</v>
      </c>
      <c r="M1804" s="52">
        <f>(IF(F1804="SELL",IF(J1804="",0,I1804-J1804),IF(F1804="BUY",IF(J1804="",0,(J1804-I1804)))))*E1804</f>
        <v>0</v>
      </c>
      <c r="N1804" s="2">
        <f t="shared" si="1719"/>
        <v>3</v>
      </c>
      <c r="O1804" s="2">
        <f t="shared" si="1746"/>
        <v>1500</v>
      </c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</row>
    <row r="1805" spans="1:33" s="14" customFormat="1" ht="15" customHeight="1">
      <c r="A1805" s="10">
        <v>42984</v>
      </c>
      <c r="B1805" s="3" t="s">
        <v>185</v>
      </c>
      <c r="C1805" s="15" t="s">
        <v>47</v>
      </c>
      <c r="D1805" s="15">
        <v>160</v>
      </c>
      <c r="E1805" s="11">
        <v>3500</v>
      </c>
      <c r="F1805" s="3" t="s">
        <v>8</v>
      </c>
      <c r="G1805" s="46">
        <v>4</v>
      </c>
      <c r="H1805" s="3">
        <v>4.5</v>
      </c>
      <c r="I1805" s="46">
        <v>5</v>
      </c>
      <c r="J1805" s="55">
        <v>6</v>
      </c>
      <c r="K1805" s="1">
        <f t="shared" ref="K1805" si="1789">(IF(F1805="SELL",G1805-H1805,IF(F1805="BUY",H1805-G1805)))*E1805</f>
        <v>1750</v>
      </c>
      <c r="L1805" s="51">
        <f t="shared" si="1787"/>
        <v>1750</v>
      </c>
      <c r="M1805" s="52">
        <f>(IF(F1805="SELL",IF(J1805="",0,I1805-J1805),IF(F1805="BUY",IF(J1805="",0,(J1805-I1805)))))*E1805</f>
        <v>3500</v>
      </c>
      <c r="N1805" s="2">
        <f t="shared" si="1719"/>
        <v>2</v>
      </c>
      <c r="O1805" s="2">
        <f t="shared" si="1746"/>
        <v>7000</v>
      </c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</row>
    <row r="1806" spans="1:33" s="14" customFormat="1" ht="15" customHeight="1">
      <c r="A1806" s="10">
        <v>42984</v>
      </c>
      <c r="B1806" s="3" t="s">
        <v>184</v>
      </c>
      <c r="C1806" s="15" t="s">
        <v>47</v>
      </c>
      <c r="D1806" s="15">
        <v>760</v>
      </c>
      <c r="E1806" s="11">
        <v>800</v>
      </c>
      <c r="F1806" s="3" t="s">
        <v>8</v>
      </c>
      <c r="G1806" s="46">
        <v>20</v>
      </c>
      <c r="H1806" s="3">
        <v>23</v>
      </c>
      <c r="I1806" s="46">
        <v>27</v>
      </c>
      <c r="J1806" s="55">
        <v>33</v>
      </c>
      <c r="K1806" s="1">
        <f t="shared" ref="K1806" si="1790">(IF(F1806="SELL",G1806-H1806,IF(F1806="BUY",H1806-G1806)))*E1806</f>
        <v>2400</v>
      </c>
      <c r="L1806" s="51">
        <f t="shared" si="1787"/>
        <v>3200</v>
      </c>
      <c r="M1806" s="52">
        <f>(IF(F1806="SELL",IF(J1806="",0,I1806-J1806),IF(F1806="BUY",IF(J1806="",0,(J1806-I1806)))))*E1806</f>
        <v>4800</v>
      </c>
      <c r="N1806" s="2">
        <f t="shared" si="1719"/>
        <v>13</v>
      </c>
      <c r="O1806" s="2">
        <f t="shared" si="1746"/>
        <v>10400</v>
      </c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</row>
    <row r="1807" spans="1:33" s="14" customFormat="1" ht="15" customHeight="1">
      <c r="A1807" s="10">
        <v>42983</v>
      </c>
      <c r="B1807" s="3" t="s">
        <v>183</v>
      </c>
      <c r="C1807" s="15" t="s">
        <v>47</v>
      </c>
      <c r="D1807" s="15">
        <v>205</v>
      </c>
      <c r="E1807" s="11">
        <v>4500</v>
      </c>
      <c r="F1807" s="3" t="s">
        <v>8</v>
      </c>
      <c r="G1807" s="46">
        <v>7.7</v>
      </c>
      <c r="H1807" s="3">
        <v>8</v>
      </c>
      <c r="I1807" s="46">
        <v>8.5</v>
      </c>
      <c r="J1807" s="55">
        <v>9</v>
      </c>
      <c r="K1807" s="1">
        <f t="shared" ref="K1807" si="1791">(IF(F1807="SELL",G1807-H1807,IF(F1807="BUY",H1807-G1807)))*E1807</f>
        <v>1349.9999999999991</v>
      </c>
      <c r="L1807" s="51">
        <f t="shared" si="1787"/>
        <v>2250</v>
      </c>
      <c r="M1807" s="52">
        <f>(IF(F1807="SELL",IF(J1807="",0,I1807-J1807),IF(F1807="BUY",IF(J1807="",0,(J1807-I1807)))))*E1807</f>
        <v>2250</v>
      </c>
      <c r="N1807" s="2">
        <f t="shared" si="1719"/>
        <v>1.2999999999999998</v>
      </c>
      <c r="O1807" s="2">
        <f t="shared" si="1746"/>
        <v>5849.9999999999991</v>
      </c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</row>
    <row r="1808" spans="1:33" s="14" customFormat="1" ht="15" customHeight="1">
      <c r="A1808" s="10">
        <v>42983</v>
      </c>
      <c r="B1808" s="3" t="s">
        <v>182</v>
      </c>
      <c r="C1808" s="15" t="s">
        <v>47</v>
      </c>
      <c r="D1808" s="15">
        <v>1280</v>
      </c>
      <c r="E1808" s="11">
        <v>500</v>
      </c>
      <c r="F1808" s="3" t="s">
        <v>8</v>
      </c>
      <c r="G1808" s="46">
        <v>38</v>
      </c>
      <c r="H1808" s="3">
        <v>41</v>
      </c>
      <c r="I1808" s="46">
        <v>45</v>
      </c>
      <c r="J1808" s="55">
        <v>0</v>
      </c>
      <c r="K1808" s="1">
        <f t="shared" ref="K1808" si="1792">(IF(F1808="SELL",G1808-H1808,IF(F1808="BUY",H1808-G1808)))*E1808</f>
        <v>1500</v>
      </c>
      <c r="L1808" s="51">
        <f t="shared" si="1787"/>
        <v>2000</v>
      </c>
      <c r="M1808" s="52">
        <v>0</v>
      </c>
      <c r="N1808" s="2">
        <f t="shared" si="1719"/>
        <v>7</v>
      </c>
      <c r="O1808" s="2">
        <f t="shared" si="1746"/>
        <v>3500</v>
      </c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</row>
    <row r="1809" spans="1:33" s="14" customFormat="1" ht="15" customHeight="1">
      <c r="A1809" s="10">
        <v>42982</v>
      </c>
      <c r="B1809" s="3" t="s">
        <v>181</v>
      </c>
      <c r="C1809" s="15" t="s">
        <v>47</v>
      </c>
      <c r="D1809" s="15">
        <v>1260</v>
      </c>
      <c r="E1809" s="11">
        <v>800</v>
      </c>
      <c r="F1809" s="3" t="s">
        <v>8</v>
      </c>
      <c r="G1809" s="46">
        <v>33</v>
      </c>
      <c r="H1809" s="3">
        <v>36</v>
      </c>
      <c r="I1809" s="46">
        <v>42</v>
      </c>
      <c r="J1809" s="55">
        <v>0</v>
      </c>
      <c r="K1809" s="1">
        <f t="shared" ref="K1809" si="1793">(IF(F1809="SELL",G1809-H1809,IF(F1809="BUY",H1809-G1809)))*E1809</f>
        <v>2400</v>
      </c>
      <c r="L1809" s="51">
        <f t="shared" si="1787"/>
        <v>4800</v>
      </c>
      <c r="M1809" s="52">
        <v>0</v>
      </c>
      <c r="N1809" s="2">
        <f t="shared" si="1719"/>
        <v>9</v>
      </c>
      <c r="O1809" s="2">
        <f t="shared" si="1746"/>
        <v>7200</v>
      </c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</row>
    <row r="1810" spans="1:33" s="14" customFormat="1" ht="15" customHeight="1">
      <c r="A1810" s="10">
        <v>42979</v>
      </c>
      <c r="B1810" s="3" t="s">
        <v>65</v>
      </c>
      <c r="C1810" s="15" t="s">
        <v>47</v>
      </c>
      <c r="D1810" s="15">
        <v>400</v>
      </c>
      <c r="E1810" s="11">
        <v>1200</v>
      </c>
      <c r="F1810" s="3" t="s">
        <v>8</v>
      </c>
      <c r="G1810" s="46">
        <v>21</v>
      </c>
      <c r="H1810" s="3">
        <v>23</v>
      </c>
      <c r="I1810" s="46">
        <v>25</v>
      </c>
      <c r="J1810" s="55">
        <v>0</v>
      </c>
      <c r="K1810" s="1">
        <f t="shared" ref="K1810" si="1794">(IF(F1810="SELL",G1810-H1810,IF(F1810="BUY",H1810-G1810)))*E1810</f>
        <v>2400</v>
      </c>
      <c r="L1810" s="51">
        <f t="shared" si="1787"/>
        <v>2400</v>
      </c>
      <c r="M1810" s="52">
        <v>0</v>
      </c>
      <c r="N1810" s="2">
        <f t="shared" si="1719"/>
        <v>4</v>
      </c>
      <c r="O1810" s="2">
        <f t="shared" si="1746"/>
        <v>4800</v>
      </c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</row>
    <row r="1811" spans="1:33" s="14" customFormat="1" ht="15" customHeight="1">
      <c r="A1811" s="10">
        <v>42979</v>
      </c>
      <c r="B1811" s="3" t="s">
        <v>180</v>
      </c>
      <c r="C1811" s="15" t="s">
        <v>47</v>
      </c>
      <c r="D1811" s="15">
        <v>900</v>
      </c>
      <c r="E1811" s="11">
        <v>1000</v>
      </c>
      <c r="F1811" s="3" t="s">
        <v>8</v>
      </c>
      <c r="G1811" s="46">
        <v>42</v>
      </c>
      <c r="H1811" s="3">
        <v>45</v>
      </c>
      <c r="I1811" s="46">
        <v>50</v>
      </c>
      <c r="J1811" s="55">
        <v>0</v>
      </c>
      <c r="K1811" s="1">
        <f t="shared" ref="K1811" si="1795">(IF(F1811="SELL",G1811-H1811,IF(F1811="BUY",H1811-G1811)))*E1811</f>
        <v>3000</v>
      </c>
      <c r="L1811" s="51">
        <f t="shared" si="1787"/>
        <v>5000</v>
      </c>
      <c r="M1811" s="52">
        <v>0</v>
      </c>
      <c r="N1811" s="2">
        <f t="shared" si="1719"/>
        <v>8</v>
      </c>
      <c r="O1811" s="2">
        <f t="shared" si="1746"/>
        <v>8000</v>
      </c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</row>
    <row r="1812" spans="1:33" s="14" customFormat="1" ht="15" customHeight="1">
      <c r="A1812" s="10">
        <v>42978</v>
      </c>
      <c r="B1812" s="3" t="s">
        <v>179</v>
      </c>
      <c r="C1812" s="15" t="s">
        <v>46</v>
      </c>
      <c r="D1812" s="15">
        <v>140</v>
      </c>
      <c r="E1812" s="11">
        <v>3500</v>
      </c>
      <c r="F1812" s="3" t="s">
        <v>8</v>
      </c>
      <c r="G1812" s="46">
        <v>2</v>
      </c>
      <c r="H1812" s="3">
        <v>2.5</v>
      </c>
      <c r="I1812" s="46">
        <v>0</v>
      </c>
      <c r="J1812" s="55">
        <v>0</v>
      </c>
      <c r="K1812" s="1">
        <f t="shared" ref="K1812" si="1796">(IF(F1812="SELL",G1812-H1812,IF(F1812="BUY",H1812-G1812)))*E1812</f>
        <v>1750</v>
      </c>
      <c r="L1812" s="51">
        <v>0</v>
      </c>
      <c r="M1812" s="52">
        <f>(IF(F1812="SELL",IF(J1812="",0,I1812-J1812),IF(F1812="BUY",IF(J1812="",0,(J1812-I1812)))))*E1812</f>
        <v>0</v>
      </c>
      <c r="N1812" s="2">
        <f t="shared" si="1719"/>
        <v>0.5</v>
      </c>
      <c r="O1812" s="2">
        <f t="shared" si="1746"/>
        <v>1750</v>
      </c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</row>
    <row r="1813" spans="1:33" s="14" customFormat="1" ht="15" customHeight="1">
      <c r="A1813" s="10">
        <v>42977</v>
      </c>
      <c r="B1813" s="3" t="s">
        <v>178</v>
      </c>
      <c r="C1813" s="15" t="s">
        <v>47</v>
      </c>
      <c r="D1813" s="15">
        <v>440</v>
      </c>
      <c r="E1813" s="11">
        <v>1500</v>
      </c>
      <c r="F1813" s="3" t="s">
        <v>8</v>
      </c>
      <c r="G1813" s="46">
        <v>5</v>
      </c>
      <c r="H1813" s="3">
        <v>2</v>
      </c>
      <c r="I1813" s="46">
        <v>0</v>
      </c>
      <c r="J1813" s="55">
        <v>0</v>
      </c>
      <c r="K1813" s="1">
        <f t="shared" ref="K1813" si="1797">(IF(F1813="SELL",G1813-H1813,IF(F1813="BUY",H1813-G1813)))*E1813</f>
        <v>-4500</v>
      </c>
      <c r="L1813" s="51">
        <v>0</v>
      </c>
      <c r="M1813" s="52">
        <f>(IF(F1813="SELL",IF(J1813="",0,I1813-J1813),IF(F1813="BUY",IF(J1813="",0,(J1813-I1813)))))*E1813</f>
        <v>0</v>
      </c>
      <c r="N1813" s="2">
        <f t="shared" si="1719"/>
        <v>-3</v>
      </c>
      <c r="O1813" s="2">
        <f t="shared" si="1746"/>
        <v>-4500</v>
      </c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</row>
    <row r="1814" spans="1:33" s="14" customFormat="1" ht="15" customHeight="1">
      <c r="A1814" s="10">
        <v>42977</v>
      </c>
      <c r="B1814" s="3" t="s">
        <v>177</v>
      </c>
      <c r="C1814" s="15" t="s">
        <v>47</v>
      </c>
      <c r="D1814" s="15">
        <v>125</v>
      </c>
      <c r="E1814" s="11">
        <v>8000</v>
      </c>
      <c r="F1814" s="3" t="s">
        <v>8</v>
      </c>
      <c r="G1814" s="46">
        <v>2</v>
      </c>
      <c r="H1814" s="3">
        <v>2.5</v>
      </c>
      <c r="I1814" s="46">
        <v>3.5</v>
      </c>
      <c r="J1814" s="55">
        <v>0</v>
      </c>
      <c r="K1814" s="1">
        <f t="shared" ref="K1814" si="1798">(IF(F1814="SELL",G1814-H1814,IF(F1814="BUY",H1814-G1814)))*E1814</f>
        <v>4000</v>
      </c>
      <c r="L1814" s="51">
        <f>(IF(F1814="SELL",IF(I1814="",0,H1814-I1814),IF(F1814="BUY",IF(I1814="",0,I1814-H1814))))*E1814</f>
        <v>8000</v>
      </c>
      <c r="M1814" s="52">
        <v>0</v>
      </c>
      <c r="N1814" s="2">
        <f t="shared" si="1719"/>
        <v>1.5</v>
      </c>
      <c r="O1814" s="2">
        <f t="shared" si="1746"/>
        <v>12000</v>
      </c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</row>
    <row r="1815" spans="1:33" s="14" customFormat="1" ht="15" customHeight="1">
      <c r="A1815" s="10">
        <v>42977</v>
      </c>
      <c r="B1815" s="3" t="s">
        <v>163</v>
      </c>
      <c r="C1815" s="15" t="s">
        <v>47</v>
      </c>
      <c r="D1815" s="15">
        <v>290</v>
      </c>
      <c r="E1815" s="11">
        <v>3200</v>
      </c>
      <c r="F1815" s="3" t="s">
        <v>8</v>
      </c>
      <c r="G1815" s="46">
        <v>3.7</v>
      </c>
      <c r="H1815" s="3">
        <v>4.3</v>
      </c>
      <c r="I1815" s="46">
        <v>5</v>
      </c>
      <c r="J1815" s="55">
        <v>6</v>
      </c>
      <c r="K1815" s="1">
        <f t="shared" ref="K1815" si="1799">(IF(F1815="SELL",G1815-H1815,IF(F1815="BUY",H1815-G1815)))*E1815</f>
        <v>1919.9999999999989</v>
      </c>
      <c r="L1815" s="51">
        <f>(IF(F1815="SELL",IF(I1815="",0,H1815-I1815),IF(F1815="BUY",IF(I1815="",0,I1815-H1815))))*E1815</f>
        <v>2240.0000000000005</v>
      </c>
      <c r="M1815" s="52">
        <f>(IF(F1815="SELL",IF(J1815="",0,I1815-J1815),IF(F1815="BUY",IF(J1815="",0,(J1815-I1815)))))*E1815</f>
        <v>3200</v>
      </c>
      <c r="N1815" s="2">
        <f t="shared" si="1719"/>
        <v>2.2999999999999998</v>
      </c>
      <c r="O1815" s="2">
        <f t="shared" si="1746"/>
        <v>7359.9999999999991</v>
      </c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</row>
    <row r="1816" spans="1:33" s="14" customFormat="1" ht="15" customHeight="1">
      <c r="A1816" s="10">
        <v>42977</v>
      </c>
      <c r="B1816" s="3" t="s">
        <v>176</v>
      </c>
      <c r="C1816" s="15" t="s">
        <v>47</v>
      </c>
      <c r="D1816" s="15">
        <v>690</v>
      </c>
      <c r="E1816" s="11">
        <v>1100</v>
      </c>
      <c r="F1816" s="3" t="s">
        <v>8</v>
      </c>
      <c r="G1816" s="46">
        <v>7</v>
      </c>
      <c r="H1816" s="3">
        <v>8.5</v>
      </c>
      <c r="I1816" s="46">
        <v>0</v>
      </c>
      <c r="J1816" s="55">
        <v>0</v>
      </c>
      <c r="K1816" s="1">
        <f t="shared" ref="K1816" si="1800">(IF(F1816="SELL",G1816-H1816,IF(F1816="BUY",H1816-G1816)))*E1816</f>
        <v>1650</v>
      </c>
      <c r="L1816" s="51">
        <v>0</v>
      </c>
      <c r="M1816" s="52">
        <f>(IF(F1816="SELL",IF(J1816="",0,I1816-J1816),IF(F1816="BUY",IF(J1816="",0,(J1816-I1816)))))*E1816</f>
        <v>0</v>
      </c>
      <c r="N1816" s="2">
        <f t="shared" si="1719"/>
        <v>1.5</v>
      </c>
      <c r="O1816" s="2">
        <f t="shared" si="1746"/>
        <v>1650</v>
      </c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</row>
    <row r="1817" spans="1:33" s="14" customFormat="1" ht="15" customHeight="1">
      <c r="A1817" s="10">
        <v>42976</v>
      </c>
      <c r="B1817" s="3" t="s">
        <v>63</v>
      </c>
      <c r="C1817" s="15" t="s">
        <v>47</v>
      </c>
      <c r="D1817" s="15">
        <v>470</v>
      </c>
      <c r="E1817" s="11">
        <v>1500</v>
      </c>
      <c r="F1817" s="3" t="s">
        <v>8</v>
      </c>
      <c r="G1817" s="46">
        <v>9</v>
      </c>
      <c r="H1817" s="3">
        <v>10</v>
      </c>
      <c r="I1817" s="46">
        <v>0</v>
      </c>
      <c r="J1817" s="55">
        <v>0</v>
      </c>
      <c r="K1817" s="1">
        <f t="shared" ref="K1817" si="1801">(IF(F1817="SELL",G1817-H1817,IF(F1817="BUY",H1817-G1817)))*E1817</f>
        <v>1500</v>
      </c>
      <c r="L1817" s="51">
        <v>0</v>
      </c>
      <c r="M1817" s="52">
        <f>(IF(F1817="SELL",IF(J1817="",0,I1817-J1817),IF(F1817="BUY",IF(J1817="",0,(J1817-I1817)))))*E1817</f>
        <v>0</v>
      </c>
      <c r="N1817" s="2">
        <f t="shared" si="1719"/>
        <v>1</v>
      </c>
      <c r="O1817" s="2">
        <f t="shared" si="1746"/>
        <v>1500</v>
      </c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</row>
    <row r="1818" spans="1:33" s="14" customFormat="1" ht="15" customHeight="1">
      <c r="A1818" s="10">
        <v>42975</v>
      </c>
      <c r="B1818" s="3" t="s">
        <v>175</v>
      </c>
      <c r="C1818" s="15" t="s">
        <v>47</v>
      </c>
      <c r="D1818" s="15">
        <v>1800</v>
      </c>
      <c r="E1818" s="11">
        <v>500</v>
      </c>
      <c r="F1818" s="3" t="s">
        <v>8</v>
      </c>
      <c r="G1818" s="46">
        <v>30</v>
      </c>
      <c r="H1818" s="3">
        <v>35</v>
      </c>
      <c r="I1818" s="46">
        <v>43</v>
      </c>
      <c r="J1818" s="55">
        <v>0</v>
      </c>
      <c r="K1818" s="1">
        <f t="shared" ref="K1818" si="1802">(IF(F1818="SELL",G1818-H1818,IF(F1818="BUY",H1818-G1818)))*E1818</f>
        <v>2500</v>
      </c>
      <c r="L1818" s="51">
        <f>(IF(F1818="SELL",IF(I1818="",0,H1818-I1818),IF(F1818="BUY",IF(I1818="",0,I1818-H1818))))*E1818</f>
        <v>4000</v>
      </c>
      <c r="M1818" s="52">
        <v>0</v>
      </c>
      <c r="N1818" s="2">
        <f t="shared" si="1719"/>
        <v>13</v>
      </c>
      <c r="O1818" s="2">
        <f t="shared" si="1746"/>
        <v>6500</v>
      </c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</row>
    <row r="1819" spans="1:33" s="14" customFormat="1" ht="15" customHeight="1">
      <c r="A1819" s="10">
        <v>42975</v>
      </c>
      <c r="B1819" s="3" t="s">
        <v>60</v>
      </c>
      <c r="C1819" s="15" t="s">
        <v>46</v>
      </c>
      <c r="D1819" s="15">
        <v>300</v>
      </c>
      <c r="E1819" s="11">
        <v>3500</v>
      </c>
      <c r="F1819" s="3" t="s">
        <v>8</v>
      </c>
      <c r="G1819" s="46">
        <v>4.3</v>
      </c>
      <c r="H1819" s="3">
        <v>4.7</v>
      </c>
      <c r="I1819" s="46">
        <v>5.0999999999999996</v>
      </c>
      <c r="J1819" s="55">
        <v>0</v>
      </c>
      <c r="K1819" s="1">
        <f t="shared" ref="K1819" si="1803">(IF(F1819="SELL",G1819-H1819,IF(F1819="BUY",H1819-G1819)))*E1819</f>
        <v>1400.0000000000011</v>
      </c>
      <c r="L1819" s="51">
        <f>(IF(F1819="SELL",IF(I1819="",0,H1819-I1819),IF(F1819="BUY",IF(I1819="",0,I1819-H1819))))*E1819</f>
        <v>1399.9999999999982</v>
      </c>
      <c r="M1819" s="52">
        <v>0</v>
      </c>
      <c r="N1819" s="2">
        <f t="shared" si="1719"/>
        <v>0.79999999999999971</v>
      </c>
      <c r="O1819" s="2">
        <f t="shared" si="1746"/>
        <v>2799.9999999999991</v>
      </c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</row>
    <row r="1820" spans="1:33" s="14" customFormat="1" ht="15" customHeight="1">
      <c r="A1820" s="10">
        <v>42975</v>
      </c>
      <c r="B1820" s="3" t="s">
        <v>174</v>
      </c>
      <c r="C1820" s="15" t="s">
        <v>46</v>
      </c>
      <c r="D1820" s="15">
        <v>340</v>
      </c>
      <c r="E1820" s="11">
        <v>3084</v>
      </c>
      <c r="F1820" s="3" t="s">
        <v>8</v>
      </c>
      <c r="G1820" s="46">
        <v>3.5</v>
      </c>
      <c r="H1820" s="3">
        <v>4</v>
      </c>
      <c r="I1820" s="46">
        <v>4.5</v>
      </c>
      <c r="J1820" s="55">
        <v>0</v>
      </c>
      <c r="K1820" s="1">
        <f t="shared" ref="K1820" si="1804">(IF(F1820="SELL",G1820-H1820,IF(F1820="BUY",H1820-G1820)))*E1820</f>
        <v>1542</v>
      </c>
      <c r="L1820" s="51">
        <f>(IF(F1820="SELL",IF(I1820="",0,H1820-I1820),IF(F1820="BUY",IF(I1820="",0,I1820-H1820))))*E1820</f>
        <v>1542</v>
      </c>
      <c r="M1820" s="52">
        <v>0</v>
      </c>
      <c r="N1820" s="2">
        <f t="shared" si="1719"/>
        <v>1</v>
      </c>
      <c r="O1820" s="2">
        <f t="shared" si="1746"/>
        <v>3084</v>
      </c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</row>
    <row r="1821" spans="1:33" s="14" customFormat="1" ht="15" customHeight="1">
      <c r="A1821" s="10">
        <v>42971</v>
      </c>
      <c r="B1821" s="3" t="s">
        <v>141</v>
      </c>
      <c r="C1821" s="15" t="s">
        <v>47</v>
      </c>
      <c r="D1821" s="15">
        <v>245</v>
      </c>
      <c r="E1821" s="11">
        <v>3000</v>
      </c>
      <c r="F1821" s="3" t="s">
        <v>8</v>
      </c>
      <c r="G1821" s="46">
        <v>3.25</v>
      </c>
      <c r="H1821" s="3">
        <v>3.75</v>
      </c>
      <c r="I1821" s="46">
        <v>4.5</v>
      </c>
      <c r="J1821" s="55">
        <v>5.5</v>
      </c>
      <c r="K1821" s="1">
        <f t="shared" ref="K1821" si="1805">(IF(F1821="SELL",G1821-H1821,IF(F1821="BUY",H1821-G1821)))*E1821</f>
        <v>1500</v>
      </c>
      <c r="L1821" s="51">
        <f>(IF(F1821="SELL",IF(I1821="",0,H1821-I1821),IF(F1821="BUY",IF(I1821="",0,I1821-H1821))))*E1821</f>
        <v>2250</v>
      </c>
      <c r="M1821" s="52">
        <f>(IF(F1821="SELL",IF(J1821="",0,I1821-J1821),IF(F1821="BUY",IF(J1821="",0,(J1821-I1821)))))*E1821</f>
        <v>3000</v>
      </c>
      <c r="N1821" s="2">
        <f t="shared" ref="N1821:N1884" si="1806">(L1821+K1821+M1821)/E1821</f>
        <v>2.25</v>
      </c>
      <c r="O1821" s="2">
        <f t="shared" si="1746"/>
        <v>6750</v>
      </c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</row>
    <row r="1822" spans="1:33" s="14" customFormat="1" ht="15" customHeight="1">
      <c r="A1822" s="10">
        <v>42971</v>
      </c>
      <c r="B1822" s="3" t="s">
        <v>172</v>
      </c>
      <c r="C1822" s="15" t="s">
        <v>47</v>
      </c>
      <c r="D1822" s="15">
        <v>450</v>
      </c>
      <c r="E1822" s="11">
        <v>1575</v>
      </c>
      <c r="F1822" s="3" t="s">
        <v>8</v>
      </c>
      <c r="G1822" s="46">
        <v>18</v>
      </c>
      <c r="H1822" s="3">
        <v>19.5</v>
      </c>
      <c r="I1822" s="46">
        <v>21</v>
      </c>
      <c r="J1822" s="55">
        <v>23</v>
      </c>
      <c r="K1822" s="1">
        <f t="shared" ref="K1822" si="1807">(IF(F1822="SELL",G1822-H1822,IF(F1822="BUY",H1822-G1822)))*E1822</f>
        <v>2362.5</v>
      </c>
      <c r="L1822" s="51">
        <f>(IF(F1822="SELL",IF(I1822="",0,H1822-I1822),IF(F1822="BUY",IF(I1822="",0,I1822-H1822))))*E1822</f>
        <v>2362.5</v>
      </c>
      <c r="M1822" s="52">
        <f>(IF(F1822="SELL",IF(J1822="",0,I1822-J1822),IF(F1822="BUY",IF(J1822="",0,(J1822-I1822)))))*E1822</f>
        <v>3150</v>
      </c>
      <c r="N1822" s="2">
        <f t="shared" si="1806"/>
        <v>5</v>
      </c>
      <c r="O1822" s="2">
        <f t="shared" si="1746"/>
        <v>7875</v>
      </c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</row>
    <row r="1823" spans="1:33" s="14" customFormat="1" ht="15" customHeight="1">
      <c r="A1823" s="10">
        <v>42971</v>
      </c>
      <c r="B1823" s="3" t="s">
        <v>167</v>
      </c>
      <c r="C1823" s="15" t="s">
        <v>47</v>
      </c>
      <c r="D1823" s="15">
        <v>900</v>
      </c>
      <c r="E1823" s="11">
        <v>1000</v>
      </c>
      <c r="F1823" s="3" t="s">
        <v>8</v>
      </c>
      <c r="G1823" s="46">
        <v>23</v>
      </c>
      <c r="H1823" s="3">
        <v>25</v>
      </c>
      <c r="I1823" s="46">
        <v>0</v>
      </c>
      <c r="J1823" s="55">
        <v>0</v>
      </c>
      <c r="K1823" s="1">
        <f t="shared" ref="K1823" si="1808">(IF(F1823="SELL",G1823-H1823,IF(F1823="BUY",H1823-G1823)))*E1823</f>
        <v>2000</v>
      </c>
      <c r="L1823" s="51">
        <v>0</v>
      </c>
      <c r="M1823" s="52">
        <v>0</v>
      </c>
      <c r="N1823" s="2">
        <f t="shared" si="1806"/>
        <v>2</v>
      </c>
      <c r="O1823" s="2">
        <f t="shared" si="1746"/>
        <v>2000</v>
      </c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</row>
    <row r="1824" spans="1:33" s="14" customFormat="1" ht="15" customHeight="1">
      <c r="A1824" s="10">
        <v>42970</v>
      </c>
      <c r="B1824" s="3" t="s">
        <v>172</v>
      </c>
      <c r="C1824" s="15" t="s">
        <v>47</v>
      </c>
      <c r="D1824" s="15">
        <v>450</v>
      </c>
      <c r="E1824" s="11">
        <v>1575</v>
      </c>
      <c r="F1824" s="3" t="s">
        <v>8</v>
      </c>
      <c r="G1824" s="46">
        <v>14.5</v>
      </c>
      <c r="H1824" s="3">
        <v>15.5</v>
      </c>
      <c r="I1824" s="46">
        <v>17</v>
      </c>
      <c r="J1824" s="55">
        <v>0</v>
      </c>
      <c r="K1824" s="1">
        <f t="shared" ref="K1824" si="1809">(IF(F1824="SELL",G1824-H1824,IF(F1824="BUY",H1824-G1824)))*E1824</f>
        <v>1575</v>
      </c>
      <c r="L1824" s="51">
        <f>(IF(F1824="SELL",IF(I1824="",0,H1824-I1824),IF(F1824="BUY",IF(I1824="",0,I1824-H1824))))*E1824</f>
        <v>2362.5</v>
      </c>
      <c r="M1824" s="52">
        <v>0</v>
      </c>
      <c r="N1824" s="2">
        <f t="shared" si="1806"/>
        <v>2.5</v>
      </c>
      <c r="O1824" s="2">
        <f t="shared" si="1746"/>
        <v>3937.5</v>
      </c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</row>
    <row r="1825" spans="1:33" s="14" customFormat="1" ht="15" customHeight="1">
      <c r="A1825" s="10">
        <v>42969</v>
      </c>
      <c r="B1825" s="3" t="s">
        <v>173</v>
      </c>
      <c r="C1825" s="15" t="s">
        <v>47</v>
      </c>
      <c r="D1825" s="15">
        <v>160</v>
      </c>
      <c r="E1825" s="11">
        <v>3750</v>
      </c>
      <c r="F1825" s="3" t="s">
        <v>8</v>
      </c>
      <c r="G1825" s="46">
        <v>2.35</v>
      </c>
      <c r="H1825" s="3">
        <v>2.85</v>
      </c>
      <c r="I1825" s="46">
        <v>0</v>
      </c>
      <c r="J1825" s="55">
        <v>0</v>
      </c>
      <c r="K1825" s="1">
        <f t="shared" ref="K1825" si="1810">(IF(F1825="SELL",G1825-H1825,IF(F1825="BUY",H1825-G1825)))*E1825</f>
        <v>1875</v>
      </c>
      <c r="L1825" s="51">
        <v>0</v>
      </c>
      <c r="M1825" s="52">
        <v>0</v>
      </c>
      <c r="N1825" s="2">
        <f t="shared" si="1806"/>
        <v>0.5</v>
      </c>
      <c r="O1825" s="2">
        <f t="shared" si="1746"/>
        <v>1875</v>
      </c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</row>
    <row r="1826" spans="1:33" s="14" customFormat="1" ht="15" customHeight="1">
      <c r="A1826" s="10">
        <v>42969</v>
      </c>
      <c r="B1826" s="3" t="s">
        <v>172</v>
      </c>
      <c r="C1826" s="15" t="s">
        <v>47</v>
      </c>
      <c r="D1826" s="15">
        <v>450</v>
      </c>
      <c r="E1826" s="11">
        <v>1575</v>
      </c>
      <c r="F1826" s="3" t="s">
        <v>8</v>
      </c>
      <c r="G1826" s="46">
        <v>11</v>
      </c>
      <c r="H1826" s="3">
        <v>13</v>
      </c>
      <c r="I1826" s="46">
        <v>17</v>
      </c>
      <c r="J1826" s="55">
        <v>0</v>
      </c>
      <c r="K1826" s="1">
        <f t="shared" ref="K1826" si="1811">(IF(F1826="SELL",G1826-H1826,IF(F1826="BUY",H1826-G1826)))*E1826</f>
        <v>3150</v>
      </c>
      <c r="L1826" s="51">
        <f>(IF(F1826="SELL",IF(I1826="",0,H1826-I1826),IF(F1826="BUY",IF(I1826="",0,I1826-H1826))))*E1826</f>
        <v>6300</v>
      </c>
      <c r="M1826" s="52">
        <v>0</v>
      </c>
      <c r="N1826" s="2">
        <f t="shared" si="1806"/>
        <v>6</v>
      </c>
      <c r="O1826" s="2">
        <f t="shared" si="1746"/>
        <v>9450</v>
      </c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</row>
    <row r="1827" spans="1:33" s="14" customFormat="1" ht="15" customHeight="1">
      <c r="A1827" s="10">
        <v>42968</v>
      </c>
      <c r="B1827" s="3" t="s">
        <v>171</v>
      </c>
      <c r="C1827" s="15" t="s">
        <v>47</v>
      </c>
      <c r="D1827" s="15">
        <v>880</v>
      </c>
      <c r="E1827" s="11">
        <v>1000</v>
      </c>
      <c r="F1827" s="3" t="s">
        <v>8</v>
      </c>
      <c r="G1827" s="46">
        <v>35.25</v>
      </c>
      <c r="H1827" s="3">
        <v>29</v>
      </c>
      <c r="I1827" s="46">
        <v>0</v>
      </c>
      <c r="J1827" s="55">
        <v>0</v>
      </c>
      <c r="K1827" s="1">
        <f t="shared" ref="K1827" si="1812">(IF(F1827="SELL",G1827-H1827,IF(F1827="BUY",H1827-G1827)))*E1827</f>
        <v>-6250</v>
      </c>
      <c r="L1827" s="51">
        <v>0</v>
      </c>
      <c r="M1827" s="52">
        <v>0</v>
      </c>
      <c r="N1827" s="2">
        <f t="shared" si="1806"/>
        <v>-6.25</v>
      </c>
      <c r="O1827" s="2">
        <f t="shared" si="1746"/>
        <v>-6250</v>
      </c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</row>
    <row r="1828" spans="1:33" s="14" customFormat="1" ht="15" customHeight="1">
      <c r="A1828" s="10">
        <v>42968</v>
      </c>
      <c r="B1828" s="3" t="s">
        <v>170</v>
      </c>
      <c r="C1828" s="15" t="s">
        <v>46</v>
      </c>
      <c r="D1828" s="15">
        <v>145</v>
      </c>
      <c r="E1828" s="11">
        <v>3500</v>
      </c>
      <c r="F1828" s="3" t="s">
        <v>8</v>
      </c>
      <c r="G1828" s="46">
        <v>4</v>
      </c>
      <c r="H1828" s="3">
        <v>4.5</v>
      </c>
      <c r="I1828" s="46">
        <v>5.5</v>
      </c>
      <c r="J1828" s="55">
        <v>0</v>
      </c>
      <c r="K1828" s="1">
        <f t="shared" ref="K1828" si="1813">(IF(F1828="SELL",G1828-H1828,IF(F1828="BUY",H1828-G1828)))*E1828</f>
        <v>1750</v>
      </c>
      <c r="L1828" s="51">
        <f>(IF(F1828="SELL",IF(I1828="",0,H1828-I1828),IF(F1828="BUY",IF(I1828="",0,I1828-H1828))))*E1828</f>
        <v>3500</v>
      </c>
      <c r="M1828" s="52">
        <v>0</v>
      </c>
      <c r="N1828" s="2">
        <f t="shared" si="1806"/>
        <v>1.5</v>
      </c>
      <c r="O1828" s="2">
        <f t="shared" si="1746"/>
        <v>5250</v>
      </c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</row>
    <row r="1829" spans="1:33" s="14" customFormat="1" ht="15" customHeight="1">
      <c r="A1829" s="10">
        <v>42968</v>
      </c>
      <c r="B1829" s="3" t="s">
        <v>169</v>
      </c>
      <c r="C1829" s="15" t="s">
        <v>46</v>
      </c>
      <c r="D1829" s="15">
        <v>720</v>
      </c>
      <c r="E1829" s="11">
        <v>1000</v>
      </c>
      <c r="F1829" s="3" t="s">
        <v>8</v>
      </c>
      <c r="G1829" s="46">
        <v>17</v>
      </c>
      <c r="H1829" s="3">
        <v>20.5</v>
      </c>
      <c r="I1829" s="46">
        <v>22</v>
      </c>
      <c r="J1829" s="55">
        <v>24.8</v>
      </c>
      <c r="K1829" s="1">
        <f t="shared" ref="K1829" si="1814">(IF(F1829="SELL",G1829-H1829,IF(F1829="BUY",H1829-G1829)))*E1829</f>
        <v>3500</v>
      </c>
      <c r="L1829" s="51">
        <f>(IF(F1829="SELL",IF(I1829="",0,H1829-I1829),IF(F1829="BUY",IF(I1829="",0,I1829-H1829))))*E1829</f>
        <v>1500</v>
      </c>
      <c r="M1829" s="52">
        <f>(IF(F1829="SELL",IF(J1829="",0,I1829-J1829),IF(F1829="BUY",IF(J1829="",0,(J1829-I1829)))))*E1829</f>
        <v>2800.0000000000009</v>
      </c>
      <c r="N1829" s="2">
        <f t="shared" si="1806"/>
        <v>7.8000000000000007</v>
      </c>
      <c r="O1829" s="2">
        <f t="shared" si="1746"/>
        <v>7800.0000000000009</v>
      </c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</row>
    <row r="1830" spans="1:33" s="14" customFormat="1" ht="15" customHeight="1">
      <c r="A1830" s="10">
        <v>42968</v>
      </c>
      <c r="B1830" s="3" t="s">
        <v>34</v>
      </c>
      <c r="C1830" s="15" t="s">
        <v>46</v>
      </c>
      <c r="D1830" s="15">
        <v>230</v>
      </c>
      <c r="E1830" s="11">
        <v>3500</v>
      </c>
      <c r="F1830" s="3" t="s">
        <v>8</v>
      </c>
      <c r="G1830" s="46">
        <v>5.25</v>
      </c>
      <c r="H1830" s="3">
        <v>5.75</v>
      </c>
      <c r="I1830" s="46">
        <v>6.5</v>
      </c>
      <c r="J1830" s="55">
        <v>7.5</v>
      </c>
      <c r="K1830" s="1">
        <f t="shared" ref="K1830" si="1815">(IF(F1830="SELL",G1830-H1830,IF(F1830="BUY",H1830-G1830)))*E1830</f>
        <v>1750</v>
      </c>
      <c r="L1830" s="51">
        <f>(IF(F1830="SELL",IF(I1830="",0,H1830-I1830),IF(F1830="BUY",IF(I1830="",0,I1830-H1830))))*E1830</f>
        <v>2625</v>
      </c>
      <c r="M1830" s="52">
        <f>(IF(F1830="SELL",IF(J1830="",0,I1830-J1830),IF(F1830="BUY",IF(J1830="",0,(J1830-I1830)))))*E1830</f>
        <v>3500</v>
      </c>
      <c r="N1830" s="2">
        <f t="shared" si="1806"/>
        <v>2.25</v>
      </c>
      <c r="O1830" s="2">
        <f t="shared" si="1746"/>
        <v>7875</v>
      </c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</row>
    <row r="1831" spans="1:33" s="14" customFormat="1" ht="15" customHeight="1">
      <c r="A1831" s="10">
        <v>42968</v>
      </c>
      <c r="B1831" s="3" t="s">
        <v>168</v>
      </c>
      <c r="C1831" s="15" t="s">
        <v>46</v>
      </c>
      <c r="D1831" s="15">
        <v>300</v>
      </c>
      <c r="E1831" s="11">
        <v>2000</v>
      </c>
      <c r="F1831" s="3" t="s">
        <v>8</v>
      </c>
      <c r="G1831" s="46">
        <v>9</v>
      </c>
      <c r="H1831" s="3">
        <v>10</v>
      </c>
      <c r="I1831" s="46">
        <v>0</v>
      </c>
      <c r="J1831" s="55">
        <v>0</v>
      </c>
      <c r="K1831" s="1">
        <f t="shared" ref="K1831" si="1816">(IF(F1831="SELL",G1831-H1831,IF(F1831="BUY",H1831-G1831)))*E1831</f>
        <v>2000</v>
      </c>
      <c r="L1831" s="51">
        <v>0</v>
      </c>
      <c r="M1831" s="52">
        <v>0</v>
      </c>
      <c r="N1831" s="2">
        <f t="shared" si="1806"/>
        <v>1</v>
      </c>
      <c r="O1831" s="2">
        <f t="shared" si="1746"/>
        <v>2000</v>
      </c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</row>
    <row r="1832" spans="1:33" s="14" customFormat="1" ht="15" customHeight="1">
      <c r="A1832" s="10">
        <v>42965</v>
      </c>
      <c r="B1832" s="3" t="s">
        <v>167</v>
      </c>
      <c r="C1832" s="15" t="s">
        <v>47</v>
      </c>
      <c r="D1832" s="15">
        <v>860</v>
      </c>
      <c r="E1832" s="11">
        <v>1000</v>
      </c>
      <c r="F1832" s="3" t="s">
        <v>8</v>
      </c>
      <c r="G1832" s="46">
        <v>33</v>
      </c>
      <c r="H1832" s="3">
        <v>38</v>
      </c>
      <c r="I1832" s="46">
        <v>0</v>
      </c>
      <c r="J1832" s="55">
        <v>0</v>
      </c>
      <c r="K1832" s="1">
        <f t="shared" ref="K1832" si="1817">(IF(F1832="SELL",G1832-H1832,IF(F1832="BUY",H1832-G1832)))*E1832</f>
        <v>5000</v>
      </c>
      <c r="L1832" s="51">
        <v>0</v>
      </c>
      <c r="M1832" s="52">
        <v>0</v>
      </c>
      <c r="N1832" s="2">
        <f t="shared" si="1806"/>
        <v>5</v>
      </c>
      <c r="O1832" s="2">
        <f t="shared" si="1746"/>
        <v>5000</v>
      </c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</row>
    <row r="1833" spans="1:33" s="14" customFormat="1" ht="15" customHeight="1">
      <c r="A1833" s="10">
        <v>42965</v>
      </c>
      <c r="B1833" s="3" t="s">
        <v>72</v>
      </c>
      <c r="C1833" s="15" t="s">
        <v>47</v>
      </c>
      <c r="D1833" s="15">
        <v>500</v>
      </c>
      <c r="E1833" s="11">
        <v>1800</v>
      </c>
      <c r="F1833" s="3" t="s">
        <v>8</v>
      </c>
      <c r="G1833" s="46">
        <v>17</v>
      </c>
      <c r="H1833" s="3">
        <v>18.5</v>
      </c>
      <c r="I1833" s="46">
        <v>0</v>
      </c>
      <c r="J1833" s="55">
        <v>0</v>
      </c>
      <c r="K1833" s="1">
        <f t="shared" ref="K1833" si="1818">(IF(F1833="SELL",G1833-H1833,IF(F1833="BUY",H1833-G1833)))*E1833</f>
        <v>2700</v>
      </c>
      <c r="L1833" s="51">
        <v>0</v>
      </c>
      <c r="M1833" s="52">
        <v>0</v>
      </c>
      <c r="N1833" s="2">
        <f t="shared" si="1806"/>
        <v>1.5</v>
      </c>
      <c r="O1833" s="2">
        <f t="shared" si="1746"/>
        <v>2700</v>
      </c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</row>
    <row r="1834" spans="1:33" s="14" customFormat="1" ht="15" customHeight="1">
      <c r="A1834" s="10">
        <v>42965</v>
      </c>
      <c r="B1834" s="3" t="s">
        <v>166</v>
      </c>
      <c r="C1834" s="15" t="s">
        <v>47</v>
      </c>
      <c r="D1834" s="15">
        <v>230</v>
      </c>
      <c r="E1834" s="11">
        <v>3500</v>
      </c>
      <c r="F1834" s="3" t="s">
        <v>8</v>
      </c>
      <c r="G1834" s="46">
        <v>6.5</v>
      </c>
      <c r="H1834" s="3">
        <v>7</v>
      </c>
      <c r="I1834" s="46">
        <v>0</v>
      </c>
      <c r="J1834" s="55">
        <v>0</v>
      </c>
      <c r="K1834" s="1">
        <f t="shared" ref="K1834" si="1819">(IF(F1834="SELL",G1834-H1834,IF(F1834="BUY",H1834-G1834)))*E1834</f>
        <v>1750</v>
      </c>
      <c r="L1834" s="51">
        <v>0</v>
      </c>
      <c r="M1834" s="52">
        <v>0</v>
      </c>
      <c r="N1834" s="2">
        <f t="shared" si="1806"/>
        <v>0.5</v>
      </c>
      <c r="O1834" s="2">
        <f t="shared" si="1746"/>
        <v>1750</v>
      </c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</row>
    <row r="1835" spans="1:33" s="14" customFormat="1" ht="15" customHeight="1">
      <c r="A1835" s="10">
        <v>42965</v>
      </c>
      <c r="B1835" s="3" t="s">
        <v>165</v>
      </c>
      <c r="C1835" s="15" t="s">
        <v>46</v>
      </c>
      <c r="D1835" s="15">
        <v>390</v>
      </c>
      <c r="E1835" s="11">
        <v>2500</v>
      </c>
      <c r="F1835" s="3" t="s">
        <v>8</v>
      </c>
      <c r="G1835" s="46">
        <v>11</v>
      </c>
      <c r="H1835" s="3">
        <v>11.7</v>
      </c>
      <c r="I1835" s="46">
        <v>0</v>
      </c>
      <c r="J1835" s="55">
        <v>0</v>
      </c>
      <c r="K1835" s="1">
        <f t="shared" ref="K1835" si="1820">(IF(F1835="SELL",G1835-H1835,IF(F1835="BUY",H1835-G1835)))*E1835</f>
        <v>1749.9999999999982</v>
      </c>
      <c r="L1835" s="51">
        <v>0</v>
      </c>
      <c r="M1835" s="52">
        <v>0</v>
      </c>
      <c r="N1835" s="2">
        <f t="shared" si="1806"/>
        <v>0.69999999999999929</v>
      </c>
      <c r="O1835" s="2">
        <f t="shared" si="1746"/>
        <v>1749.9999999999982</v>
      </c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</row>
    <row r="1836" spans="1:33" s="14" customFormat="1" ht="15" customHeight="1">
      <c r="A1836" s="10">
        <v>42964</v>
      </c>
      <c r="B1836" s="3" t="s">
        <v>164</v>
      </c>
      <c r="C1836" s="15" t="s">
        <v>47</v>
      </c>
      <c r="D1836" s="15">
        <v>300</v>
      </c>
      <c r="E1836" s="11">
        <v>3500</v>
      </c>
      <c r="F1836" s="3" t="s">
        <v>8</v>
      </c>
      <c r="G1836" s="46">
        <v>13.05</v>
      </c>
      <c r="H1836" s="3">
        <v>13.5</v>
      </c>
      <c r="I1836" s="46">
        <v>0</v>
      </c>
      <c r="J1836" s="55">
        <v>0</v>
      </c>
      <c r="K1836" s="1">
        <f t="shared" ref="K1836" si="1821">(IF(F1836="SELL",G1836-H1836,IF(F1836="BUY",H1836-G1836)))*E1836</f>
        <v>1574.9999999999975</v>
      </c>
      <c r="L1836" s="51">
        <v>0</v>
      </c>
      <c r="M1836" s="52">
        <v>0</v>
      </c>
      <c r="N1836" s="2">
        <f t="shared" si="1806"/>
        <v>0.44999999999999929</v>
      </c>
      <c r="O1836" s="2">
        <f t="shared" si="1746"/>
        <v>1574.9999999999975</v>
      </c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</row>
    <row r="1837" spans="1:33" s="14" customFormat="1" ht="15" customHeight="1">
      <c r="A1837" s="10">
        <v>42963</v>
      </c>
      <c r="B1837" s="3" t="s">
        <v>162</v>
      </c>
      <c r="C1837" s="15" t="s">
        <v>47</v>
      </c>
      <c r="D1837" s="15">
        <v>1440</v>
      </c>
      <c r="E1837" s="11">
        <v>500</v>
      </c>
      <c r="F1837" s="3" t="s">
        <v>8</v>
      </c>
      <c r="G1837" s="46">
        <v>50</v>
      </c>
      <c r="H1837" s="3">
        <v>40</v>
      </c>
      <c r="I1837" s="46">
        <v>0</v>
      </c>
      <c r="J1837" s="55">
        <v>0</v>
      </c>
      <c r="K1837" s="1">
        <f t="shared" ref="K1837" si="1822">(IF(F1837="SELL",G1837-H1837,IF(F1837="BUY",H1837-G1837)))*E1837</f>
        <v>-5000</v>
      </c>
      <c r="L1837" s="51">
        <v>0</v>
      </c>
      <c r="M1837" s="52">
        <v>0</v>
      </c>
      <c r="N1837" s="2">
        <f t="shared" si="1806"/>
        <v>-10</v>
      </c>
      <c r="O1837" s="2">
        <f t="shared" si="1746"/>
        <v>-5000</v>
      </c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</row>
    <row r="1838" spans="1:33" s="14" customFormat="1" ht="15" customHeight="1">
      <c r="A1838" s="10">
        <v>42963</v>
      </c>
      <c r="B1838" s="3" t="s">
        <v>163</v>
      </c>
      <c r="C1838" s="15" t="s">
        <v>47</v>
      </c>
      <c r="D1838" s="15">
        <v>290</v>
      </c>
      <c r="E1838" s="11">
        <v>3200</v>
      </c>
      <c r="F1838" s="3" t="s">
        <v>8</v>
      </c>
      <c r="G1838" s="46">
        <v>8.5</v>
      </c>
      <c r="H1838" s="3">
        <v>9</v>
      </c>
      <c r="I1838" s="46">
        <v>0</v>
      </c>
      <c r="J1838" s="55">
        <v>0</v>
      </c>
      <c r="K1838" s="1">
        <f t="shared" ref="K1838" si="1823">(IF(F1838="SELL",G1838-H1838,IF(F1838="BUY",H1838-G1838)))*E1838</f>
        <v>1600</v>
      </c>
      <c r="L1838" s="51">
        <v>0</v>
      </c>
      <c r="M1838" s="52">
        <v>0</v>
      </c>
      <c r="N1838" s="2">
        <f t="shared" si="1806"/>
        <v>0.5</v>
      </c>
      <c r="O1838" s="2">
        <f t="shared" si="1746"/>
        <v>1600</v>
      </c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</row>
    <row r="1839" spans="1:33" s="14" customFormat="1" ht="15" customHeight="1">
      <c r="A1839" s="10">
        <v>42961</v>
      </c>
      <c r="B1839" s="3" t="s">
        <v>26</v>
      </c>
      <c r="C1839" s="15" t="s">
        <v>47</v>
      </c>
      <c r="D1839" s="15">
        <v>600</v>
      </c>
      <c r="E1839" s="11">
        <v>2000</v>
      </c>
      <c r="F1839" s="3" t="s">
        <v>8</v>
      </c>
      <c r="G1839" s="46">
        <v>16.3</v>
      </c>
      <c r="H1839" s="3">
        <v>17.3</v>
      </c>
      <c r="I1839" s="46">
        <v>18.7</v>
      </c>
      <c r="J1839" s="55">
        <v>0</v>
      </c>
      <c r="K1839" s="1">
        <f t="shared" ref="K1839" si="1824">(IF(F1839="SELL",G1839-H1839,IF(F1839="BUY",H1839-G1839)))*E1839</f>
        <v>2000</v>
      </c>
      <c r="L1839" s="51">
        <f>(IF(F1839="SELL",IF(I1839="",0,H1839-I1839),IF(F1839="BUY",IF(I1839="",0,I1839-H1839))))*E1839</f>
        <v>2799.9999999999973</v>
      </c>
      <c r="M1839" s="52">
        <v>0</v>
      </c>
      <c r="N1839" s="2">
        <f t="shared" si="1806"/>
        <v>2.3999999999999986</v>
      </c>
      <c r="O1839" s="2">
        <f t="shared" si="1746"/>
        <v>4799.9999999999973</v>
      </c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</row>
    <row r="1840" spans="1:33" s="14" customFormat="1" ht="15" customHeight="1">
      <c r="A1840" s="10">
        <v>42961</v>
      </c>
      <c r="B1840" s="3" t="s">
        <v>162</v>
      </c>
      <c r="C1840" s="15" t="s">
        <v>47</v>
      </c>
      <c r="D1840" s="15">
        <v>1340</v>
      </c>
      <c r="E1840" s="11">
        <v>500</v>
      </c>
      <c r="F1840" s="3" t="s">
        <v>8</v>
      </c>
      <c r="G1840" s="46">
        <v>52</v>
      </c>
      <c r="H1840" s="3">
        <v>56</v>
      </c>
      <c r="I1840" s="46">
        <v>0</v>
      </c>
      <c r="J1840" s="55">
        <v>0</v>
      </c>
      <c r="K1840" s="1">
        <f t="shared" ref="K1840" si="1825">(IF(F1840="SELL",G1840-H1840,IF(F1840="BUY",H1840-G1840)))*E1840</f>
        <v>2000</v>
      </c>
      <c r="L1840" s="51">
        <v>0</v>
      </c>
      <c r="M1840" s="52">
        <v>0</v>
      </c>
      <c r="N1840" s="2">
        <f t="shared" si="1806"/>
        <v>4</v>
      </c>
      <c r="O1840" s="2">
        <f t="shared" si="1746"/>
        <v>2000</v>
      </c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</row>
    <row r="1841" spans="1:33" s="14" customFormat="1" ht="15" customHeight="1">
      <c r="A1841" s="10">
        <v>42961</v>
      </c>
      <c r="B1841" s="3" t="s">
        <v>60</v>
      </c>
      <c r="C1841" s="15" t="s">
        <v>47</v>
      </c>
      <c r="D1841" s="15">
        <v>290</v>
      </c>
      <c r="E1841" s="11">
        <v>3500</v>
      </c>
      <c r="F1841" s="3" t="s">
        <v>8</v>
      </c>
      <c r="G1841" s="46">
        <v>8.6</v>
      </c>
      <c r="H1841" s="3">
        <v>9.1</v>
      </c>
      <c r="I1841" s="46">
        <v>10</v>
      </c>
      <c r="J1841" s="55">
        <v>0</v>
      </c>
      <c r="K1841" s="1">
        <f t="shared" ref="K1841:K1842" si="1826">(IF(F1841="SELL",G1841-H1841,IF(F1841="BUY",H1841-G1841)))*E1841</f>
        <v>1750</v>
      </c>
      <c r="L1841" s="51">
        <f>(IF(F1841="SELL",IF(I1841="",0,H1841-I1841),IF(F1841="BUY",IF(I1841="",0,I1841-H1841))))*E1841</f>
        <v>3150.0000000000014</v>
      </c>
      <c r="M1841" s="52">
        <v>0</v>
      </c>
      <c r="N1841" s="2">
        <f t="shared" si="1806"/>
        <v>1.4000000000000006</v>
      </c>
      <c r="O1841" s="2">
        <f t="shared" ref="O1841:O1904" si="1827">N1841*E1841</f>
        <v>4900.0000000000018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</row>
    <row r="1842" spans="1:33" s="14" customFormat="1" ht="15" customHeight="1">
      <c r="A1842" s="10">
        <v>42958</v>
      </c>
      <c r="B1842" s="3" t="s">
        <v>39</v>
      </c>
      <c r="C1842" s="15" t="s">
        <v>46</v>
      </c>
      <c r="D1842" s="15">
        <v>1560</v>
      </c>
      <c r="E1842" s="11">
        <v>500</v>
      </c>
      <c r="F1842" s="3" t="s">
        <v>8</v>
      </c>
      <c r="G1842" s="46">
        <v>36</v>
      </c>
      <c r="H1842" s="3">
        <v>39</v>
      </c>
      <c r="I1842" s="46">
        <v>45</v>
      </c>
      <c r="J1842" s="55">
        <v>0</v>
      </c>
      <c r="K1842" s="1">
        <f t="shared" si="1826"/>
        <v>1500</v>
      </c>
      <c r="L1842" s="51">
        <f>(IF(F1842="SELL",IF(I1842="",0,H1842-I1842),IF(F1842="BUY",IF(I1842="",0,I1842-H1842))))*E1842</f>
        <v>3000</v>
      </c>
      <c r="M1842" s="52">
        <v>0</v>
      </c>
      <c r="N1842" s="2">
        <f t="shared" si="1806"/>
        <v>9</v>
      </c>
      <c r="O1842" s="2">
        <f t="shared" si="1827"/>
        <v>4500</v>
      </c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</row>
    <row r="1843" spans="1:33" s="14" customFormat="1" ht="15" customHeight="1">
      <c r="A1843" s="10">
        <v>42958</v>
      </c>
      <c r="B1843" s="3" t="s">
        <v>21</v>
      </c>
      <c r="C1843" s="15" t="s">
        <v>47</v>
      </c>
      <c r="D1843" s="15">
        <v>285</v>
      </c>
      <c r="E1843" s="11">
        <v>3000</v>
      </c>
      <c r="F1843" s="3" t="s">
        <v>8</v>
      </c>
      <c r="G1843" s="46">
        <v>8</v>
      </c>
      <c r="H1843" s="3">
        <v>9</v>
      </c>
      <c r="I1843" s="46">
        <v>0</v>
      </c>
      <c r="J1843" s="55">
        <v>0</v>
      </c>
      <c r="K1843" s="1">
        <f t="shared" ref="K1843" si="1828">(IF(F1843="SELL",G1843-H1843,IF(F1843="BUY",H1843-G1843)))*E1843</f>
        <v>3000</v>
      </c>
      <c r="L1843" s="51">
        <v>0</v>
      </c>
      <c r="M1843" s="52">
        <v>0</v>
      </c>
      <c r="N1843" s="2">
        <f t="shared" si="1806"/>
        <v>1</v>
      </c>
      <c r="O1843" s="2">
        <f t="shared" si="1827"/>
        <v>3000</v>
      </c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</row>
    <row r="1844" spans="1:33" s="14" customFormat="1" ht="15" customHeight="1">
      <c r="A1844" s="10">
        <v>42957</v>
      </c>
      <c r="B1844" s="3" t="s">
        <v>161</v>
      </c>
      <c r="C1844" s="15" t="s">
        <v>47</v>
      </c>
      <c r="D1844" s="15">
        <v>390</v>
      </c>
      <c r="E1844" s="11">
        <v>1500</v>
      </c>
      <c r="F1844" s="3" t="s">
        <v>8</v>
      </c>
      <c r="G1844" s="46">
        <v>14.25</v>
      </c>
      <c r="H1844" s="3">
        <v>12</v>
      </c>
      <c r="I1844" s="46">
        <v>0</v>
      </c>
      <c r="J1844" s="55">
        <v>0</v>
      </c>
      <c r="K1844" s="1">
        <f t="shared" ref="K1844" si="1829">(IF(F1844="SELL",G1844-H1844,IF(F1844="BUY",H1844-G1844)))*E1844</f>
        <v>-3375</v>
      </c>
      <c r="L1844" s="51">
        <v>0</v>
      </c>
      <c r="M1844" s="52">
        <v>0</v>
      </c>
      <c r="N1844" s="2">
        <f t="shared" si="1806"/>
        <v>-2.25</v>
      </c>
      <c r="O1844" s="2">
        <f t="shared" si="1827"/>
        <v>-3375</v>
      </c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</row>
    <row r="1845" spans="1:33" s="14" customFormat="1" ht="15" customHeight="1">
      <c r="A1845" s="10">
        <v>42957</v>
      </c>
      <c r="B1845" s="3" t="s">
        <v>160</v>
      </c>
      <c r="C1845" s="15" t="s">
        <v>46</v>
      </c>
      <c r="D1845" s="15">
        <v>530</v>
      </c>
      <c r="E1845" s="11">
        <v>1300</v>
      </c>
      <c r="F1845" s="3" t="s">
        <v>8</v>
      </c>
      <c r="G1845" s="46">
        <v>13.25</v>
      </c>
      <c r="H1845" s="3">
        <v>14.25</v>
      </c>
      <c r="I1845" s="46">
        <v>16</v>
      </c>
      <c r="J1845" s="55">
        <v>0</v>
      </c>
      <c r="K1845" s="1">
        <f t="shared" ref="K1845" si="1830">(IF(F1845="SELL",G1845-H1845,IF(F1845="BUY",H1845-G1845)))*E1845</f>
        <v>1300</v>
      </c>
      <c r="L1845" s="51">
        <f>(IF(F1845="SELL",IF(I1845="",0,H1845-I1845),IF(F1845="BUY",IF(I1845="",0,I1845-H1845))))*E1845</f>
        <v>2275</v>
      </c>
      <c r="M1845" s="52">
        <v>0</v>
      </c>
      <c r="N1845" s="2">
        <f t="shared" si="1806"/>
        <v>2.75</v>
      </c>
      <c r="O1845" s="2">
        <f t="shared" si="1827"/>
        <v>3575</v>
      </c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</row>
    <row r="1846" spans="1:33" s="14" customFormat="1" ht="15" customHeight="1">
      <c r="A1846" s="10">
        <v>42957</v>
      </c>
      <c r="B1846" s="3" t="s">
        <v>159</v>
      </c>
      <c r="C1846" s="15" t="s">
        <v>46</v>
      </c>
      <c r="D1846" s="15">
        <v>2500</v>
      </c>
      <c r="E1846" s="11">
        <v>250</v>
      </c>
      <c r="F1846" s="3" t="s">
        <v>8</v>
      </c>
      <c r="G1846" s="46">
        <v>83</v>
      </c>
      <c r="H1846" s="3">
        <v>90</v>
      </c>
      <c r="I1846" s="46">
        <v>0</v>
      </c>
      <c r="J1846" s="55">
        <v>0</v>
      </c>
      <c r="K1846" s="1">
        <f t="shared" ref="K1846" si="1831">(IF(F1846="SELL",G1846-H1846,IF(F1846="BUY",H1846-G1846)))*E1846</f>
        <v>1750</v>
      </c>
      <c r="L1846" s="51">
        <v>0</v>
      </c>
      <c r="M1846" s="52">
        <v>0</v>
      </c>
      <c r="N1846" s="2">
        <f t="shared" si="1806"/>
        <v>7</v>
      </c>
      <c r="O1846" s="2">
        <f t="shared" si="1827"/>
        <v>1750</v>
      </c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</row>
    <row r="1847" spans="1:33" s="14" customFormat="1" ht="15" customHeight="1">
      <c r="A1847" s="10">
        <v>42957</v>
      </c>
      <c r="B1847" s="3" t="s">
        <v>154</v>
      </c>
      <c r="C1847" s="15" t="s">
        <v>46</v>
      </c>
      <c r="D1847" s="15">
        <v>7800</v>
      </c>
      <c r="E1847" s="11">
        <v>1500</v>
      </c>
      <c r="F1847" s="3" t="s">
        <v>8</v>
      </c>
      <c r="G1847" s="46">
        <v>20</v>
      </c>
      <c r="H1847" s="3">
        <v>21</v>
      </c>
      <c r="I1847" s="46">
        <v>0</v>
      </c>
      <c r="J1847" s="55">
        <v>0</v>
      </c>
      <c r="K1847" s="1">
        <f t="shared" ref="K1847" si="1832">(IF(F1847="SELL",G1847-H1847,IF(F1847="BUY",H1847-G1847)))*E1847</f>
        <v>1500</v>
      </c>
      <c r="L1847" s="51">
        <v>0</v>
      </c>
      <c r="M1847" s="52">
        <v>0</v>
      </c>
      <c r="N1847" s="2">
        <f t="shared" si="1806"/>
        <v>1</v>
      </c>
      <c r="O1847" s="2">
        <f t="shared" si="1827"/>
        <v>1500</v>
      </c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</row>
    <row r="1848" spans="1:33" s="14" customFormat="1" ht="15" customHeight="1">
      <c r="A1848" s="10">
        <v>42956</v>
      </c>
      <c r="B1848" s="3" t="s">
        <v>158</v>
      </c>
      <c r="C1848" s="15" t="s">
        <v>47</v>
      </c>
      <c r="D1848" s="15">
        <v>490</v>
      </c>
      <c r="E1848" s="11">
        <v>75</v>
      </c>
      <c r="F1848" s="3" t="s">
        <v>8</v>
      </c>
      <c r="G1848" s="46">
        <v>110</v>
      </c>
      <c r="H1848" s="3">
        <v>90</v>
      </c>
      <c r="I1848" s="46">
        <v>0</v>
      </c>
      <c r="J1848" s="55">
        <v>0</v>
      </c>
      <c r="K1848" s="1">
        <f t="shared" ref="K1848" si="1833">(IF(F1848="SELL",G1848-H1848,IF(F1848="BUY",H1848-G1848)))*E1848</f>
        <v>-1500</v>
      </c>
      <c r="L1848" s="51">
        <v>0</v>
      </c>
      <c r="M1848" s="52">
        <v>0</v>
      </c>
      <c r="N1848" s="2">
        <f t="shared" si="1806"/>
        <v>-20</v>
      </c>
      <c r="O1848" s="2">
        <f t="shared" si="1827"/>
        <v>-1500</v>
      </c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</row>
    <row r="1849" spans="1:33" s="14" customFormat="1" ht="15" customHeight="1">
      <c r="A1849" s="10">
        <v>42956</v>
      </c>
      <c r="B1849" s="3" t="s">
        <v>157</v>
      </c>
      <c r="C1849" s="15" t="s">
        <v>47</v>
      </c>
      <c r="D1849" s="15">
        <v>620</v>
      </c>
      <c r="E1849" s="11">
        <v>1500</v>
      </c>
      <c r="F1849" s="3" t="s">
        <v>8</v>
      </c>
      <c r="G1849" s="46">
        <v>21.5</v>
      </c>
      <c r="H1849" s="3">
        <v>22.5</v>
      </c>
      <c r="I1849" s="46">
        <v>0</v>
      </c>
      <c r="J1849" s="55">
        <v>0</v>
      </c>
      <c r="K1849" s="1">
        <f t="shared" ref="K1849" si="1834">(IF(F1849="SELL",G1849-H1849,IF(F1849="BUY",H1849-G1849)))*E1849</f>
        <v>1500</v>
      </c>
      <c r="L1849" s="51">
        <v>0</v>
      </c>
      <c r="M1849" s="52">
        <v>0</v>
      </c>
      <c r="N1849" s="2">
        <f t="shared" si="1806"/>
        <v>1</v>
      </c>
      <c r="O1849" s="2">
        <f t="shared" si="1827"/>
        <v>1500</v>
      </c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</row>
    <row r="1850" spans="1:33" s="14" customFormat="1" ht="15" customHeight="1">
      <c r="A1850" s="10">
        <v>42956</v>
      </c>
      <c r="B1850" s="3" t="s">
        <v>156</v>
      </c>
      <c r="C1850" s="15" t="s">
        <v>47</v>
      </c>
      <c r="D1850" s="15">
        <v>500</v>
      </c>
      <c r="E1850" s="11">
        <v>2000</v>
      </c>
      <c r="F1850" s="3" t="s">
        <v>8</v>
      </c>
      <c r="G1850" s="46">
        <v>14.15</v>
      </c>
      <c r="H1850" s="3">
        <v>14.65</v>
      </c>
      <c r="I1850" s="46">
        <v>16</v>
      </c>
      <c r="J1850" s="55">
        <v>0</v>
      </c>
      <c r="K1850" s="1">
        <f t="shared" ref="K1850" si="1835">(IF(F1850="SELL",G1850-H1850,IF(F1850="BUY",H1850-G1850)))*E1850</f>
        <v>1000</v>
      </c>
      <c r="L1850" s="51">
        <f t="shared" ref="L1850:L1852" si="1836">(IF(F1850="SELL",IF(I1850="",0,H1850-I1850),IF(F1850="BUY",IF(I1850="",0,I1850-H1850))))*E1850</f>
        <v>2699.9999999999991</v>
      </c>
      <c r="M1850" s="52">
        <v>0</v>
      </c>
      <c r="N1850" s="2">
        <f t="shared" si="1806"/>
        <v>1.8499999999999996</v>
      </c>
      <c r="O1850" s="2">
        <f t="shared" si="1827"/>
        <v>3699.9999999999991</v>
      </c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</row>
    <row r="1851" spans="1:33" s="14" customFormat="1" ht="15" customHeight="1">
      <c r="A1851" s="10">
        <v>42956</v>
      </c>
      <c r="B1851" s="3" t="s">
        <v>155</v>
      </c>
      <c r="C1851" s="15" t="s">
        <v>47</v>
      </c>
      <c r="D1851" s="15">
        <v>960</v>
      </c>
      <c r="E1851" s="11">
        <v>400</v>
      </c>
      <c r="F1851" s="3" t="s">
        <v>8</v>
      </c>
      <c r="G1851" s="46">
        <v>28</v>
      </c>
      <c r="H1851" s="3">
        <v>31</v>
      </c>
      <c r="I1851" s="46">
        <v>34.5</v>
      </c>
      <c r="J1851" s="55">
        <v>0</v>
      </c>
      <c r="K1851" s="1">
        <f t="shared" ref="K1851" si="1837">(IF(F1851="SELL",G1851-H1851,IF(F1851="BUY",H1851-G1851)))*E1851</f>
        <v>1200</v>
      </c>
      <c r="L1851" s="51">
        <f t="shared" si="1836"/>
        <v>1400</v>
      </c>
      <c r="M1851" s="52">
        <v>0</v>
      </c>
      <c r="N1851" s="2">
        <f t="shared" si="1806"/>
        <v>6.5</v>
      </c>
      <c r="O1851" s="2">
        <f t="shared" si="1827"/>
        <v>2600</v>
      </c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</row>
    <row r="1852" spans="1:33" s="14" customFormat="1" ht="15" customHeight="1">
      <c r="A1852" s="10">
        <v>42955</v>
      </c>
      <c r="B1852" s="3" t="s">
        <v>139</v>
      </c>
      <c r="C1852" s="15" t="s">
        <v>47</v>
      </c>
      <c r="D1852" s="15">
        <v>1320</v>
      </c>
      <c r="E1852" s="11">
        <v>500</v>
      </c>
      <c r="F1852" s="3" t="s">
        <v>8</v>
      </c>
      <c r="G1852" s="46">
        <v>48</v>
      </c>
      <c r="H1852" s="3">
        <v>55</v>
      </c>
      <c r="I1852" s="46">
        <v>70</v>
      </c>
      <c r="J1852" s="55">
        <v>0</v>
      </c>
      <c r="K1852" s="1">
        <f t="shared" ref="K1852" si="1838">(IF(F1852="SELL",G1852-H1852,IF(F1852="BUY",H1852-G1852)))*E1852</f>
        <v>3500</v>
      </c>
      <c r="L1852" s="51">
        <f t="shared" si="1836"/>
        <v>7500</v>
      </c>
      <c r="M1852" s="52">
        <v>0</v>
      </c>
      <c r="N1852" s="2">
        <f t="shared" si="1806"/>
        <v>22</v>
      </c>
      <c r="O1852" s="2">
        <f t="shared" si="1827"/>
        <v>11000</v>
      </c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</row>
    <row r="1853" spans="1:33" s="14" customFormat="1" ht="15" customHeight="1">
      <c r="A1853" s="10">
        <v>42955</v>
      </c>
      <c r="B1853" s="3" t="s">
        <v>60</v>
      </c>
      <c r="C1853" s="15" t="s">
        <v>47</v>
      </c>
      <c r="D1853" s="15">
        <v>300</v>
      </c>
      <c r="E1853" s="11">
        <v>3500</v>
      </c>
      <c r="F1853" s="3" t="s">
        <v>8</v>
      </c>
      <c r="G1853" s="46">
        <v>10.15</v>
      </c>
      <c r="H1853" s="3">
        <v>8.5</v>
      </c>
      <c r="I1853" s="46">
        <v>0</v>
      </c>
      <c r="J1853" s="55">
        <v>0</v>
      </c>
      <c r="K1853" s="1">
        <f t="shared" ref="K1853" si="1839">(IF(F1853="SELL",G1853-H1853,IF(F1853="BUY",H1853-G1853)))*E1853</f>
        <v>-5775.0000000000009</v>
      </c>
      <c r="L1853" s="51">
        <v>0</v>
      </c>
      <c r="M1853" s="52">
        <f>(IF(F1853="SELL",IF(J1853="",0,I1853-J1853),IF(F1853="BUY",IF(J1853="",0,(J1853-I1853)))))*E1853</f>
        <v>0</v>
      </c>
      <c r="N1853" s="2">
        <f t="shared" si="1806"/>
        <v>-1.6500000000000004</v>
      </c>
      <c r="O1853" s="2">
        <f t="shared" si="1827"/>
        <v>-5775.0000000000009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</row>
    <row r="1854" spans="1:33" s="14" customFormat="1" ht="15" customHeight="1">
      <c r="A1854" s="10">
        <v>42955</v>
      </c>
      <c r="B1854" s="3" t="s">
        <v>154</v>
      </c>
      <c r="C1854" s="15" t="s">
        <v>46</v>
      </c>
      <c r="D1854" s="15">
        <v>500</v>
      </c>
      <c r="E1854" s="11">
        <v>1800</v>
      </c>
      <c r="F1854" s="3" t="s">
        <v>8</v>
      </c>
      <c r="G1854" s="46">
        <v>11</v>
      </c>
      <c r="H1854" s="3">
        <v>12</v>
      </c>
      <c r="I1854" s="46">
        <v>15</v>
      </c>
      <c r="J1854" s="55">
        <v>0</v>
      </c>
      <c r="K1854" s="1">
        <f t="shared" ref="K1854" si="1840">(IF(F1854="SELL",G1854-H1854,IF(F1854="BUY",H1854-G1854)))*E1854</f>
        <v>1800</v>
      </c>
      <c r="L1854" s="51">
        <f>(IF(F1854="SELL",IF(I1854="",0,H1854-I1854),IF(F1854="BUY",IF(I1854="",0,I1854-H1854))))*E1854</f>
        <v>5400</v>
      </c>
      <c r="M1854" s="52">
        <v>0</v>
      </c>
      <c r="N1854" s="2">
        <f t="shared" si="1806"/>
        <v>4</v>
      </c>
      <c r="O1854" s="2">
        <f t="shared" si="1827"/>
        <v>7200</v>
      </c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</row>
    <row r="1855" spans="1:33" s="14" customFormat="1" ht="15" customHeight="1">
      <c r="A1855" s="10">
        <v>42955</v>
      </c>
      <c r="B1855" s="3" t="s">
        <v>153</v>
      </c>
      <c r="C1855" s="15" t="s">
        <v>47</v>
      </c>
      <c r="D1855" s="15">
        <v>640</v>
      </c>
      <c r="E1855" s="11">
        <v>1200</v>
      </c>
      <c r="F1855" s="3" t="s">
        <v>8</v>
      </c>
      <c r="G1855" s="46">
        <v>21</v>
      </c>
      <c r="H1855" s="3">
        <v>22</v>
      </c>
      <c r="I1855" s="46">
        <v>24</v>
      </c>
      <c r="J1855" s="55">
        <v>26</v>
      </c>
      <c r="K1855" s="1">
        <f t="shared" ref="K1855" si="1841">(IF(F1855="SELL",G1855-H1855,IF(F1855="BUY",H1855-G1855)))*E1855</f>
        <v>1200</v>
      </c>
      <c r="L1855" s="51">
        <f>(IF(F1855="SELL",IF(I1855="",0,H1855-I1855),IF(F1855="BUY",IF(I1855="",0,I1855-H1855))))*E1855</f>
        <v>2400</v>
      </c>
      <c r="M1855" s="52">
        <f>(IF(F1855="SELL",IF(J1855="",0,I1855-J1855),IF(F1855="BUY",IF(J1855="",0,(J1855-I1855)))))*E1855</f>
        <v>2400</v>
      </c>
      <c r="N1855" s="2">
        <f t="shared" si="1806"/>
        <v>5</v>
      </c>
      <c r="O1855" s="2">
        <f t="shared" si="1827"/>
        <v>6000</v>
      </c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</row>
    <row r="1856" spans="1:33" s="14" customFormat="1" ht="15" customHeight="1">
      <c r="A1856" s="10">
        <v>42955</v>
      </c>
      <c r="B1856" s="3" t="s">
        <v>136</v>
      </c>
      <c r="C1856" s="15" t="s">
        <v>46</v>
      </c>
      <c r="D1856" s="15">
        <v>280</v>
      </c>
      <c r="E1856" s="11">
        <v>2400</v>
      </c>
      <c r="F1856" s="3" t="s">
        <v>8</v>
      </c>
      <c r="G1856" s="46">
        <v>6.5</v>
      </c>
      <c r="H1856" s="3">
        <v>7</v>
      </c>
      <c r="I1856" s="46">
        <v>8</v>
      </c>
      <c r="J1856" s="55">
        <v>9.5</v>
      </c>
      <c r="K1856" s="1">
        <f t="shared" ref="K1856" si="1842">(IF(F1856="SELL",G1856-H1856,IF(F1856="BUY",H1856-G1856)))*E1856</f>
        <v>1200</v>
      </c>
      <c r="L1856" s="51">
        <f>(IF(F1856="SELL",IF(I1856="",0,H1856-I1856),IF(F1856="BUY",IF(I1856="",0,I1856-H1856))))*E1856</f>
        <v>2400</v>
      </c>
      <c r="M1856" s="52">
        <f>(IF(F1856="SELL",IF(J1856="",0,I1856-J1856),IF(F1856="BUY",IF(J1856="",0,(J1856-I1856)))))*E1856</f>
        <v>3600</v>
      </c>
      <c r="N1856" s="2">
        <f t="shared" si="1806"/>
        <v>3</v>
      </c>
      <c r="O1856" s="2">
        <f t="shared" si="1827"/>
        <v>7200</v>
      </c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</row>
    <row r="1857" spans="1:33" s="14" customFormat="1" ht="15" customHeight="1">
      <c r="A1857" s="10">
        <v>42954</v>
      </c>
      <c r="B1857" s="3" t="s">
        <v>152</v>
      </c>
      <c r="C1857" s="15" t="s">
        <v>47</v>
      </c>
      <c r="D1857" s="15">
        <v>1780</v>
      </c>
      <c r="E1857" s="11">
        <v>500</v>
      </c>
      <c r="F1857" s="3" t="s">
        <v>8</v>
      </c>
      <c r="G1857" s="46">
        <v>38.049999999999997</v>
      </c>
      <c r="H1857" s="3">
        <v>42</v>
      </c>
      <c r="I1857" s="46">
        <v>47</v>
      </c>
      <c r="J1857" s="55">
        <v>55</v>
      </c>
      <c r="K1857" s="1">
        <f t="shared" ref="K1857" si="1843">(IF(F1857="SELL",G1857-H1857,IF(F1857="BUY",H1857-G1857)))*E1857</f>
        <v>1975.0000000000014</v>
      </c>
      <c r="L1857" s="51">
        <f>(IF(F1857="SELL",IF(I1857="",0,H1857-I1857),IF(F1857="BUY",IF(I1857="",0,I1857-H1857))))*E1857</f>
        <v>2500</v>
      </c>
      <c r="M1857" s="52">
        <f>(IF(F1857="SELL",IF(J1857="",0,I1857-J1857),IF(F1857="BUY",IF(J1857="",0,(J1857-I1857)))))*E1857</f>
        <v>4000</v>
      </c>
      <c r="N1857" s="2">
        <f t="shared" si="1806"/>
        <v>16.950000000000003</v>
      </c>
      <c r="O1857" s="2">
        <f t="shared" si="1827"/>
        <v>8475.0000000000018</v>
      </c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</row>
    <row r="1858" spans="1:33" s="14" customFormat="1" ht="15" customHeight="1">
      <c r="A1858" s="10">
        <v>42951</v>
      </c>
      <c r="B1858" s="3" t="s">
        <v>152</v>
      </c>
      <c r="C1858" s="15" t="s">
        <v>47</v>
      </c>
      <c r="D1858" s="15">
        <v>1740</v>
      </c>
      <c r="E1858" s="11">
        <v>500</v>
      </c>
      <c r="F1858" s="3" t="s">
        <v>8</v>
      </c>
      <c r="G1858" s="46">
        <v>44</v>
      </c>
      <c r="H1858" s="3">
        <v>45.5</v>
      </c>
      <c r="I1858" s="46">
        <v>0</v>
      </c>
      <c r="J1858" s="55">
        <v>0</v>
      </c>
      <c r="K1858" s="1">
        <f t="shared" ref="K1858" si="1844">(IF(F1858="SELL",G1858-H1858,IF(F1858="BUY",H1858-G1858)))*E1858</f>
        <v>750</v>
      </c>
      <c r="L1858" s="51">
        <v>0</v>
      </c>
      <c r="M1858" s="52">
        <v>0</v>
      </c>
      <c r="N1858" s="2">
        <f t="shared" si="1806"/>
        <v>1.5</v>
      </c>
      <c r="O1858" s="2">
        <f t="shared" si="1827"/>
        <v>750</v>
      </c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</row>
    <row r="1859" spans="1:33" s="14" customFormat="1" ht="15" customHeight="1">
      <c r="A1859" s="10">
        <v>42950</v>
      </c>
      <c r="B1859" s="3" t="s">
        <v>151</v>
      </c>
      <c r="C1859" s="15" t="s">
        <v>47</v>
      </c>
      <c r="D1859" s="15">
        <v>700</v>
      </c>
      <c r="E1859" s="11">
        <v>1100</v>
      </c>
      <c r="F1859" s="3" t="s">
        <v>8</v>
      </c>
      <c r="G1859" s="46">
        <v>16.5</v>
      </c>
      <c r="H1859" s="3">
        <v>14.5</v>
      </c>
      <c r="I1859" s="46">
        <v>0</v>
      </c>
      <c r="J1859" s="55">
        <v>0</v>
      </c>
      <c r="K1859" s="1">
        <f t="shared" ref="K1859" si="1845">(IF(F1859="SELL",G1859-H1859,IF(F1859="BUY",H1859-G1859)))*E1859</f>
        <v>-2200</v>
      </c>
      <c r="L1859" s="51">
        <v>0</v>
      </c>
      <c r="M1859" s="52">
        <f>(IF(F1859="SELL",IF(J1859="",0,I1859-J1859),IF(F1859="BUY",IF(J1859="",0,(J1859-I1859)))))*E1859</f>
        <v>0</v>
      </c>
      <c r="N1859" s="2">
        <f t="shared" si="1806"/>
        <v>-2</v>
      </c>
      <c r="O1859" s="2">
        <f t="shared" si="1827"/>
        <v>-2200</v>
      </c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</row>
    <row r="1860" spans="1:33" s="14" customFormat="1" ht="15" customHeight="1">
      <c r="A1860" s="10">
        <v>42950</v>
      </c>
      <c r="B1860" s="3" t="s">
        <v>134</v>
      </c>
      <c r="C1860" s="15" t="s">
        <v>47</v>
      </c>
      <c r="D1860" s="15">
        <v>1640</v>
      </c>
      <c r="E1860" s="11">
        <v>500</v>
      </c>
      <c r="F1860" s="3" t="s">
        <v>8</v>
      </c>
      <c r="G1860" s="46">
        <v>37.5</v>
      </c>
      <c r="H1860" s="3">
        <v>40.5</v>
      </c>
      <c r="I1860" s="46">
        <v>44</v>
      </c>
      <c r="J1860" s="55">
        <v>50</v>
      </c>
      <c r="K1860" s="1">
        <f t="shared" ref="K1860" si="1846">(IF(F1860="SELL",G1860-H1860,IF(F1860="BUY",H1860-G1860)))*E1860</f>
        <v>1500</v>
      </c>
      <c r="L1860" s="51">
        <f>(IF(F1860="SELL",IF(I1860="",0,H1860-I1860),IF(F1860="BUY",IF(I1860="",0,I1860-H1860))))*E1860</f>
        <v>1750</v>
      </c>
      <c r="M1860" s="52">
        <f>(IF(F1860="SELL",IF(J1860="",0,I1860-J1860),IF(F1860="BUY",IF(J1860="",0,(J1860-I1860)))))*E1860</f>
        <v>3000</v>
      </c>
      <c r="N1860" s="2">
        <f t="shared" si="1806"/>
        <v>12.5</v>
      </c>
      <c r="O1860" s="2">
        <f t="shared" si="1827"/>
        <v>6250</v>
      </c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</row>
    <row r="1861" spans="1:33" s="14" customFormat="1" ht="15" customHeight="1">
      <c r="A1861" s="10">
        <v>42949</v>
      </c>
      <c r="B1861" s="3" t="s">
        <v>150</v>
      </c>
      <c r="C1861" s="15" t="s">
        <v>47</v>
      </c>
      <c r="D1861" s="15">
        <v>370</v>
      </c>
      <c r="E1861" s="11">
        <v>3084</v>
      </c>
      <c r="F1861" s="3" t="s">
        <v>8</v>
      </c>
      <c r="G1861" s="46">
        <v>10.5</v>
      </c>
      <c r="H1861" s="3">
        <v>10.95</v>
      </c>
      <c r="I1861" s="46">
        <v>0</v>
      </c>
      <c r="J1861" s="55">
        <v>0</v>
      </c>
      <c r="K1861" s="1">
        <f t="shared" ref="K1861" si="1847">(IF(F1861="SELL",G1861-H1861,IF(F1861="BUY",H1861-G1861)))*E1861</f>
        <v>1387.7999999999979</v>
      </c>
      <c r="L1861" s="51">
        <v>0</v>
      </c>
      <c r="M1861" s="52">
        <f>(IF(F1861="SELL",IF(J1861="",0,I1861-J1861),IF(F1861="BUY",IF(J1861="",0,(J1861-I1861)))))*E1861</f>
        <v>0</v>
      </c>
      <c r="N1861" s="2">
        <f t="shared" si="1806"/>
        <v>0.44999999999999934</v>
      </c>
      <c r="O1861" s="2">
        <f t="shared" si="1827"/>
        <v>1387.7999999999979</v>
      </c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</row>
    <row r="1862" spans="1:33" s="14" customFormat="1" ht="15" customHeight="1">
      <c r="A1862" s="10">
        <v>42949</v>
      </c>
      <c r="B1862" s="3" t="s">
        <v>149</v>
      </c>
      <c r="C1862" s="15" t="s">
        <v>47</v>
      </c>
      <c r="D1862" s="15">
        <v>260</v>
      </c>
      <c r="E1862" s="11">
        <v>2500</v>
      </c>
      <c r="F1862" s="3" t="s">
        <v>8</v>
      </c>
      <c r="G1862" s="46">
        <v>8.5</v>
      </c>
      <c r="H1862" s="3">
        <v>9</v>
      </c>
      <c r="I1862" s="46">
        <v>10.5</v>
      </c>
      <c r="J1862" s="55">
        <v>0</v>
      </c>
      <c r="K1862" s="1">
        <f t="shared" ref="K1862" si="1848">(IF(F1862="SELL",G1862-H1862,IF(F1862="BUY",H1862-G1862)))*E1862</f>
        <v>1250</v>
      </c>
      <c r="L1862" s="51">
        <f>(IF(F1862="SELL",IF(I1862="",0,H1862-I1862),IF(F1862="BUY",IF(I1862="",0,I1862-H1862))))*E1862</f>
        <v>3750</v>
      </c>
      <c r="M1862" s="52">
        <v>0</v>
      </c>
      <c r="N1862" s="2">
        <f t="shared" si="1806"/>
        <v>2</v>
      </c>
      <c r="O1862" s="2">
        <f t="shared" si="1827"/>
        <v>5000</v>
      </c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</row>
    <row r="1863" spans="1:33" s="14" customFormat="1" ht="15" customHeight="1">
      <c r="A1863" s="10">
        <v>42949</v>
      </c>
      <c r="B1863" s="3" t="s">
        <v>148</v>
      </c>
      <c r="C1863" s="15" t="s">
        <v>47</v>
      </c>
      <c r="D1863" s="15">
        <v>520</v>
      </c>
      <c r="E1863" s="11">
        <v>1200</v>
      </c>
      <c r="F1863" s="3" t="s">
        <v>8</v>
      </c>
      <c r="G1863" s="46">
        <v>16.75</v>
      </c>
      <c r="H1863" s="3">
        <v>17.75</v>
      </c>
      <c r="I1863" s="46">
        <v>0</v>
      </c>
      <c r="J1863" s="55">
        <v>0</v>
      </c>
      <c r="K1863" s="1">
        <f t="shared" ref="K1863" si="1849">(IF(F1863="SELL",G1863-H1863,IF(F1863="BUY",H1863-G1863)))*E1863</f>
        <v>1200</v>
      </c>
      <c r="L1863" s="51">
        <v>0</v>
      </c>
      <c r="M1863" s="52">
        <f>(IF(F1863="SELL",IF(J1863="",0,I1863-J1863),IF(F1863="BUY",IF(J1863="",0,(J1863-I1863)))))*E1863</f>
        <v>0</v>
      </c>
      <c r="N1863" s="2">
        <f t="shared" si="1806"/>
        <v>1</v>
      </c>
      <c r="O1863" s="2">
        <f t="shared" si="1827"/>
        <v>1200</v>
      </c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</row>
    <row r="1864" spans="1:33" s="14" customFormat="1" ht="15" customHeight="1">
      <c r="A1864" s="10">
        <v>42949</v>
      </c>
      <c r="B1864" s="3" t="s">
        <v>147</v>
      </c>
      <c r="C1864" s="15" t="s">
        <v>46</v>
      </c>
      <c r="D1864" s="15">
        <v>150</v>
      </c>
      <c r="E1864" s="11">
        <v>4500</v>
      </c>
      <c r="F1864" s="3" t="s">
        <v>8</v>
      </c>
      <c r="G1864" s="46">
        <v>5.7</v>
      </c>
      <c r="H1864" s="3">
        <v>5.95</v>
      </c>
      <c r="I1864" s="46">
        <v>0</v>
      </c>
      <c r="J1864" s="55">
        <v>0</v>
      </c>
      <c r="K1864" s="1">
        <f t="shared" ref="K1864" si="1850">(IF(F1864="SELL",G1864-H1864,IF(F1864="BUY",H1864-G1864)))*E1864</f>
        <v>1125</v>
      </c>
      <c r="L1864" s="51">
        <v>0</v>
      </c>
      <c r="M1864" s="52">
        <f>(IF(F1864="SELL",IF(J1864="",0,I1864-J1864),IF(F1864="BUY",IF(J1864="",0,(J1864-I1864)))))*E1864</f>
        <v>0</v>
      </c>
      <c r="N1864" s="2">
        <f t="shared" si="1806"/>
        <v>0.25</v>
      </c>
      <c r="O1864" s="2">
        <f t="shared" si="1827"/>
        <v>1125</v>
      </c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</row>
    <row r="1865" spans="1:33" s="14" customFormat="1" ht="15" customHeight="1">
      <c r="A1865" s="10">
        <v>42948</v>
      </c>
      <c r="B1865" s="3" t="s">
        <v>96</v>
      </c>
      <c r="C1865" s="15" t="s">
        <v>47</v>
      </c>
      <c r="D1865" s="15">
        <v>1420</v>
      </c>
      <c r="E1865" s="11">
        <v>500</v>
      </c>
      <c r="F1865" s="3" t="s">
        <v>8</v>
      </c>
      <c r="G1865" s="46">
        <v>43</v>
      </c>
      <c r="H1865" s="3">
        <v>46</v>
      </c>
      <c r="I1865" s="46">
        <v>0</v>
      </c>
      <c r="J1865" s="55">
        <v>0</v>
      </c>
      <c r="K1865" s="1">
        <f t="shared" ref="K1865" si="1851">(IF(F1865="SELL",G1865-H1865,IF(F1865="BUY",H1865-G1865)))*E1865</f>
        <v>1500</v>
      </c>
      <c r="L1865" s="51">
        <v>0</v>
      </c>
      <c r="M1865" s="52">
        <f>(IF(F1865="SELL",IF(J1865="",0,I1865-J1865),IF(F1865="BUY",IF(J1865="",0,(J1865-I1865)))))*E1865</f>
        <v>0</v>
      </c>
      <c r="N1865" s="2">
        <f t="shared" si="1806"/>
        <v>3</v>
      </c>
      <c r="O1865" s="2">
        <f t="shared" si="1827"/>
        <v>1500</v>
      </c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</row>
    <row r="1866" spans="1:33" s="14" customFormat="1" ht="15" customHeight="1">
      <c r="A1866" s="10">
        <v>42944</v>
      </c>
      <c r="B1866" s="3" t="s">
        <v>146</v>
      </c>
      <c r="C1866" s="15" t="s">
        <v>47</v>
      </c>
      <c r="D1866" s="15">
        <v>390</v>
      </c>
      <c r="E1866" s="11">
        <v>2500</v>
      </c>
      <c r="F1866" s="3" t="s">
        <v>8</v>
      </c>
      <c r="G1866" s="46">
        <v>17.5</v>
      </c>
      <c r="H1866" s="3">
        <v>18.100000000000001</v>
      </c>
      <c r="I1866" s="46">
        <v>0</v>
      </c>
      <c r="J1866" s="55">
        <v>0</v>
      </c>
      <c r="K1866" s="1">
        <f t="shared" ref="K1866" si="1852">(IF(F1866="SELL",G1866-H1866,IF(F1866="BUY",H1866-G1866)))*E1866</f>
        <v>1500.0000000000036</v>
      </c>
      <c r="L1866" s="51">
        <v>0</v>
      </c>
      <c r="M1866" s="52">
        <f>(IF(F1866="SELL",IF(J1866="",0,I1866-J1866),IF(F1866="BUY",IF(J1866="",0,(J1866-I1866)))))*E1866</f>
        <v>0</v>
      </c>
      <c r="N1866" s="2">
        <f t="shared" si="1806"/>
        <v>0.60000000000000142</v>
      </c>
      <c r="O1866" s="2">
        <f t="shared" si="1827"/>
        <v>1500.0000000000036</v>
      </c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</row>
    <row r="1867" spans="1:33" s="14" customFormat="1" ht="15" customHeight="1">
      <c r="A1867" s="10">
        <v>42944</v>
      </c>
      <c r="B1867" s="3" t="s">
        <v>145</v>
      </c>
      <c r="C1867" s="15" t="s">
        <v>47</v>
      </c>
      <c r="D1867" s="15">
        <v>450</v>
      </c>
      <c r="E1867" s="11">
        <v>1300</v>
      </c>
      <c r="F1867" s="3" t="s">
        <v>8</v>
      </c>
      <c r="G1867" s="46">
        <v>14</v>
      </c>
      <c r="H1867" s="3">
        <v>15.3</v>
      </c>
      <c r="I1867" s="46">
        <v>17</v>
      </c>
      <c r="J1867" s="55">
        <v>0</v>
      </c>
      <c r="K1867" s="1">
        <f t="shared" ref="K1867" si="1853">(IF(F1867="SELL",G1867-H1867,IF(F1867="BUY",H1867-G1867)))*E1867</f>
        <v>1690.0000000000009</v>
      </c>
      <c r="L1867" s="51">
        <f t="shared" ref="L1867" si="1854">(IF(F1867="SELL",IF(I1867="",0,H1867-I1867),IF(F1867="BUY",IF(I1867="",0,I1867-H1867))))*E1867</f>
        <v>2209.9999999999991</v>
      </c>
      <c r="M1867" s="52">
        <v>0</v>
      </c>
      <c r="N1867" s="2">
        <f t="shared" si="1806"/>
        <v>3</v>
      </c>
      <c r="O1867" s="2">
        <f t="shared" si="1827"/>
        <v>3900</v>
      </c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</row>
    <row r="1868" spans="1:33" s="14" customFormat="1" ht="15" customHeight="1">
      <c r="A1868" s="10">
        <v>42944</v>
      </c>
      <c r="B1868" s="3" t="s">
        <v>114</v>
      </c>
      <c r="C1868" s="15" t="s">
        <v>47</v>
      </c>
      <c r="D1868" s="15">
        <v>1780</v>
      </c>
      <c r="E1868" s="11">
        <v>350</v>
      </c>
      <c r="F1868" s="3" t="s">
        <v>8</v>
      </c>
      <c r="G1868" s="46">
        <v>65</v>
      </c>
      <c r="H1868" s="3">
        <v>69</v>
      </c>
      <c r="I1868" s="46">
        <v>75</v>
      </c>
      <c r="J1868" s="55">
        <v>82</v>
      </c>
      <c r="K1868" s="1">
        <f t="shared" ref="K1868" si="1855">(IF(F1868="SELL",G1868-H1868,IF(F1868="BUY",H1868-G1868)))*E1868</f>
        <v>1400</v>
      </c>
      <c r="L1868" s="51">
        <f t="shared" ref="L1868" si="1856">(IF(F1868="SELL",IF(I1868="",0,H1868-I1868),IF(F1868="BUY",IF(I1868="",0,I1868-H1868))))*E1868</f>
        <v>2100</v>
      </c>
      <c r="M1868" s="52">
        <f t="shared" ref="M1868:M1874" si="1857">(IF(F1868="SELL",IF(J1868="",0,I1868-J1868),IF(F1868="BUY",IF(J1868="",0,(J1868-I1868)))))*E1868</f>
        <v>2450</v>
      </c>
      <c r="N1868" s="2">
        <f t="shared" si="1806"/>
        <v>17</v>
      </c>
      <c r="O1868" s="2">
        <f t="shared" si="1827"/>
        <v>5950</v>
      </c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</row>
    <row r="1869" spans="1:33" s="14" customFormat="1" ht="15" customHeight="1">
      <c r="A1869" s="10">
        <v>42944</v>
      </c>
      <c r="B1869" s="3" t="s">
        <v>72</v>
      </c>
      <c r="C1869" s="15" t="s">
        <v>47</v>
      </c>
      <c r="D1869" s="15">
        <v>470</v>
      </c>
      <c r="E1869" s="11">
        <v>1800</v>
      </c>
      <c r="F1869" s="3" t="s">
        <v>8</v>
      </c>
      <c r="G1869" s="46">
        <v>4</v>
      </c>
      <c r="H1869" s="3">
        <v>6</v>
      </c>
      <c r="I1869" s="46">
        <v>0</v>
      </c>
      <c r="J1869" s="55">
        <v>0</v>
      </c>
      <c r="K1869" s="1">
        <f t="shared" ref="K1869" si="1858">(IF(F1869="SELL",G1869-H1869,IF(F1869="BUY",H1869-G1869)))*E1869</f>
        <v>3600</v>
      </c>
      <c r="L1869" s="51">
        <v>0</v>
      </c>
      <c r="M1869" s="52">
        <f t="shared" si="1857"/>
        <v>0</v>
      </c>
      <c r="N1869" s="2">
        <f t="shared" si="1806"/>
        <v>2</v>
      </c>
      <c r="O1869" s="2">
        <f t="shared" si="1827"/>
        <v>3600</v>
      </c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</row>
    <row r="1870" spans="1:33" s="14" customFormat="1" ht="15" customHeight="1">
      <c r="A1870" s="10">
        <v>42943</v>
      </c>
      <c r="B1870" s="3" t="s">
        <v>144</v>
      </c>
      <c r="C1870" s="15" t="s">
        <v>46</v>
      </c>
      <c r="D1870" s="15">
        <v>430</v>
      </c>
      <c r="E1870" s="11">
        <v>1700</v>
      </c>
      <c r="F1870" s="3" t="s">
        <v>8</v>
      </c>
      <c r="G1870" s="46">
        <v>8.1999999999999993</v>
      </c>
      <c r="H1870" s="3">
        <v>9.1999999999999993</v>
      </c>
      <c r="I1870" s="46">
        <v>11.2</v>
      </c>
      <c r="J1870" s="55">
        <v>13</v>
      </c>
      <c r="K1870" s="1">
        <f t="shared" ref="K1870" si="1859">(IF(F1870="SELL",G1870-H1870,IF(F1870="BUY",H1870-G1870)))*E1870</f>
        <v>1700</v>
      </c>
      <c r="L1870" s="51">
        <f t="shared" ref="L1870" si="1860">(IF(F1870="SELL",IF(I1870="",0,H1870-I1870),IF(F1870="BUY",IF(I1870="",0,I1870-H1870))))*E1870</f>
        <v>3400</v>
      </c>
      <c r="M1870" s="52">
        <f t="shared" si="1857"/>
        <v>3060.0000000000014</v>
      </c>
      <c r="N1870" s="2">
        <f t="shared" si="1806"/>
        <v>4.8000000000000007</v>
      </c>
      <c r="O1870" s="2">
        <f t="shared" si="1827"/>
        <v>8160.0000000000009</v>
      </c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</row>
    <row r="1871" spans="1:33" s="14" customFormat="1" ht="15" customHeight="1">
      <c r="A1871" s="10">
        <v>42943</v>
      </c>
      <c r="B1871" s="3" t="s">
        <v>143</v>
      </c>
      <c r="C1871" s="15" t="s">
        <v>47</v>
      </c>
      <c r="D1871" s="15">
        <v>1600</v>
      </c>
      <c r="E1871" s="11">
        <v>600</v>
      </c>
      <c r="F1871" s="3" t="s">
        <v>8</v>
      </c>
      <c r="G1871" s="46">
        <v>20</v>
      </c>
      <c r="H1871" s="3">
        <v>22.5</v>
      </c>
      <c r="I1871" s="46">
        <v>0</v>
      </c>
      <c r="J1871" s="55">
        <v>0</v>
      </c>
      <c r="K1871" s="1">
        <f t="shared" ref="K1871" si="1861">(IF(F1871="SELL",G1871-H1871,IF(F1871="BUY",H1871-G1871)))*E1871</f>
        <v>1500</v>
      </c>
      <c r="L1871" s="51">
        <v>0</v>
      </c>
      <c r="M1871" s="52">
        <f t="shared" si="1857"/>
        <v>0</v>
      </c>
      <c r="N1871" s="2">
        <f t="shared" si="1806"/>
        <v>2.5</v>
      </c>
      <c r="O1871" s="2">
        <f t="shared" si="1827"/>
        <v>1500</v>
      </c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</row>
    <row r="1872" spans="1:33" s="14" customFormat="1" ht="15" customHeight="1">
      <c r="A1872" s="10">
        <v>42942</v>
      </c>
      <c r="B1872" s="3" t="s">
        <v>142</v>
      </c>
      <c r="C1872" s="15" t="s">
        <v>47</v>
      </c>
      <c r="D1872" s="15">
        <v>1160</v>
      </c>
      <c r="E1872" s="11">
        <v>750</v>
      </c>
      <c r="F1872" s="3" t="s">
        <v>8</v>
      </c>
      <c r="G1872" s="46">
        <v>14.9</v>
      </c>
      <c r="H1872" s="3">
        <v>17</v>
      </c>
      <c r="I1872" s="46">
        <v>0</v>
      </c>
      <c r="J1872" s="55">
        <v>0</v>
      </c>
      <c r="K1872" s="1">
        <f t="shared" ref="K1872" si="1862">(IF(F1872="SELL",G1872-H1872,IF(F1872="BUY",H1872-G1872)))*E1872</f>
        <v>1574.9999999999998</v>
      </c>
      <c r="L1872" s="51">
        <v>0</v>
      </c>
      <c r="M1872" s="52">
        <f t="shared" si="1857"/>
        <v>0</v>
      </c>
      <c r="N1872" s="2">
        <f t="shared" si="1806"/>
        <v>2.0999999999999996</v>
      </c>
      <c r="O1872" s="2">
        <f t="shared" si="1827"/>
        <v>1574.9999999999998</v>
      </c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</row>
    <row r="1873" spans="1:33" s="14" customFormat="1" ht="15" customHeight="1">
      <c r="A1873" s="10">
        <v>42942</v>
      </c>
      <c r="B1873" s="3" t="s">
        <v>141</v>
      </c>
      <c r="C1873" s="15" t="s">
        <v>47</v>
      </c>
      <c r="D1873" s="15">
        <v>220</v>
      </c>
      <c r="E1873" s="11">
        <v>3000</v>
      </c>
      <c r="F1873" s="3" t="s">
        <v>8</v>
      </c>
      <c r="G1873" s="46">
        <v>2</v>
      </c>
      <c r="H1873" s="3">
        <v>2.5</v>
      </c>
      <c r="I1873" s="46">
        <v>0</v>
      </c>
      <c r="J1873" s="55">
        <v>0</v>
      </c>
      <c r="K1873" s="1">
        <f t="shared" ref="K1873" si="1863">(IF(F1873="SELL",G1873-H1873,IF(F1873="BUY",H1873-G1873)))*E1873</f>
        <v>1500</v>
      </c>
      <c r="L1873" s="51">
        <v>0</v>
      </c>
      <c r="M1873" s="52">
        <f t="shared" si="1857"/>
        <v>0</v>
      </c>
      <c r="N1873" s="2">
        <f t="shared" si="1806"/>
        <v>0.5</v>
      </c>
      <c r="O1873" s="2">
        <f t="shared" si="1827"/>
        <v>1500</v>
      </c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</row>
    <row r="1874" spans="1:33" s="14" customFormat="1" ht="15" customHeight="1">
      <c r="A1874" s="10">
        <v>42942</v>
      </c>
      <c r="B1874" s="3" t="s">
        <v>140</v>
      </c>
      <c r="C1874" s="15" t="s">
        <v>47</v>
      </c>
      <c r="D1874" s="15">
        <v>1560</v>
      </c>
      <c r="E1874" s="11">
        <v>350</v>
      </c>
      <c r="F1874" s="3" t="s">
        <v>8</v>
      </c>
      <c r="G1874" s="46">
        <v>45</v>
      </c>
      <c r="H1874" s="3">
        <v>49</v>
      </c>
      <c r="I1874" s="46">
        <v>0</v>
      </c>
      <c r="J1874" s="55">
        <v>0</v>
      </c>
      <c r="K1874" s="1">
        <f t="shared" ref="K1874" si="1864">(IF(F1874="SELL",G1874-H1874,IF(F1874="BUY",H1874-G1874)))*E1874</f>
        <v>1400</v>
      </c>
      <c r="L1874" s="51">
        <v>0</v>
      </c>
      <c r="M1874" s="52">
        <f t="shared" si="1857"/>
        <v>0</v>
      </c>
      <c r="N1874" s="2">
        <f t="shared" si="1806"/>
        <v>4</v>
      </c>
      <c r="O1874" s="2">
        <f t="shared" si="1827"/>
        <v>1400</v>
      </c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</row>
    <row r="1875" spans="1:33" s="14" customFormat="1" ht="15" customHeight="1">
      <c r="A1875" s="10">
        <v>42941</v>
      </c>
      <c r="B1875" s="3" t="s">
        <v>139</v>
      </c>
      <c r="C1875" s="15" t="s">
        <v>47</v>
      </c>
      <c r="D1875" s="15">
        <v>500</v>
      </c>
      <c r="E1875" s="11">
        <v>350</v>
      </c>
      <c r="F1875" s="3" t="s">
        <v>8</v>
      </c>
      <c r="G1875" s="46">
        <v>22</v>
      </c>
      <c r="H1875" s="3">
        <v>25</v>
      </c>
      <c r="I1875" s="46">
        <v>31</v>
      </c>
      <c r="J1875" s="55">
        <v>0</v>
      </c>
      <c r="K1875" s="1">
        <f t="shared" ref="K1875" si="1865">(IF(F1875="SELL",G1875-H1875,IF(F1875="BUY",H1875-G1875)))*E1875</f>
        <v>1050</v>
      </c>
      <c r="L1875" s="51">
        <f t="shared" ref="L1875" si="1866">(IF(F1875="SELL",IF(I1875="",0,H1875-I1875),IF(F1875="BUY",IF(I1875="",0,I1875-H1875))))*E1875</f>
        <v>2100</v>
      </c>
      <c r="M1875" s="52">
        <v>0</v>
      </c>
      <c r="N1875" s="2">
        <f t="shared" si="1806"/>
        <v>9</v>
      </c>
      <c r="O1875" s="2">
        <f t="shared" si="1827"/>
        <v>3150</v>
      </c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</row>
    <row r="1876" spans="1:33" s="14" customFormat="1" ht="15" customHeight="1">
      <c r="A1876" s="10">
        <v>42934</v>
      </c>
      <c r="B1876" s="3" t="s">
        <v>138</v>
      </c>
      <c r="C1876" s="15" t="s">
        <v>47</v>
      </c>
      <c r="D1876" s="15">
        <v>290</v>
      </c>
      <c r="E1876" s="11">
        <v>2400</v>
      </c>
      <c r="F1876" s="3" t="s">
        <v>8</v>
      </c>
      <c r="G1876" s="46">
        <v>7</v>
      </c>
      <c r="H1876" s="3">
        <v>7.6</v>
      </c>
      <c r="I1876" s="46">
        <v>0</v>
      </c>
      <c r="J1876" s="55">
        <v>0</v>
      </c>
      <c r="K1876" s="1">
        <f t="shared" ref="K1876" si="1867">(IF(F1876="SELL",G1876-H1876,IF(F1876="BUY",H1876-G1876)))*E1876</f>
        <v>1439.9999999999991</v>
      </c>
      <c r="L1876" s="51">
        <v>0</v>
      </c>
      <c r="M1876" s="52">
        <f>(IF(F1876="SELL",IF(J1876="",0,I1876-J1876),IF(F1876="BUY",IF(J1876="",0,(J1876-I1876)))))*E1876</f>
        <v>0</v>
      </c>
      <c r="N1876" s="2">
        <f t="shared" si="1806"/>
        <v>0.59999999999999964</v>
      </c>
      <c r="O1876" s="2">
        <f t="shared" si="1827"/>
        <v>1439.9999999999991</v>
      </c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</row>
    <row r="1877" spans="1:33" s="14" customFormat="1" ht="15" customHeight="1">
      <c r="A1877" s="10">
        <v>42931</v>
      </c>
      <c r="B1877" s="3" t="s">
        <v>135</v>
      </c>
      <c r="C1877" s="15" t="s">
        <v>47</v>
      </c>
      <c r="D1877" s="15">
        <v>1300</v>
      </c>
      <c r="E1877" s="11">
        <v>750</v>
      </c>
      <c r="F1877" s="3" t="s">
        <v>8</v>
      </c>
      <c r="G1877" s="46">
        <v>15</v>
      </c>
      <c r="H1877" s="3">
        <v>17</v>
      </c>
      <c r="I1877" s="46">
        <v>21</v>
      </c>
      <c r="J1877" s="55">
        <v>25</v>
      </c>
      <c r="K1877" s="1">
        <f t="shared" ref="K1877" si="1868">(IF(F1877="SELL",G1877-H1877,IF(F1877="BUY",H1877-G1877)))*E1877</f>
        <v>1500</v>
      </c>
      <c r="L1877" s="51">
        <f t="shared" ref="L1877" si="1869">(IF(F1877="SELL",IF(I1877="",0,H1877-I1877),IF(F1877="BUY",IF(I1877="",0,I1877-H1877))))*E1877</f>
        <v>3000</v>
      </c>
      <c r="M1877" s="52">
        <f>(IF(F1877="SELL",IF(J1877="",0,I1877-J1877),IF(F1877="BUY",IF(J1877="",0,(J1877-I1877)))))*E1877</f>
        <v>3000</v>
      </c>
      <c r="N1877" s="2">
        <f t="shared" si="1806"/>
        <v>10</v>
      </c>
      <c r="O1877" s="2">
        <f t="shared" si="1827"/>
        <v>7500</v>
      </c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</row>
    <row r="1878" spans="1:33" s="14" customFormat="1" ht="15" customHeight="1">
      <c r="A1878" s="10">
        <v>42933</v>
      </c>
      <c r="B1878" s="3" t="s">
        <v>137</v>
      </c>
      <c r="C1878" s="15" t="s">
        <v>47</v>
      </c>
      <c r="D1878" s="15">
        <v>1560</v>
      </c>
      <c r="E1878" s="11">
        <v>500</v>
      </c>
      <c r="F1878" s="3" t="s">
        <v>8</v>
      </c>
      <c r="G1878" s="46">
        <v>20</v>
      </c>
      <c r="H1878" s="3">
        <v>23</v>
      </c>
      <c r="I1878" s="46">
        <v>0</v>
      </c>
      <c r="J1878" s="55">
        <v>0</v>
      </c>
      <c r="K1878" s="1">
        <f t="shared" ref="K1878" si="1870">(IF(F1878="SELL",G1878-H1878,IF(F1878="BUY",H1878-G1878)))*E1878</f>
        <v>1500</v>
      </c>
      <c r="L1878" s="51">
        <v>0</v>
      </c>
      <c r="M1878" s="52">
        <f>(IF(F1878="SELL",IF(J1878="",0,I1878-J1878),IF(F1878="BUY",IF(J1878="",0,(J1878-I1878)))))*E1878</f>
        <v>0</v>
      </c>
      <c r="N1878" s="2">
        <f t="shared" si="1806"/>
        <v>3</v>
      </c>
      <c r="O1878" s="2">
        <f t="shared" si="1827"/>
        <v>1500</v>
      </c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</row>
    <row r="1879" spans="1:33" s="14" customFormat="1" ht="15" customHeight="1">
      <c r="A1879" s="10">
        <v>42933</v>
      </c>
      <c r="B1879" s="3" t="s">
        <v>104</v>
      </c>
      <c r="C1879" s="15" t="s">
        <v>47</v>
      </c>
      <c r="D1879" s="15">
        <v>1160</v>
      </c>
      <c r="E1879" s="11">
        <v>400</v>
      </c>
      <c r="F1879" s="3" t="s">
        <v>8</v>
      </c>
      <c r="G1879" s="46">
        <v>16.8</v>
      </c>
      <c r="H1879" s="3">
        <v>16.8</v>
      </c>
      <c r="I1879" s="46">
        <v>0</v>
      </c>
      <c r="J1879" s="55">
        <v>0</v>
      </c>
      <c r="K1879" s="1">
        <f t="shared" ref="K1879" si="1871">(IF(F1879="SELL",G1879-H1879,IF(F1879="BUY",H1879-G1879)))*E1879</f>
        <v>0</v>
      </c>
      <c r="L1879" s="51">
        <v>0</v>
      </c>
      <c r="M1879" s="52">
        <v>0</v>
      </c>
      <c r="N1879" s="2">
        <f t="shared" si="1806"/>
        <v>0</v>
      </c>
      <c r="O1879" s="2">
        <f t="shared" si="1827"/>
        <v>0</v>
      </c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</row>
    <row r="1880" spans="1:33" s="14" customFormat="1" ht="15" customHeight="1">
      <c r="A1880" s="10">
        <v>42930</v>
      </c>
      <c r="B1880" s="3" t="s">
        <v>83</v>
      </c>
      <c r="C1880" s="15" t="s">
        <v>47</v>
      </c>
      <c r="D1880" s="15">
        <v>24000</v>
      </c>
      <c r="E1880" s="11">
        <v>40</v>
      </c>
      <c r="F1880" s="3" t="s">
        <v>8</v>
      </c>
      <c r="G1880" s="46">
        <v>85</v>
      </c>
      <c r="H1880" s="3">
        <v>65</v>
      </c>
      <c r="I1880" s="46">
        <v>0</v>
      </c>
      <c r="J1880" s="55">
        <v>0</v>
      </c>
      <c r="K1880" s="1">
        <f t="shared" ref="K1880" si="1872">(IF(F1880="SELL",G1880-H1880,IF(F1880="BUY",H1880-G1880)))*E1880</f>
        <v>-800</v>
      </c>
      <c r="L1880" s="51">
        <v>0</v>
      </c>
      <c r="M1880" s="52">
        <v>0</v>
      </c>
      <c r="N1880" s="2">
        <f t="shared" si="1806"/>
        <v>-20</v>
      </c>
      <c r="O1880" s="2">
        <f t="shared" si="1827"/>
        <v>-800</v>
      </c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</row>
    <row r="1881" spans="1:33" s="14" customFormat="1" ht="15" customHeight="1">
      <c r="A1881" s="10">
        <v>42930</v>
      </c>
      <c r="B1881" s="3" t="s">
        <v>37</v>
      </c>
      <c r="C1881" s="15" t="s">
        <v>46</v>
      </c>
      <c r="D1881" s="15">
        <v>2450</v>
      </c>
      <c r="E1881" s="11">
        <v>250</v>
      </c>
      <c r="F1881" s="3" t="s">
        <v>8</v>
      </c>
      <c r="G1881" s="46">
        <v>55</v>
      </c>
      <c r="H1881" s="3">
        <v>62</v>
      </c>
      <c r="I1881" s="46">
        <v>0</v>
      </c>
      <c r="J1881" s="55">
        <v>0</v>
      </c>
      <c r="K1881" s="1">
        <f t="shared" ref="K1881" si="1873">(IF(F1881="SELL",G1881-H1881,IF(F1881="BUY",H1881-G1881)))*E1881</f>
        <v>1750</v>
      </c>
      <c r="L1881" s="51">
        <v>0</v>
      </c>
      <c r="M1881" s="52">
        <v>0</v>
      </c>
      <c r="N1881" s="2">
        <f t="shared" si="1806"/>
        <v>7</v>
      </c>
      <c r="O1881" s="2">
        <f t="shared" si="1827"/>
        <v>1750</v>
      </c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</row>
    <row r="1882" spans="1:33" s="14" customFormat="1" ht="15" customHeight="1">
      <c r="A1882" s="10">
        <v>42929</v>
      </c>
      <c r="B1882" s="3" t="s">
        <v>39</v>
      </c>
      <c r="C1882" s="15" t="s">
        <v>47</v>
      </c>
      <c r="D1882" s="15">
        <v>1520</v>
      </c>
      <c r="E1882" s="11">
        <v>500</v>
      </c>
      <c r="F1882" s="3" t="s">
        <v>8</v>
      </c>
      <c r="G1882" s="46">
        <v>25</v>
      </c>
      <c r="H1882" s="3">
        <v>30</v>
      </c>
      <c r="I1882" s="46">
        <v>0</v>
      </c>
      <c r="J1882" s="55">
        <v>0</v>
      </c>
      <c r="K1882" s="1">
        <f t="shared" ref="K1882" si="1874">(IF(F1882="SELL",G1882-H1882,IF(F1882="BUY",H1882-G1882)))*E1882</f>
        <v>2500</v>
      </c>
      <c r="L1882" s="51">
        <v>0</v>
      </c>
      <c r="M1882" s="52">
        <v>0</v>
      </c>
      <c r="N1882" s="2">
        <f t="shared" si="1806"/>
        <v>5</v>
      </c>
      <c r="O1882" s="2">
        <f t="shared" si="1827"/>
        <v>2500</v>
      </c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</row>
    <row r="1883" spans="1:33" s="14" customFormat="1" ht="15" customHeight="1">
      <c r="A1883" s="10">
        <v>42929</v>
      </c>
      <c r="B1883" s="3" t="s">
        <v>114</v>
      </c>
      <c r="C1883" s="15" t="s">
        <v>47</v>
      </c>
      <c r="D1883" s="15">
        <v>1560</v>
      </c>
      <c r="E1883" s="11">
        <v>350</v>
      </c>
      <c r="F1883" s="3" t="s">
        <v>8</v>
      </c>
      <c r="G1883" s="46">
        <v>23</v>
      </c>
      <c r="H1883" s="3">
        <v>27</v>
      </c>
      <c r="I1883" s="46">
        <v>35</v>
      </c>
      <c r="J1883" s="55">
        <v>40</v>
      </c>
      <c r="K1883" s="1">
        <f t="shared" ref="K1883" si="1875">(IF(F1883="SELL",G1883-H1883,IF(F1883="BUY",H1883-G1883)))*E1883</f>
        <v>1400</v>
      </c>
      <c r="L1883" s="51">
        <f t="shared" ref="L1883" si="1876">(IF(F1883="SELL",IF(I1883="",0,H1883-I1883),IF(F1883="BUY",IF(I1883="",0,I1883-H1883))))*E1883</f>
        <v>2800</v>
      </c>
      <c r="M1883" s="52">
        <f>(IF(F1883="SELL",IF(J1883="",0,I1883-J1883),IF(F1883="BUY",IF(J1883="",0,(J1883-I1883)))))*E1883</f>
        <v>1750</v>
      </c>
      <c r="N1883" s="2">
        <f t="shared" si="1806"/>
        <v>17</v>
      </c>
      <c r="O1883" s="2">
        <f t="shared" si="1827"/>
        <v>5950</v>
      </c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</row>
    <row r="1884" spans="1:33" s="14" customFormat="1" ht="15" customHeight="1">
      <c r="A1884" s="10">
        <v>42929</v>
      </c>
      <c r="B1884" s="3" t="s">
        <v>83</v>
      </c>
      <c r="C1884" s="15" t="s">
        <v>47</v>
      </c>
      <c r="D1884" s="15">
        <v>23900</v>
      </c>
      <c r="E1884" s="11">
        <v>40</v>
      </c>
      <c r="F1884" s="3" t="s">
        <v>8</v>
      </c>
      <c r="G1884" s="46">
        <v>30</v>
      </c>
      <c r="H1884" s="3">
        <v>45</v>
      </c>
      <c r="I1884" s="46">
        <v>0</v>
      </c>
      <c r="J1884" s="55">
        <v>0</v>
      </c>
      <c r="K1884" s="1">
        <f t="shared" ref="K1884" si="1877">(IF(F1884="SELL",G1884-H1884,IF(F1884="BUY",H1884-G1884)))*E1884</f>
        <v>600</v>
      </c>
      <c r="L1884" s="51">
        <v>0</v>
      </c>
      <c r="M1884" s="52">
        <v>0</v>
      </c>
      <c r="N1884" s="2">
        <f t="shared" si="1806"/>
        <v>15</v>
      </c>
      <c r="O1884" s="2">
        <f t="shared" si="1827"/>
        <v>600</v>
      </c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</row>
    <row r="1885" spans="1:33" s="14" customFormat="1" ht="15" customHeight="1">
      <c r="A1885" s="10">
        <v>42929</v>
      </c>
      <c r="B1885" s="3" t="s">
        <v>39</v>
      </c>
      <c r="C1885" s="15" t="s">
        <v>47</v>
      </c>
      <c r="D1885" s="15">
        <v>1500</v>
      </c>
      <c r="E1885" s="11">
        <v>500</v>
      </c>
      <c r="F1885" s="3" t="s">
        <v>8</v>
      </c>
      <c r="G1885" s="46">
        <v>35</v>
      </c>
      <c r="H1885" s="3">
        <v>35</v>
      </c>
      <c r="I1885" s="46">
        <v>0</v>
      </c>
      <c r="J1885" s="55">
        <v>0</v>
      </c>
      <c r="K1885" s="1">
        <f t="shared" ref="K1885" si="1878">(IF(F1885="SELL",G1885-H1885,IF(F1885="BUY",H1885-G1885)))*E1885</f>
        <v>0</v>
      </c>
      <c r="L1885" s="51">
        <v>0</v>
      </c>
      <c r="M1885" s="52">
        <v>0</v>
      </c>
      <c r="N1885" s="2">
        <f t="shared" ref="N1885:N1948" si="1879">(L1885+K1885+M1885)/E1885</f>
        <v>0</v>
      </c>
      <c r="O1885" s="2">
        <f t="shared" si="1827"/>
        <v>0</v>
      </c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</row>
    <row r="1886" spans="1:33" s="14" customFormat="1" ht="15" customHeight="1">
      <c r="A1886" s="10">
        <v>42928</v>
      </c>
      <c r="B1886" s="3" t="s">
        <v>114</v>
      </c>
      <c r="C1886" s="15" t="s">
        <v>47</v>
      </c>
      <c r="D1886" s="15">
        <v>1520</v>
      </c>
      <c r="E1886" s="11">
        <v>350</v>
      </c>
      <c r="F1886" s="3" t="s">
        <v>8</v>
      </c>
      <c r="G1886" s="46">
        <v>29</v>
      </c>
      <c r="H1886" s="3">
        <v>33</v>
      </c>
      <c r="I1886" s="46">
        <v>0</v>
      </c>
      <c r="J1886" s="55">
        <v>0</v>
      </c>
      <c r="K1886" s="1">
        <f t="shared" ref="K1886" si="1880">(IF(F1886="SELL",G1886-H1886,IF(F1886="BUY",H1886-G1886)))*E1886</f>
        <v>1400</v>
      </c>
      <c r="L1886" s="51">
        <v>0</v>
      </c>
      <c r="M1886" s="52">
        <v>0</v>
      </c>
      <c r="N1886" s="2">
        <f t="shared" si="1879"/>
        <v>4</v>
      </c>
      <c r="O1886" s="2">
        <f t="shared" si="1827"/>
        <v>1400</v>
      </c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</row>
    <row r="1887" spans="1:33" s="5" customFormat="1" ht="15" customHeight="1">
      <c r="A1887" s="10">
        <v>42928</v>
      </c>
      <c r="B1887" s="3" t="s">
        <v>83</v>
      </c>
      <c r="C1887" s="15" t="s">
        <v>47</v>
      </c>
      <c r="D1887" s="15">
        <v>23700</v>
      </c>
      <c r="E1887" s="11">
        <v>40</v>
      </c>
      <c r="F1887" s="3" t="s">
        <v>8</v>
      </c>
      <c r="G1887" s="46">
        <v>35</v>
      </c>
      <c r="H1887" s="3">
        <v>19</v>
      </c>
      <c r="I1887" s="46">
        <v>0</v>
      </c>
      <c r="J1887" s="55">
        <v>0</v>
      </c>
      <c r="K1887" s="1">
        <f t="shared" ref="K1887" si="1881">(IF(F1887="SELL",G1887-H1887,IF(F1887="BUY",H1887-G1887)))*E1887</f>
        <v>-640</v>
      </c>
      <c r="L1887" s="51">
        <v>0</v>
      </c>
      <c r="M1887" s="52">
        <v>0</v>
      </c>
      <c r="N1887" s="2">
        <f t="shared" si="1879"/>
        <v>-16</v>
      </c>
      <c r="O1887" s="2">
        <f t="shared" si="1827"/>
        <v>-640</v>
      </c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</row>
    <row r="1888" spans="1:33" s="14" customFormat="1" ht="15" customHeight="1">
      <c r="A1888" s="10">
        <v>42928</v>
      </c>
      <c r="B1888" s="3" t="s">
        <v>133</v>
      </c>
      <c r="C1888" s="15" t="s">
        <v>47</v>
      </c>
      <c r="D1888" s="15">
        <v>1580</v>
      </c>
      <c r="E1888" s="11">
        <v>600</v>
      </c>
      <c r="F1888" s="3" t="s">
        <v>8</v>
      </c>
      <c r="G1888" s="46">
        <v>25</v>
      </c>
      <c r="H1888" s="3">
        <v>25</v>
      </c>
      <c r="I1888" s="46">
        <v>0</v>
      </c>
      <c r="J1888" s="55">
        <v>0</v>
      </c>
      <c r="K1888" s="1">
        <f t="shared" ref="K1888" si="1882">(IF(F1888="SELL",G1888-H1888,IF(F1888="BUY",H1888-G1888)))*E1888</f>
        <v>0</v>
      </c>
      <c r="L1888" s="51">
        <v>0</v>
      </c>
      <c r="M1888" s="52">
        <v>0</v>
      </c>
      <c r="N1888" s="2">
        <f t="shared" si="1879"/>
        <v>0</v>
      </c>
      <c r="O1888" s="2">
        <f t="shared" si="1827"/>
        <v>0</v>
      </c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</row>
    <row r="1889" spans="1:33" s="14" customFormat="1" ht="15" customHeight="1">
      <c r="A1889" s="10">
        <v>42927</v>
      </c>
      <c r="B1889" s="3" t="s">
        <v>83</v>
      </c>
      <c r="C1889" s="15" t="s">
        <v>47</v>
      </c>
      <c r="D1889" s="15">
        <v>23800</v>
      </c>
      <c r="E1889" s="11">
        <v>40</v>
      </c>
      <c r="F1889" s="3" t="s">
        <v>8</v>
      </c>
      <c r="G1889" s="46">
        <v>50</v>
      </c>
      <c r="H1889" s="3">
        <v>65</v>
      </c>
      <c r="I1889" s="46">
        <v>0</v>
      </c>
      <c r="J1889" s="55">
        <v>0</v>
      </c>
      <c r="K1889" s="1">
        <f t="shared" ref="K1889" si="1883">(IF(F1889="SELL",G1889-H1889,IF(F1889="BUY",H1889-G1889)))*E1889</f>
        <v>600</v>
      </c>
      <c r="L1889" s="51">
        <v>0</v>
      </c>
      <c r="M1889" s="52">
        <v>0</v>
      </c>
      <c r="N1889" s="2">
        <f t="shared" si="1879"/>
        <v>15</v>
      </c>
      <c r="O1889" s="2">
        <f t="shared" si="1827"/>
        <v>600</v>
      </c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</row>
    <row r="1890" spans="1:33" s="14" customFormat="1" ht="15" customHeight="1">
      <c r="A1890" s="10">
        <v>42927</v>
      </c>
      <c r="B1890" s="3" t="s">
        <v>132</v>
      </c>
      <c r="C1890" s="15" t="s">
        <v>47</v>
      </c>
      <c r="D1890" s="15">
        <v>135</v>
      </c>
      <c r="E1890" s="11">
        <v>4500</v>
      </c>
      <c r="F1890" s="3" t="s">
        <v>8</v>
      </c>
      <c r="G1890" s="46">
        <v>5</v>
      </c>
      <c r="H1890" s="3">
        <v>5.3</v>
      </c>
      <c r="I1890" s="46">
        <v>5.9</v>
      </c>
      <c r="J1890" s="55">
        <v>0</v>
      </c>
      <c r="K1890" s="1">
        <f t="shared" ref="K1890" si="1884">(IF(F1890="SELL",G1890-H1890,IF(F1890="BUY",H1890-G1890)))*E1890</f>
        <v>1349.9999999999991</v>
      </c>
      <c r="L1890" s="51">
        <f t="shared" ref="L1890" si="1885">(IF(F1890="SELL",IF(I1890="",0,H1890-I1890),IF(F1890="BUY",IF(I1890="",0,I1890-H1890))))*E1890</f>
        <v>2700.0000000000023</v>
      </c>
      <c r="M1890" s="52">
        <v>0</v>
      </c>
      <c r="N1890" s="2">
        <f t="shared" si="1879"/>
        <v>0.90000000000000036</v>
      </c>
      <c r="O1890" s="2">
        <f t="shared" si="1827"/>
        <v>4050.0000000000018</v>
      </c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</row>
    <row r="1891" spans="1:33" s="14" customFormat="1" ht="15" customHeight="1">
      <c r="A1891" s="10">
        <v>42923</v>
      </c>
      <c r="B1891" s="3" t="s">
        <v>131</v>
      </c>
      <c r="C1891" s="15" t="s">
        <v>47</v>
      </c>
      <c r="D1891" s="15">
        <v>260</v>
      </c>
      <c r="E1891" s="11">
        <v>2500</v>
      </c>
      <c r="F1891" s="3" t="s">
        <v>8</v>
      </c>
      <c r="G1891" s="46">
        <v>4</v>
      </c>
      <c r="H1891" s="3">
        <v>4</v>
      </c>
      <c r="I1891" s="46">
        <v>0</v>
      </c>
      <c r="J1891" s="55">
        <v>0</v>
      </c>
      <c r="K1891" s="1">
        <f t="shared" ref="K1891" si="1886">(IF(F1891="SELL",G1891-H1891,IF(F1891="BUY",H1891-G1891)))*E1891</f>
        <v>0</v>
      </c>
      <c r="L1891" s="51">
        <v>0</v>
      </c>
      <c r="M1891" s="52">
        <v>0</v>
      </c>
      <c r="N1891" s="2">
        <f t="shared" si="1879"/>
        <v>0</v>
      </c>
      <c r="O1891" s="2">
        <f t="shared" si="1827"/>
        <v>0</v>
      </c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</row>
    <row r="1892" spans="1:33" s="14" customFormat="1" ht="15" customHeight="1">
      <c r="A1892" s="10">
        <v>42923</v>
      </c>
      <c r="B1892" s="3" t="s">
        <v>103</v>
      </c>
      <c r="C1892" s="15" t="s">
        <v>47</v>
      </c>
      <c r="D1892" s="15">
        <v>105</v>
      </c>
      <c r="E1892" s="11">
        <v>7000</v>
      </c>
      <c r="F1892" s="3" t="s">
        <v>8</v>
      </c>
      <c r="G1892" s="46">
        <v>2</v>
      </c>
      <c r="H1892" s="3">
        <v>2</v>
      </c>
      <c r="I1892" s="46">
        <v>0</v>
      </c>
      <c r="J1892" s="55">
        <v>0</v>
      </c>
      <c r="K1892" s="1">
        <f t="shared" ref="K1892" si="1887">(IF(F1892="SELL",G1892-H1892,IF(F1892="BUY",H1892-G1892)))*E1892</f>
        <v>0</v>
      </c>
      <c r="L1892" s="51">
        <v>0</v>
      </c>
      <c r="M1892" s="52">
        <v>0</v>
      </c>
      <c r="N1892" s="2">
        <f t="shared" si="1879"/>
        <v>0</v>
      </c>
      <c r="O1892" s="2">
        <f t="shared" si="1827"/>
        <v>0</v>
      </c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</row>
    <row r="1893" spans="1:33" s="14" customFormat="1" ht="15" customHeight="1">
      <c r="A1893" s="10">
        <v>42923</v>
      </c>
      <c r="B1893" s="3" t="s">
        <v>114</v>
      </c>
      <c r="C1893" s="15" t="s">
        <v>46</v>
      </c>
      <c r="D1893" s="15">
        <v>1500</v>
      </c>
      <c r="E1893" s="11">
        <v>350</v>
      </c>
      <c r="F1893" s="3" t="s">
        <v>8</v>
      </c>
      <c r="G1893" s="46">
        <v>34</v>
      </c>
      <c r="H1893" s="3">
        <v>34</v>
      </c>
      <c r="I1893" s="46">
        <v>0</v>
      </c>
      <c r="J1893" s="55">
        <v>0</v>
      </c>
      <c r="K1893" s="1">
        <f t="shared" ref="K1893" si="1888">(IF(F1893="SELL",G1893-H1893,IF(F1893="BUY",H1893-G1893)))*E1893</f>
        <v>0</v>
      </c>
      <c r="L1893" s="51">
        <v>0</v>
      </c>
      <c r="M1893" s="52">
        <v>0</v>
      </c>
      <c r="N1893" s="2">
        <f t="shared" si="1879"/>
        <v>0</v>
      </c>
      <c r="O1893" s="2">
        <f t="shared" si="1827"/>
        <v>0</v>
      </c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</row>
    <row r="1894" spans="1:33" s="14" customFormat="1" ht="15" customHeight="1">
      <c r="A1894" s="10">
        <v>42923</v>
      </c>
      <c r="B1894" s="5" t="s">
        <v>73</v>
      </c>
      <c r="C1894" s="5" t="s">
        <v>47</v>
      </c>
      <c r="D1894" s="5">
        <v>1700</v>
      </c>
      <c r="E1894" s="9">
        <v>500</v>
      </c>
      <c r="F1894" s="5" t="s">
        <v>8</v>
      </c>
      <c r="G1894" s="5">
        <v>40</v>
      </c>
      <c r="H1894" s="5">
        <v>43</v>
      </c>
      <c r="I1894" s="5">
        <v>0</v>
      </c>
      <c r="J1894" s="5">
        <v>0</v>
      </c>
      <c r="K1894" s="1">
        <f t="shared" ref="K1894" si="1889">(IF(F1894="SELL",G1894-H1894,IF(F1894="BUY",H1894-G1894)))*E1894</f>
        <v>1500</v>
      </c>
      <c r="L1894" s="51">
        <v>0</v>
      </c>
      <c r="M1894" s="52">
        <f>(IF(F1894="SELL",IF(J1894="",0,I1894-J1894),IF(F1894="BUY",IF(J1894="",0,(J1894-I1894)))))*E1894</f>
        <v>0</v>
      </c>
      <c r="N1894" s="2">
        <f t="shared" si="1879"/>
        <v>3</v>
      </c>
      <c r="O1894" s="2">
        <f t="shared" si="1827"/>
        <v>1500</v>
      </c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</row>
    <row r="1895" spans="1:33" s="14" customFormat="1" ht="15" customHeight="1">
      <c r="A1895" s="4">
        <v>42923</v>
      </c>
      <c r="B1895" s="3" t="s">
        <v>83</v>
      </c>
      <c r="C1895" s="15" t="s">
        <v>46</v>
      </c>
      <c r="D1895" s="15">
        <v>23400</v>
      </c>
      <c r="E1895" s="11">
        <v>40</v>
      </c>
      <c r="F1895" s="3" t="s">
        <v>8</v>
      </c>
      <c r="G1895" s="46">
        <v>120</v>
      </c>
      <c r="H1895" s="3">
        <v>90</v>
      </c>
      <c r="I1895" s="46">
        <v>0</v>
      </c>
      <c r="J1895" s="55">
        <v>0</v>
      </c>
      <c r="K1895" s="1">
        <f t="shared" ref="K1895" si="1890">(IF(F1895="SELL",G1895-H1895,IF(F1895="BUY",H1895-G1895)))*E1895</f>
        <v>-1200</v>
      </c>
      <c r="L1895" s="51">
        <v>0</v>
      </c>
      <c r="M1895" s="52">
        <f>(IF(F1895="SELL",IF(J1895="",0,I1895-J1895),IF(F1895="BUY",IF(J1895="",0,(J1895-I1895)))))*E1895</f>
        <v>0</v>
      </c>
      <c r="N1895" s="2">
        <f t="shared" si="1879"/>
        <v>-30</v>
      </c>
      <c r="O1895" s="2">
        <f t="shared" si="1827"/>
        <v>-1200</v>
      </c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</row>
    <row r="1896" spans="1:33" s="14" customFormat="1" ht="15" customHeight="1">
      <c r="A1896" s="10">
        <v>42923</v>
      </c>
      <c r="B1896" s="3" t="s">
        <v>130</v>
      </c>
      <c r="C1896" s="15" t="s">
        <v>47</v>
      </c>
      <c r="D1896" s="15">
        <v>440</v>
      </c>
      <c r="E1896" s="11">
        <v>1500</v>
      </c>
      <c r="F1896" s="3" t="s">
        <v>8</v>
      </c>
      <c r="G1896" s="46">
        <v>10.5</v>
      </c>
      <c r="H1896" s="3">
        <v>10.5</v>
      </c>
      <c r="I1896" s="46">
        <v>0</v>
      </c>
      <c r="J1896" s="55">
        <v>0</v>
      </c>
      <c r="K1896" s="1">
        <f t="shared" ref="K1896" si="1891">(IF(F1896="SELL",G1896-H1896,IF(F1896="BUY",H1896-G1896)))*E1896</f>
        <v>0</v>
      </c>
      <c r="L1896" s="51">
        <v>0</v>
      </c>
      <c r="M1896" s="52">
        <f>(IF(F1896="SELL",IF(J1896="",0,I1896-J1896),IF(F1896="BUY",IF(J1896="",0,(J1896-I1896)))))*E1896</f>
        <v>0</v>
      </c>
      <c r="N1896" s="2">
        <f t="shared" si="1879"/>
        <v>0</v>
      </c>
      <c r="O1896" s="2">
        <f t="shared" si="1827"/>
        <v>0</v>
      </c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</row>
    <row r="1897" spans="1:33" s="14" customFormat="1" ht="15" customHeight="1">
      <c r="A1897" s="10">
        <v>42922</v>
      </c>
      <c r="B1897" s="3" t="s">
        <v>129</v>
      </c>
      <c r="C1897" s="15" t="s">
        <v>47</v>
      </c>
      <c r="D1897" s="15">
        <v>215</v>
      </c>
      <c r="E1897" s="11">
        <v>10000</v>
      </c>
      <c r="F1897" s="3" t="s">
        <v>8</v>
      </c>
      <c r="G1897" s="46">
        <v>10</v>
      </c>
      <c r="H1897" s="3">
        <v>10</v>
      </c>
      <c r="I1897" s="46">
        <v>0</v>
      </c>
      <c r="J1897" s="55">
        <v>0</v>
      </c>
      <c r="K1897" s="1">
        <f t="shared" ref="K1897" si="1892">(IF(F1897="SELL",G1897-H1897,IF(F1897="BUY",H1897-G1897)))*E1897</f>
        <v>0</v>
      </c>
      <c r="L1897" s="51">
        <v>0</v>
      </c>
      <c r="M1897" s="52">
        <f>(IF(F1897="SELL",IF(J1897="",0,I1897-J1897),IF(F1897="BUY",IF(J1897="",0,(J1897-I1897)))))*E1897</f>
        <v>0</v>
      </c>
      <c r="N1897" s="2">
        <f t="shared" si="1879"/>
        <v>0</v>
      </c>
      <c r="O1897" s="2">
        <f t="shared" si="1827"/>
        <v>0</v>
      </c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</row>
    <row r="1898" spans="1:33" s="14" customFormat="1" ht="15" customHeight="1">
      <c r="A1898" s="10">
        <v>42922</v>
      </c>
      <c r="B1898" s="3" t="s">
        <v>38</v>
      </c>
      <c r="C1898" s="15" t="s">
        <v>47</v>
      </c>
      <c r="D1898" s="15">
        <v>7500</v>
      </c>
      <c r="E1898" s="11">
        <v>150</v>
      </c>
      <c r="F1898" s="3" t="s">
        <v>8</v>
      </c>
      <c r="G1898" s="46">
        <v>100</v>
      </c>
      <c r="H1898" s="3">
        <v>115</v>
      </c>
      <c r="I1898" s="46">
        <v>132.5</v>
      </c>
      <c r="J1898" s="55">
        <v>0</v>
      </c>
      <c r="K1898" s="1">
        <f t="shared" ref="K1898" si="1893">(IF(F1898="SELL",G1898-H1898,IF(F1898="BUY",H1898-G1898)))*E1898</f>
        <v>2250</v>
      </c>
      <c r="L1898" s="51">
        <f t="shared" ref="L1898" si="1894">(IF(F1898="SELL",IF(I1898="",0,H1898-I1898),IF(F1898="BUY",IF(I1898="",0,I1898-H1898))))*E1898</f>
        <v>2625</v>
      </c>
      <c r="M1898" s="52">
        <v>0</v>
      </c>
      <c r="N1898" s="2">
        <f t="shared" si="1879"/>
        <v>32.5</v>
      </c>
      <c r="O1898" s="2">
        <f t="shared" si="1827"/>
        <v>4875</v>
      </c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</row>
    <row r="1899" spans="1:33" s="14" customFormat="1" ht="15" customHeight="1">
      <c r="A1899" s="10">
        <v>42922</v>
      </c>
      <c r="B1899" s="3" t="s">
        <v>83</v>
      </c>
      <c r="C1899" s="15" t="s">
        <v>47</v>
      </c>
      <c r="D1899" s="15">
        <v>23400</v>
      </c>
      <c r="E1899" s="11">
        <v>40</v>
      </c>
      <c r="F1899" s="3" t="s">
        <v>8</v>
      </c>
      <c r="G1899" s="46">
        <v>65</v>
      </c>
      <c r="H1899" s="3">
        <v>80</v>
      </c>
      <c r="I1899" s="46">
        <v>100</v>
      </c>
      <c r="J1899" s="55">
        <v>134</v>
      </c>
      <c r="K1899" s="1">
        <f t="shared" ref="K1899" si="1895">(IF(F1899="SELL",G1899-H1899,IF(F1899="BUY",H1899-G1899)))*E1899</f>
        <v>600</v>
      </c>
      <c r="L1899" s="51">
        <f t="shared" ref="L1899" si="1896">(IF(F1899="SELL",IF(I1899="",0,H1899-I1899),IF(F1899="BUY",IF(I1899="",0,I1899-H1899))))*E1899</f>
        <v>800</v>
      </c>
      <c r="M1899" s="52">
        <f>(IF(F1899="SELL",IF(J1899="",0,I1899-J1899),IF(F1899="BUY",IF(J1899="",0,(J1899-I1899)))))*E1899</f>
        <v>1360</v>
      </c>
      <c r="N1899" s="2">
        <f t="shared" si="1879"/>
        <v>69</v>
      </c>
      <c r="O1899" s="2">
        <f t="shared" si="1827"/>
        <v>2760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</row>
    <row r="1900" spans="1:33" s="14" customFormat="1" ht="15" customHeight="1">
      <c r="A1900" s="10">
        <v>42922</v>
      </c>
      <c r="B1900" s="3" t="s">
        <v>71</v>
      </c>
      <c r="C1900" s="15" t="s">
        <v>47</v>
      </c>
      <c r="D1900" s="15">
        <v>215</v>
      </c>
      <c r="E1900" s="11">
        <v>3000</v>
      </c>
      <c r="F1900" s="3" t="s">
        <v>8</v>
      </c>
      <c r="G1900" s="46">
        <v>6.5</v>
      </c>
      <c r="H1900" s="3">
        <v>6.5</v>
      </c>
      <c r="I1900" s="46">
        <v>0</v>
      </c>
      <c r="J1900" s="55">
        <v>0</v>
      </c>
      <c r="K1900" s="1">
        <f t="shared" ref="K1900" si="1897">(IF(F1900="SELL",G1900-H1900,IF(F1900="BUY",H1900-G1900)))*E1900</f>
        <v>0</v>
      </c>
      <c r="L1900" s="51">
        <v>0</v>
      </c>
      <c r="M1900" s="52">
        <f>(IF(F1900="SELL",IF(J1900="",0,I1900-J1900),IF(F1900="BUY",IF(J1900="",0,(J1900-I1900)))))*E1900</f>
        <v>0</v>
      </c>
      <c r="N1900" s="2">
        <f t="shared" si="1879"/>
        <v>0</v>
      </c>
      <c r="O1900" s="2">
        <f t="shared" si="1827"/>
        <v>0</v>
      </c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</row>
    <row r="1901" spans="1:33" s="14" customFormat="1" ht="15" customHeight="1">
      <c r="A1901" s="10">
        <v>42921</v>
      </c>
      <c r="B1901" s="3" t="s">
        <v>79</v>
      </c>
      <c r="C1901" s="15" t="s">
        <v>47</v>
      </c>
      <c r="D1901" s="15">
        <v>210</v>
      </c>
      <c r="E1901" s="11">
        <v>3500</v>
      </c>
      <c r="F1901" s="3" t="s">
        <v>8</v>
      </c>
      <c r="G1901" s="46">
        <v>6</v>
      </c>
      <c r="H1901" s="3">
        <v>6</v>
      </c>
      <c r="I1901" s="46">
        <v>0</v>
      </c>
      <c r="J1901" s="55">
        <v>0</v>
      </c>
      <c r="K1901" s="1">
        <f t="shared" ref="K1901" si="1898">(IF(F1901="SELL",G1901-H1901,IF(F1901="BUY",H1901-G1901)))*E1901</f>
        <v>0</v>
      </c>
      <c r="L1901" s="51">
        <v>0</v>
      </c>
      <c r="M1901" s="52">
        <f>(IF(F1901="SELL",IF(J1901="",0,I1901-J1901),IF(F1901="BUY",IF(J1901="",0,(J1901-I1901)))))*E1901</f>
        <v>0</v>
      </c>
      <c r="N1901" s="2">
        <f t="shared" si="1879"/>
        <v>0</v>
      </c>
      <c r="O1901" s="2">
        <f t="shared" si="1827"/>
        <v>0</v>
      </c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</row>
    <row r="1902" spans="1:33" s="14" customFormat="1" ht="15" customHeight="1">
      <c r="A1902" s="10">
        <v>42921</v>
      </c>
      <c r="B1902" s="3" t="s">
        <v>107</v>
      </c>
      <c r="C1902" s="15" t="s">
        <v>47</v>
      </c>
      <c r="D1902" s="15">
        <v>560</v>
      </c>
      <c r="E1902" s="11">
        <v>800</v>
      </c>
      <c r="F1902" s="3" t="s">
        <v>8</v>
      </c>
      <c r="G1902" s="46">
        <v>15</v>
      </c>
      <c r="H1902" s="3">
        <v>15</v>
      </c>
      <c r="I1902" s="46">
        <v>0</v>
      </c>
      <c r="J1902" s="55">
        <v>0</v>
      </c>
      <c r="K1902" s="1">
        <f t="shared" ref="K1902" si="1899">(IF(F1902="SELL",G1902-H1902,IF(F1902="BUY",H1902-G1902)))*E1902</f>
        <v>0</v>
      </c>
      <c r="L1902" s="51">
        <v>0</v>
      </c>
      <c r="M1902" s="52">
        <f>(IF(F1902="SELL",IF(J1902="",0,I1902-J1902),IF(F1902="BUY",IF(J1902="",0,(J1902-I1902)))))*E1902</f>
        <v>0</v>
      </c>
      <c r="N1902" s="2">
        <f t="shared" si="1879"/>
        <v>0</v>
      </c>
      <c r="O1902" s="2">
        <f t="shared" si="1827"/>
        <v>0</v>
      </c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</row>
    <row r="1903" spans="1:33" s="14" customFormat="1" ht="15" customHeight="1">
      <c r="A1903" s="10">
        <v>42921</v>
      </c>
      <c r="B1903" s="3" t="s">
        <v>83</v>
      </c>
      <c r="C1903" s="15" t="s">
        <v>47</v>
      </c>
      <c r="D1903" s="15">
        <v>23300</v>
      </c>
      <c r="E1903" s="11">
        <v>40</v>
      </c>
      <c r="F1903" s="3" t="s">
        <v>8</v>
      </c>
      <c r="G1903" s="46">
        <v>100</v>
      </c>
      <c r="H1903" s="3">
        <v>115</v>
      </c>
      <c r="I1903" s="46">
        <v>135</v>
      </c>
      <c r="J1903" s="55">
        <v>175</v>
      </c>
      <c r="K1903" s="1">
        <f t="shared" ref="K1903" si="1900">(IF(F1903="SELL",G1903-H1903,IF(F1903="BUY",H1903-G1903)))*E1903</f>
        <v>600</v>
      </c>
      <c r="L1903" s="51">
        <f t="shared" ref="L1903" si="1901">(IF(F1903="SELL",IF(I1903="",0,H1903-I1903),IF(F1903="BUY",IF(I1903="",0,I1903-H1903))))*E1903</f>
        <v>800</v>
      </c>
      <c r="M1903" s="52">
        <f>(IF(F1903="SELL",IF(J1903="",0,I1903-J1903),IF(F1903="BUY",IF(J1903="",0,(J1903-I1903)))))*E1903</f>
        <v>1600</v>
      </c>
      <c r="N1903" s="2">
        <f t="shared" si="1879"/>
        <v>75</v>
      </c>
      <c r="O1903" s="2">
        <f t="shared" si="1827"/>
        <v>3000</v>
      </c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</row>
    <row r="1904" spans="1:33" s="14" customFormat="1" ht="15" customHeight="1">
      <c r="A1904" s="10">
        <v>42921</v>
      </c>
      <c r="B1904" s="3" t="s">
        <v>128</v>
      </c>
      <c r="C1904" s="15" t="s">
        <v>46</v>
      </c>
      <c r="D1904" s="15">
        <v>940</v>
      </c>
      <c r="E1904" s="11">
        <v>800</v>
      </c>
      <c r="F1904" s="3" t="s">
        <v>8</v>
      </c>
      <c r="G1904" s="46">
        <v>16</v>
      </c>
      <c r="H1904" s="3">
        <v>16</v>
      </c>
      <c r="I1904" s="46">
        <v>0</v>
      </c>
      <c r="J1904" s="55">
        <v>0</v>
      </c>
      <c r="K1904" s="1">
        <f t="shared" ref="K1904" si="1902">(IF(F1904="SELL",G1904-H1904,IF(F1904="BUY",H1904-G1904)))*E1904</f>
        <v>0</v>
      </c>
      <c r="L1904" s="51">
        <v>0</v>
      </c>
      <c r="M1904" s="52">
        <v>0</v>
      </c>
      <c r="N1904" s="2">
        <f t="shared" si="1879"/>
        <v>0</v>
      </c>
      <c r="O1904" s="2">
        <f t="shared" si="1827"/>
        <v>0</v>
      </c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</row>
    <row r="1905" spans="1:33" s="14" customFormat="1" ht="15" customHeight="1">
      <c r="A1905" s="10">
        <v>42920</v>
      </c>
      <c r="B1905" s="3" t="s">
        <v>19</v>
      </c>
      <c r="C1905" s="15" t="s">
        <v>46</v>
      </c>
      <c r="D1905" s="15">
        <v>1100</v>
      </c>
      <c r="E1905" s="11">
        <v>600</v>
      </c>
      <c r="F1905" s="3" t="s">
        <v>8</v>
      </c>
      <c r="G1905" s="46">
        <v>19.5</v>
      </c>
      <c r="H1905" s="3">
        <v>19.5</v>
      </c>
      <c r="I1905" s="46">
        <v>0</v>
      </c>
      <c r="J1905" s="55">
        <v>0</v>
      </c>
      <c r="K1905" s="1">
        <f t="shared" ref="K1905" si="1903">(IF(F1905="SELL",G1905-H1905,IF(F1905="BUY",H1905-G1905)))*E1905</f>
        <v>0</v>
      </c>
      <c r="L1905" s="51">
        <v>0</v>
      </c>
      <c r="M1905" s="52">
        <v>0</v>
      </c>
      <c r="N1905" s="2">
        <f t="shared" si="1879"/>
        <v>0</v>
      </c>
      <c r="O1905" s="2">
        <f t="shared" ref="O1905:O1968" si="1904">N1905*E1905</f>
        <v>0</v>
      </c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</row>
    <row r="1906" spans="1:33" s="14" customFormat="1" ht="15" customHeight="1">
      <c r="A1906" s="10">
        <v>42920</v>
      </c>
      <c r="B1906" s="3" t="s">
        <v>114</v>
      </c>
      <c r="C1906" s="15" t="s">
        <v>47</v>
      </c>
      <c r="D1906" s="15">
        <v>1480</v>
      </c>
      <c r="E1906" s="11">
        <v>350</v>
      </c>
      <c r="F1906" s="3" t="s">
        <v>8</v>
      </c>
      <c r="G1906" s="46">
        <v>40</v>
      </c>
      <c r="H1906" s="3">
        <v>45</v>
      </c>
      <c r="I1906" s="46">
        <v>0</v>
      </c>
      <c r="J1906" s="55">
        <v>0</v>
      </c>
      <c r="K1906" s="1">
        <f t="shared" ref="K1906" si="1905">(IF(F1906="SELL",G1906-H1906,IF(F1906="BUY",H1906-G1906)))*E1906</f>
        <v>1750</v>
      </c>
      <c r="L1906" s="51">
        <v>0</v>
      </c>
      <c r="M1906" s="52">
        <v>0</v>
      </c>
      <c r="N1906" s="2">
        <f t="shared" si="1879"/>
        <v>5</v>
      </c>
      <c r="O1906" s="2">
        <f t="shared" si="1904"/>
        <v>1750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</row>
    <row r="1907" spans="1:33" s="14" customFormat="1" ht="15" customHeight="1">
      <c r="A1907" s="10">
        <v>42919</v>
      </c>
      <c r="B1907" s="3" t="s">
        <v>71</v>
      </c>
      <c r="C1907" s="15" t="s">
        <v>47</v>
      </c>
      <c r="D1907" s="15">
        <v>210</v>
      </c>
      <c r="E1907" s="11">
        <v>3000</v>
      </c>
      <c r="F1907" s="3" t="s">
        <v>8</v>
      </c>
      <c r="G1907" s="46">
        <v>22</v>
      </c>
      <c r="H1907" s="3">
        <v>23</v>
      </c>
      <c r="I1907" s="46">
        <v>0</v>
      </c>
      <c r="J1907" s="55">
        <v>0</v>
      </c>
      <c r="K1907" s="1">
        <f t="shared" ref="K1907" si="1906">(IF(F1907="SELL",G1907-H1907,IF(F1907="BUY",H1907-G1907)))*E1907</f>
        <v>3000</v>
      </c>
      <c r="L1907" s="51">
        <v>0</v>
      </c>
      <c r="M1907" s="52">
        <v>0</v>
      </c>
      <c r="N1907" s="2">
        <f t="shared" si="1879"/>
        <v>1</v>
      </c>
      <c r="O1907" s="2">
        <f t="shared" si="1904"/>
        <v>3000</v>
      </c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</row>
    <row r="1908" spans="1:33" s="14" customFormat="1" ht="15" customHeight="1">
      <c r="A1908" s="10">
        <v>42919</v>
      </c>
      <c r="B1908" s="3" t="s">
        <v>127</v>
      </c>
      <c r="C1908" s="15" t="s">
        <v>47</v>
      </c>
      <c r="D1908" s="15">
        <v>660</v>
      </c>
      <c r="E1908" s="11">
        <v>1500</v>
      </c>
      <c r="F1908" s="3" t="s">
        <v>8</v>
      </c>
      <c r="G1908" s="46">
        <v>22</v>
      </c>
      <c r="H1908" s="3">
        <v>23</v>
      </c>
      <c r="I1908" s="46">
        <v>25</v>
      </c>
      <c r="J1908" s="55">
        <v>0</v>
      </c>
      <c r="K1908" s="1">
        <f t="shared" ref="K1908" si="1907">(IF(F1908="SELL",G1908-H1908,IF(F1908="BUY",H1908-G1908)))*E1908</f>
        <v>1500</v>
      </c>
      <c r="L1908" s="51">
        <f t="shared" ref="L1908" si="1908">(IF(F1908="SELL",IF(I1908="",0,H1908-I1908),IF(F1908="BUY",IF(I1908="",0,I1908-H1908))))*E1908</f>
        <v>3000</v>
      </c>
      <c r="M1908" s="52">
        <v>0</v>
      </c>
      <c r="N1908" s="2">
        <f t="shared" si="1879"/>
        <v>3</v>
      </c>
      <c r="O1908" s="2">
        <f t="shared" si="1904"/>
        <v>4500</v>
      </c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</row>
    <row r="1909" spans="1:33" s="14" customFormat="1" ht="15" customHeight="1">
      <c r="A1909" s="10">
        <v>42919</v>
      </c>
      <c r="B1909" s="3" t="s">
        <v>12</v>
      </c>
      <c r="C1909" s="15" t="s">
        <v>47</v>
      </c>
      <c r="D1909" s="15">
        <v>700</v>
      </c>
      <c r="E1909" s="11">
        <v>800</v>
      </c>
      <c r="F1909" s="3" t="s">
        <v>8</v>
      </c>
      <c r="G1909" s="46">
        <v>11</v>
      </c>
      <c r="H1909" s="3">
        <v>13</v>
      </c>
      <c r="I1909" s="46">
        <v>0</v>
      </c>
      <c r="J1909" s="55">
        <v>0</v>
      </c>
      <c r="K1909" s="1">
        <f t="shared" ref="K1909" si="1909">(IF(F1909="SELL",G1909-H1909,IF(F1909="BUY",H1909-G1909)))*E1909</f>
        <v>1600</v>
      </c>
      <c r="L1909" s="51">
        <v>0</v>
      </c>
      <c r="M1909" s="52">
        <v>0</v>
      </c>
      <c r="N1909" s="2">
        <f t="shared" si="1879"/>
        <v>2</v>
      </c>
      <c r="O1909" s="2">
        <f t="shared" si="1904"/>
        <v>1600</v>
      </c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</row>
    <row r="1910" spans="1:33" s="14" customFormat="1" ht="15" customHeight="1">
      <c r="A1910" s="10">
        <v>42919</v>
      </c>
      <c r="B1910" s="3" t="s">
        <v>83</v>
      </c>
      <c r="C1910" s="15" t="s">
        <v>46</v>
      </c>
      <c r="D1910" s="15">
        <v>23000</v>
      </c>
      <c r="E1910" s="11">
        <v>40</v>
      </c>
      <c r="F1910" s="3" t="s">
        <v>8</v>
      </c>
      <c r="G1910" s="46">
        <v>75</v>
      </c>
      <c r="H1910" s="3">
        <v>75</v>
      </c>
      <c r="I1910" s="46">
        <v>0</v>
      </c>
      <c r="J1910" s="55">
        <v>0</v>
      </c>
      <c r="K1910" s="1">
        <f t="shared" ref="K1910" si="1910">(IF(F1910="SELL",G1910-H1910,IF(F1910="BUY",H1910-G1910)))*E1910</f>
        <v>0</v>
      </c>
      <c r="L1910" s="51">
        <v>0</v>
      </c>
      <c r="M1910" s="52">
        <v>0</v>
      </c>
      <c r="N1910" s="2">
        <f t="shared" si="1879"/>
        <v>0</v>
      </c>
      <c r="O1910" s="2">
        <f t="shared" si="1904"/>
        <v>0</v>
      </c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</row>
    <row r="1911" spans="1:33" s="14" customFormat="1" ht="15" customHeight="1">
      <c r="A1911" s="10">
        <v>42919</v>
      </c>
      <c r="B1911" s="3" t="s">
        <v>107</v>
      </c>
      <c r="C1911" s="15" t="s">
        <v>47</v>
      </c>
      <c r="D1911" s="15">
        <v>560</v>
      </c>
      <c r="E1911" s="11">
        <v>800</v>
      </c>
      <c r="F1911" s="3" t="s">
        <v>8</v>
      </c>
      <c r="G1911" s="46">
        <v>3.8</v>
      </c>
      <c r="H1911" s="3">
        <v>4</v>
      </c>
      <c r="I1911" s="46">
        <v>4.5</v>
      </c>
      <c r="J1911" s="55">
        <v>6.1</v>
      </c>
      <c r="K1911" s="1">
        <f t="shared" ref="K1911" si="1911">(IF(F1911="SELL",G1911-H1911,IF(F1911="BUY",H1911-G1911)))*E1911</f>
        <v>160.00000000000014</v>
      </c>
      <c r="L1911" s="51">
        <f t="shared" ref="L1911" si="1912">(IF(F1911="SELL",IF(I1911="",0,H1911-I1911),IF(F1911="BUY",IF(I1911="",0,I1911-H1911))))*E1911</f>
        <v>400</v>
      </c>
      <c r="M1911" s="52">
        <f>(IF(F1911="SELL",IF(J1911="",0,I1911-J1911),IF(F1911="BUY",IF(J1911="",0,(J1911-I1911)))))*E1911</f>
        <v>1279.9999999999998</v>
      </c>
      <c r="N1911" s="2">
        <f t="shared" si="1879"/>
        <v>2.2999999999999998</v>
      </c>
      <c r="O1911" s="2">
        <f t="shared" si="1904"/>
        <v>1839.9999999999998</v>
      </c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</row>
    <row r="1912" spans="1:33" s="14" customFormat="1" ht="15" customHeight="1">
      <c r="A1912" s="10">
        <v>42916</v>
      </c>
      <c r="B1912" s="3" t="s">
        <v>38</v>
      </c>
      <c r="C1912" s="15" t="s">
        <v>46</v>
      </c>
      <c r="D1912" s="15">
        <v>7200</v>
      </c>
      <c r="E1912" s="11">
        <v>150</v>
      </c>
      <c r="F1912" s="3" t="s">
        <v>8</v>
      </c>
      <c r="G1912" s="46">
        <v>8</v>
      </c>
      <c r="H1912" s="3">
        <v>11</v>
      </c>
      <c r="I1912" s="46">
        <v>15</v>
      </c>
      <c r="J1912" s="55">
        <v>0</v>
      </c>
      <c r="K1912" s="1">
        <f t="shared" ref="K1912" si="1913">(IF(F1912="SELL",G1912-H1912,IF(F1912="BUY",H1912-G1912)))*E1912</f>
        <v>450</v>
      </c>
      <c r="L1912" s="51">
        <f t="shared" ref="L1912" si="1914">(IF(F1912="SELL",IF(I1912="",0,H1912-I1912),IF(F1912="BUY",IF(I1912="",0,I1912-H1912))))*E1912</f>
        <v>600</v>
      </c>
      <c r="M1912" s="52">
        <v>0</v>
      </c>
      <c r="N1912" s="2">
        <f t="shared" si="1879"/>
        <v>7</v>
      </c>
      <c r="O1912" s="2">
        <f t="shared" si="1904"/>
        <v>1050</v>
      </c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</row>
    <row r="1913" spans="1:33" s="14" customFormat="1" ht="15" customHeight="1">
      <c r="A1913" s="10">
        <v>42915</v>
      </c>
      <c r="B1913" s="3" t="s">
        <v>38</v>
      </c>
      <c r="C1913" s="15" t="s">
        <v>47</v>
      </c>
      <c r="D1913" s="15">
        <v>7200</v>
      </c>
      <c r="E1913" s="11">
        <v>150</v>
      </c>
      <c r="F1913" s="3" t="s">
        <v>8</v>
      </c>
      <c r="G1913" s="46">
        <v>80</v>
      </c>
      <c r="H1913" s="3">
        <v>100</v>
      </c>
      <c r="I1913" s="46">
        <v>0</v>
      </c>
      <c r="J1913" s="55">
        <v>0</v>
      </c>
      <c r="K1913" s="1">
        <f t="shared" ref="K1913" si="1915">(IF(F1913="SELL",G1913-H1913,IF(F1913="BUY",H1913-G1913)))*E1913</f>
        <v>3000</v>
      </c>
      <c r="L1913" s="51">
        <v>0</v>
      </c>
      <c r="M1913" s="52">
        <v>0</v>
      </c>
      <c r="N1913" s="2">
        <f t="shared" si="1879"/>
        <v>20</v>
      </c>
      <c r="O1913" s="2">
        <f t="shared" si="1904"/>
        <v>3000</v>
      </c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</row>
    <row r="1914" spans="1:33" s="14" customFormat="1" ht="15" customHeight="1">
      <c r="A1914" s="10">
        <v>42914</v>
      </c>
      <c r="B1914" s="3" t="s">
        <v>83</v>
      </c>
      <c r="C1914" s="15" t="s">
        <v>46</v>
      </c>
      <c r="D1914" s="15">
        <v>23000</v>
      </c>
      <c r="E1914" s="11">
        <v>150</v>
      </c>
      <c r="F1914" s="3" t="s">
        <v>8</v>
      </c>
      <c r="G1914" s="46">
        <v>58</v>
      </c>
      <c r="H1914" s="3">
        <v>75</v>
      </c>
      <c r="I1914" s="46">
        <v>100</v>
      </c>
      <c r="J1914" s="55">
        <v>0</v>
      </c>
      <c r="K1914" s="1">
        <f t="shared" ref="K1914" si="1916">(IF(F1914="SELL",G1914-H1914,IF(F1914="BUY",H1914-G1914)))*E1914</f>
        <v>2550</v>
      </c>
      <c r="L1914" s="51">
        <f t="shared" ref="L1914" si="1917">(IF(F1914="SELL",IF(I1914="",0,H1914-I1914),IF(F1914="BUY",IF(I1914="",0,I1914-H1914))))*E1914</f>
        <v>3750</v>
      </c>
      <c r="M1914" s="52">
        <v>0</v>
      </c>
      <c r="N1914" s="2">
        <f t="shared" si="1879"/>
        <v>42</v>
      </c>
      <c r="O1914" s="2">
        <f t="shared" si="1904"/>
        <v>6300</v>
      </c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</row>
    <row r="1915" spans="1:33" s="14" customFormat="1" ht="15" customHeight="1">
      <c r="A1915" s="10">
        <v>42908</v>
      </c>
      <c r="B1915" s="3" t="s">
        <v>38</v>
      </c>
      <c r="C1915" s="15" t="s">
        <v>47</v>
      </c>
      <c r="D1915" s="15">
        <v>7300</v>
      </c>
      <c r="E1915" s="11">
        <v>150</v>
      </c>
      <c r="F1915" s="3" t="s">
        <v>8</v>
      </c>
      <c r="G1915" s="46">
        <v>90</v>
      </c>
      <c r="H1915" s="3">
        <v>100</v>
      </c>
      <c r="I1915" s="46">
        <v>0</v>
      </c>
      <c r="J1915" s="55">
        <v>0</v>
      </c>
      <c r="K1915" s="1">
        <f t="shared" ref="K1915" si="1918">(IF(F1915="SELL",G1915-H1915,IF(F1915="BUY",H1915-G1915)))*E1915</f>
        <v>1500</v>
      </c>
      <c r="L1915" s="51">
        <v>0</v>
      </c>
      <c r="M1915" s="52">
        <f>(IF(F1915="SELL",IF(J1915="",0,I1915-J1915),IF(F1915="BUY",IF(J1915="",0,(J1915-I1915)))))*E1915</f>
        <v>0</v>
      </c>
      <c r="N1915" s="2">
        <f t="shared" si="1879"/>
        <v>10</v>
      </c>
      <c r="O1915" s="2">
        <f t="shared" si="1904"/>
        <v>1500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</row>
    <row r="1916" spans="1:33" s="14" customFormat="1" ht="15" customHeight="1">
      <c r="A1916" s="10">
        <v>42908</v>
      </c>
      <c r="B1916" s="3" t="s">
        <v>38</v>
      </c>
      <c r="C1916" s="15" t="s">
        <v>46</v>
      </c>
      <c r="D1916" s="15">
        <v>7200</v>
      </c>
      <c r="E1916" s="11">
        <v>150</v>
      </c>
      <c r="F1916" s="3" t="s">
        <v>8</v>
      </c>
      <c r="G1916" s="46">
        <v>65</v>
      </c>
      <c r="H1916" s="3">
        <v>49</v>
      </c>
      <c r="I1916" s="46">
        <v>0</v>
      </c>
      <c r="J1916" s="55">
        <v>0</v>
      </c>
      <c r="K1916" s="1">
        <f t="shared" ref="K1916" si="1919">(IF(F1916="SELL",G1916-H1916,IF(F1916="BUY",H1916-G1916)))*E1916</f>
        <v>-2400</v>
      </c>
      <c r="L1916" s="51">
        <v>0</v>
      </c>
      <c r="M1916" s="52">
        <v>0</v>
      </c>
      <c r="N1916" s="2">
        <f t="shared" si="1879"/>
        <v>-16</v>
      </c>
      <c r="O1916" s="2">
        <f t="shared" si="1904"/>
        <v>-2400</v>
      </c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</row>
    <row r="1917" spans="1:33" s="14" customFormat="1" ht="15" customHeight="1">
      <c r="A1917" s="10">
        <v>42907</v>
      </c>
      <c r="B1917" s="3" t="s">
        <v>125</v>
      </c>
      <c r="C1917" s="15" t="s">
        <v>47</v>
      </c>
      <c r="D1917" s="15">
        <v>80</v>
      </c>
      <c r="E1917" s="11">
        <v>9000</v>
      </c>
      <c r="F1917" s="3" t="s">
        <v>8</v>
      </c>
      <c r="G1917" s="46">
        <v>1.7</v>
      </c>
      <c r="H1917" s="3">
        <v>2</v>
      </c>
      <c r="I1917" s="46">
        <v>2.25</v>
      </c>
      <c r="J1917" s="55">
        <v>3</v>
      </c>
      <c r="K1917" s="1">
        <f t="shared" ref="K1917" si="1920">(IF(F1917="SELL",G1917-H1917,IF(F1917="BUY",H1917-G1917)))*E1917</f>
        <v>2700.0000000000005</v>
      </c>
      <c r="L1917" s="51">
        <f t="shared" ref="L1917" si="1921">(IF(F1917="SELL",IF(I1917="",0,H1917-I1917),IF(F1917="BUY",IF(I1917="",0,I1917-H1917))))*E1917</f>
        <v>2250</v>
      </c>
      <c r="M1917" s="52">
        <f>(IF(F1917="SELL",IF(J1917="",0,I1917-J1917),IF(F1917="BUY",IF(J1917="",0,(J1917-I1917)))))*E1917</f>
        <v>6750</v>
      </c>
      <c r="N1917" s="2">
        <f t="shared" si="1879"/>
        <v>1.3</v>
      </c>
      <c r="O1917" s="2">
        <f t="shared" si="1904"/>
        <v>11700</v>
      </c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</row>
    <row r="1918" spans="1:33" s="14" customFormat="1" ht="15" customHeight="1">
      <c r="A1918" s="10">
        <v>42906</v>
      </c>
      <c r="B1918" s="3" t="s">
        <v>38</v>
      </c>
      <c r="C1918" s="15" t="s">
        <v>47</v>
      </c>
      <c r="D1918" s="15">
        <v>7200</v>
      </c>
      <c r="E1918" s="11">
        <v>150</v>
      </c>
      <c r="F1918" s="3" t="s">
        <v>8</v>
      </c>
      <c r="G1918" s="46">
        <v>52</v>
      </c>
      <c r="H1918" s="3">
        <v>52</v>
      </c>
      <c r="I1918" s="46">
        <v>0</v>
      </c>
      <c r="J1918" s="55">
        <v>0</v>
      </c>
      <c r="K1918" s="1">
        <f t="shared" ref="K1918" si="1922">(IF(F1918="SELL",G1918-H1918,IF(F1918="BUY",H1918-G1918)))*E1918</f>
        <v>0</v>
      </c>
      <c r="L1918" s="51">
        <v>0</v>
      </c>
      <c r="M1918" s="52">
        <v>0</v>
      </c>
      <c r="N1918" s="2">
        <f t="shared" si="1879"/>
        <v>0</v>
      </c>
      <c r="O1918" s="2">
        <f t="shared" si="1904"/>
        <v>0</v>
      </c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</row>
    <row r="1919" spans="1:33" s="14" customFormat="1" ht="15" customHeight="1">
      <c r="A1919" s="10">
        <v>42901</v>
      </c>
      <c r="B1919" s="3" t="s">
        <v>76</v>
      </c>
      <c r="C1919" s="15" t="s">
        <v>47</v>
      </c>
      <c r="D1919" s="15">
        <v>9600</v>
      </c>
      <c r="E1919" s="11">
        <v>75</v>
      </c>
      <c r="F1919" s="3" t="s">
        <v>8</v>
      </c>
      <c r="G1919" s="46">
        <v>75</v>
      </c>
      <c r="H1919" s="3">
        <v>75</v>
      </c>
      <c r="I1919" s="46">
        <v>0</v>
      </c>
      <c r="J1919" s="55">
        <v>0</v>
      </c>
      <c r="K1919" s="1">
        <f t="shared" ref="K1919" si="1923">(IF(F1919="SELL",G1919-H1919,IF(F1919="BUY",H1919-G1919)))*E1919</f>
        <v>0</v>
      </c>
      <c r="L1919" s="51">
        <v>0</v>
      </c>
      <c r="M1919" s="52">
        <f>(IF(F1919="SELL",IF(J1919="",0,I1919-J1919),IF(F1919="BUY",IF(J1919="",0,(J1919-I1919)))))*E1919</f>
        <v>0</v>
      </c>
      <c r="N1919" s="2">
        <f t="shared" si="1879"/>
        <v>0</v>
      </c>
      <c r="O1919" s="2">
        <f t="shared" si="1904"/>
        <v>0</v>
      </c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</row>
    <row r="1920" spans="1:33" s="14" customFormat="1" ht="15" customHeight="1">
      <c r="A1920" s="10">
        <v>42901</v>
      </c>
      <c r="B1920" s="3" t="s">
        <v>38</v>
      </c>
      <c r="C1920" s="15" t="s">
        <v>47</v>
      </c>
      <c r="D1920" s="15">
        <v>7400</v>
      </c>
      <c r="E1920" s="11">
        <v>150</v>
      </c>
      <c r="F1920" s="3" t="s">
        <v>8</v>
      </c>
      <c r="G1920" s="46">
        <v>115</v>
      </c>
      <c r="H1920" s="3">
        <v>125</v>
      </c>
      <c r="I1920" s="46">
        <v>135</v>
      </c>
      <c r="J1920" s="55">
        <v>150</v>
      </c>
      <c r="K1920" s="1">
        <f t="shared" ref="K1920" si="1924">(IF(F1920="SELL",G1920-H1920,IF(F1920="BUY",H1920-G1920)))*E1920</f>
        <v>1500</v>
      </c>
      <c r="L1920" s="51">
        <f t="shared" ref="L1920" si="1925">(IF(F1920="SELL",IF(I1920="",0,H1920-I1920),IF(F1920="BUY",IF(I1920="",0,I1920-H1920))))*E1920</f>
        <v>1500</v>
      </c>
      <c r="M1920" s="52">
        <f>(IF(F1920="SELL",IF(J1920="",0,I1920-J1920),IF(F1920="BUY",IF(J1920="",0,(J1920-I1920)))))*E1920</f>
        <v>2250</v>
      </c>
      <c r="N1920" s="2">
        <f t="shared" si="1879"/>
        <v>35</v>
      </c>
      <c r="O1920" s="2">
        <f t="shared" si="1904"/>
        <v>5250</v>
      </c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</row>
    <row r="1921" spans="1:33" s="14" customFormat="1" ht="15" customHeight="1">
      <c r="A1921" s="10">
        <v>42895</v>
      </c>
      <c r="B1921" s="3" t="s">
        <v>76</v>
      </c>
      <c r="C1921" s="15" t="s">
        <v>47</v>
      </c>
      <c r="D1921" s="15">
        <v>9500</v>
      </c>
      <c r="E1921" s="11">
        <v>75</v>
      </c>
      <c r="F1921" s="3" t="s">
        <v>8</v>
      </c>
      <c r="G1921" s="46">
        <v>40</v>
      </c>
      <c r="H1921" s="3">
        <v>40</v>
      </c>
      <c r="I1921" s="46">
        <v>0</v>
      </c>
      <c r="J1921" s="55">
        <v>0</v>
      </c>
      <c r="K1921" s="1">
        <f t="shared" ref="K1921" si="1926">(IF(F1921="SELL",G1921-H1921,IF(F1921="BUY",H1921-G1921)))*E1921</f>
        <v>0</v>
      </c>
      <c r="L1921" s="51">
        <v>0</v>
      </c>
      <c r="M1921" s="52">
        <f>(IF(F1921="SELL",IF(J1921="",0,I1921-J1921),IF(F1921="BUY",IF(J1921="",0,(J1921-I1921)))))*E1921</f>
        <v>0</v>
      </c>
      <c r="N1921" s="2">
        <f t="shared" si="1879"/>
        <v>0</v>
      </c>
      <c r="O1921" s="2">
        <f t="shared" si="1904"/>
        <v>0</v>
      </c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</row>
    <row r="1922" spans="1:33" s="14" customFormat="1" ht="15" customHeight="1">
      <c r="A1922" s="10">
        <v>42895</v>
      </c>
      <c r="B1922" s="3" t="s">
        <v>123</v>
      </c>
      <c r="C1922" s="15" t="s">
        <v>47</v>
      </c>
      <c r="D1922" s="15">
        <v>540</v>
      </c>
      <c r="E1922" s="11">
        <v>1600</v>
      </c>
      <c r="F1922" s="3" t="s">
        <v>8</v>
      </c>
      <c r="G1922" s="46">
        <v>20</v>
      </c>
      <c r="H1922" s="3">
        <v>22</v>
      </c>
      <c r="I1922" s="46">
        <v>0</v>
      </c>
      <c r="J1922" s="55">
        <v>0</v>
      </c>
      <c r="K1922" s="1">
        <f t="shared" ref="K1922" si="1927">(IF(F1922="SELL",G1922-H1922,IF(F1922="BUY",H1922-G1922)))*E1922</f>
        <v>3200</v>
      </c>
      <c r="L1922" s="51">
        <v>0</v>
      </c>
      <c r="M1922" s="52">
        <f>(IF(F1922="SELL",IF(J1922="",0,I1922-J1922),IF(F1922="BUY",IF(J1922="",0,(J1922-I1922)))))*E1922</f>
        <v>0</v>
      </c>
      <c r="N1922" s="2">
        <f t="shared" si="1879"/>
        <v>2</v>
      </c>
      <c r="O1922" s="2">
        <f t="shared" si="1904"/>
        <v>3200</v>
      </c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</row>
    <row r="1923" spans="1:33" s="5" customFormat="1" ht="15" customHeight="1">
      <c r="A1923" s="10">
        <v>42893</v>
      </c>
      <c r="B1923" s="3" t="s">
        <v>114</v>
      </c>
      <c r="C1923" s="15" t="s">
        <v>47</v>
      </c>
      <c r="D1923" s="15">
        <v>1520</v>
      </c>
      <c r="E1923" s="11">
        <v>350</v>
      </c>
      <c r="F1923" s="3" t="s">
        <v>8</v>
      </c>
      <c r="G1923" s="46">
        <v>37</v>
      </c>
      <c r="H1923" s="3">
        <v>40</v>
      </c>
      <c r="I1923" s="46">
        <v>44.9</v>
      </c>
      <c r="J1923" s="55">
        <v>0</v>
      </c>
      <c r="K1923" s="1">
        <f t="shared" ref="K1923" si="1928">(IF(F1923="SELL",G1923-H1923,IF(F1923="BUY",H1923-G1923)))*E1923</f>
        <v>1050</v>
      </c>
      <c r="L1923" s="51">
        <f t="shared" ref="L1923" si="1929">(IF(F1923="SELL",IF(I1923="",0,H1923-I1923),IF(F1923="BUY",IF(I1923="",0,I1923-H1923))))*E1923</f>
        <v>1714.9999999999995</v>
      </c>
      <c r="M1923" s="52">
        <v>0</v>
      </c>
      <c r="N1923" s="2">
        <f t="shared" si="1879"/>
        <v>7.8999999999999986</v>
      </c>
      <c r="O1923" s="2">
        <f t="shared" si="1904"/>
        <v>2764.9999999999995</v>
      </c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</row>
    <row r="1924" spans="1:33" s="14" customFormat="1" ht="15" customHeight="1">
      <c r="A1924" s="10">
        <v>42891</v>
      </c>
      <c r="B1924" s="3" t="s">
        <v>120</v>
      </c>
      <c r="C1924" s="15" t="s">
        <v>47</v>
      </c>
      <c r="D1924" s="15">
        <v>20</v>
      </c>
      <c r="E1924" s="11">
        <v>45000</v>
      </c>
      <c r="F1924" s="3" t="s">
        <v>8</v>
      </c>
      <c r="G1924" s="46">
        <v>1</v>
      </c>
      <c r="H1924" s="3">
        <v>1</v>
      </c>
      <c r="I1924" s="46">
        <v>0</v>
      </c>
      <c r="J1924" s="55">
        <v>0</v>
      </c>
      <c r="K1924" s="1">
        <f t="shared" ref="K1924" si="1930">(IF(F1924="SELL",G1924-H1924,IF(F1924="BUY",H1924-G1924)))*E1924</f>
        <v>0</v>
      </c>
      <c r="L1924" s="51">
        <v>0</v>
      </c>
      <c r="M1924" s="52">
        <v>0</v>
      </c>
      <c r="N1924" s="2">
        <f t="shared" si="1879"/>
        <v>0</v>
      </c>
      <c r="O1924" s="2">
        <f t="shared" si="1904"/>
        <v>0</v>
      </c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</row>
    <row r="1925" spans="1:33" s="14" customFormat="1" ht="15" customHeight="1">
      <c r="A1925" s="10">
        <v>42888</v>
      </c>
      <c r="B1925" s="3" t="s">
        <v>28</v>
      </c>
      <c r="C1925" s="15" t="s">
        <v>47</v>
      </c>
      <c r="D1925" s="15">
        <v>380</v>
      </c>
      <c r="E1925" s="11">
        <v>1700</v>
      </c>
      <c r="F1925" s="3" t="s">
        <v>8</v>
      </c>
      <c r="G1925" s="46">
        <v>9</v>
      </c>
      <c r="H1925" s="3">
        <v>11</v>
      </c>
      <c r="I1925" s="46">
        <v>0</v>
      </c>
      <c r="J1925" s="55">
        <v>0</v>
      </c>
      <c r="K1925" s="1">
        <f t="shared" ref="K1925" si="1931">(IF(F1925="SELL",G1925-H1925,IF(F1925="BUY",H1925-G1925)))*E1925</f>
        <v>3400</v>
      </c>
      <c r="L1925" s="51">
        <v>0</v>
      </c>
      <c r="M1925" s="52">
        <f t="shared" ref="M1925:M1930" si="1932">(IF(F1925="SELL",IF(J1925="",0,I1925-J1925),IF(F1925="BUY",IF(J1925="",0,(J1925-I1925)))))*E1925</f>
        <v>0</v>
      </c>
      <c r="N1925" s="2">
        <f t="shared" si="1879"/>
        <v>2</v>
      </c>
      <c r="O1925" s="2">
        <f t="shared" si="1904"/>
        <v>3400</v>
      </c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</row>
    <row r="1926" spans="1:33" s="14" customFormat="1" ht="15" customHeight="1">
      <c r="A1926" s="10">
        <v>42888</v>
      </c>
      <c r="B1926" s="3" t="s">
        <v>119</v>
      </c>
      <c r="C1926" s="15" t="s">
        <v>47</v>
      </c>
      <c r="D1926" s="15">
        <v>560</v>
      </c>
      <c r="E1926" s="11">
        <v>1100</v>
      </c>
      <c r="F1926" s="3" t="s">
        <v>8</v>
      </c>
      <c r="G1926" s="46">
        <v>20</v>
      </c>
      <c r="H1926" s="3">
        <v>22</v>
      </c>
      <c r="I1926" s="46">
        <v>0</v>
      </c>
      <c r="J1926" s="55">
        <v>0</v>
      </c>
      <c r="K1926" s="1">
        <f t="shared" ref="K1926" si="1933">(IF(F1926="SELL",G1926-H1926,IF(F1926="BUY",H1926-G1926)))*E1926</f>
        <v>2200</v>
      </c>
      <c r="L1926" s="51">
        <v>0</v>
      </c>
      <c r="M1926" s="52">
        <f t="shared" si="1932"/>
        <v>0</v>
      </c>
      <c r="N1926" s="2">
        <f t="shared" si="1879"/>
        <v>2</v>
      </c>
      <c r="O1926" s="2">
        <f t="shared" si="1904"/>
        <v>2200</v>
      </c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</row>
    <row r="1927" spans="1:33" s="14" customFormat="1" ht="15" customHeight="1">
      <c r="A1927" s="10">
        <v>42885</v>
      </c>
      <c r="B1927" s="3" t="s">
        <v>58</v>
      </c>
      <c r="C1927" s="15" t="s">
        <v>47</v>
      </c>
      <c r="D1927" s="15">
        <v>450</v>
      </c>
      <c r="E1927" s="11">
        <v>2000</v>
      </c>
      <c r="F1927" s="3" t="s">
        <v>8</v>
      </c>
      <c r="G1927" s="46">
        <v>5</v>
      </c>
      <c r="H1927" s="3">
        <v>6</v>
      </c>
      <c r="I1927" s="46">
        <v>0</v>
      </c>
      <c r="J1927" s="55">
        <v>0</v>
      </c>
      <c r="K1927" s="1">
        <f t="shared" ref="K1927" si="1934">(IF(F1927="SELL",G1927-H1927,IF(F1927="BUY",H1927-G1927)))*E1927</f>
        <v>2000</v>
      </c>
      <c r="L1927" s="51">
        <v>0</v>
      </c>
      <c r="M1927" s="52">
        <f t="shared" si="1932"/>
        <v>0</v>
      </c>
      <c r="N1927" s="2">
        <f t="shared" si="1879"/>
        <v>1</v>
      </c>
      <c r="O1927" s="2">
        <f t="shared" si="1904"/>
        <v>2000</v>
      </c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</row>
    <row r="1928" spans="1:33" s="14" customFormat="1" ht="15" customHeight="1">
      <c r="A1928" s="10">
        <v>42879</v>
      </c>
      <c r="B1928" s="3" t="s">
        <v>107</v>
      </c>
      <c r="C1928" s="15" t="s">
        <v>47</v>
      </c>
      <c r="D1928" s="15">
        <v>620</v>
      </c>
      <c r="E1928" s="11">
        <v>800</v>
      </c>
      <c r="F1928" s="3" t="s">
        <v>8</v>
      </c>
      <c r="G1928" s="46">
        <v>3.8</v>
      </c>
      <c r="H1928" s="3">
        <v>4</v>
      </c>
      <c r="I1928" s="46">
        <v>4.5</v>
      </c>
      <c r="J1928" s="55">
        <v>6.1</v>
      </c>
      <c r="K1928" s="1">
        <f t="shared" ref="K1928" si="1935">(IF(F1928="SELL",G1928-H1928,IF(F1928="BUY",H1928-G1928)))*E1928</f>
        <v>160.00000000000014</v>
      </c>
      <c r="L1928" s="51">
        <f t="shared" ref="L1928:L1929" si="1936">(IF(F1928="SELL",IF(I1928="",0,H1928-I1928),IF(F1928="BUY",IF(I1928="",0,I1928-H1928))))*E1928</f>
        <v>400</v>
      </c>
      <c r="M1928" s="52">
        <f t="shared" si="1932"/>
        <v>1279.9999999999998</v>
      </c>
      <c r="N1928" s="2">
        <f t="shared" si="1879"/>
        <v>2.2999999999999998</v>
      </c>
      <c r="O1928" s="2">
        <f t="shared" si="1904"/>
        <v>1839.9999999999998</v>
      </c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</row>
    <row r="1929" spans="1:33" s="14" customFormat="1" ht="15" customHeight="1">
      <c r="A1929" s="10">
        <v>42866</v>
      </c>
      <c r="B1929" s="3" t="s">
        <v>28</v>
      </c>
      <c r="C1929" s="15" t="s">
        <v>47</v>
      </c>
      <c r="D1929" s="15">
        <v>370</v>
      </c>
      <c r="E1929" s="11">
        <v>1700</v>
      </c>
      <c r="F1929" s="3" t="s">
        <v>8</v>
      </c>
      <c r="G1929" s="46">
        <v>3.6</v>
      </c>
      <c r="H1929" s="3">
        <v>4.5999999999999996</v>
      </c>
      <c r="I1929" s="46">
        <v>6</v>
      </c>
      <c r="J1929" s="55">
        <v>10</v>
      </c>
      <c r="K1929" s="1">
        <f t="shared" ref="K1929" si="1937">(IF(F1929="SELL",G1929-H1929,IF(F1929="BUY",H1929-G1929)))*E1929</f>
        <v>1699.9999999999993</v>
      </c>
      <c r="L1929" s="51">
        <f t="shared" si="1936"/>
        <v>2380.0000000000005</v>
      </c>
      <c r="M1929" s="52">
        <f t="shared" si="1932"/>
        <v>6800</v>
      </c>
      <c r="N1929" s="2">
        <f t="shared" si="1879"/>
        <v>6.4</v>
      </c>
      <c r="O1929" s="2">
        <f t="shared" si="1904"/>
        <v>10880</v>
      </c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</row>
    <row r="1930" spans="1:33" s="5" customFormat="1" ht="15" customHeight="1">
      <c r="A1930" s="10">
        <v>42865</v>
      </c>
      <c r="B1930" s="5" t="s">
        <v>73</v>
      </c>
      <c r="C1930" s="5" t="s">
        <v>47</v>
      </c>
      <c r="D1930" s="5">
        <v>1720</v>
      </c>
      <c r="E1930" s="9">
        <v>500</v>
      </c>
      <c r="F1930" s="5" t="s">
        <v>8</v>
      </c>
      <c r="G1930" s="5">
        <v>36</v>
      </c>
      <c r="H1930" s="5">
        <v>40</v>
      </c>
      <c r="I1930" s="5">
        <v>0</v>
      </c>
      <c r="J1930" s="5">
        <v>0</v>
      </c>
      <c r="K1930" s="1">
        <f t="shared" ref="K1930" si="1938">(IF(F1930="SELL",G1930-H1930,IF(F1930="BUY",H1930-G1930)))*E1930</f>
        <v>2000</v>
      </c>
      <c r="L1930" s="51">
        <v>0</v>
      </c>
      <c r="M1930" s="52">
        <f t="shared" si="1932"/>
        <v>0</v>
      </c>
      <c r="N1930" s="2">
        <f t="shared" si="1879"/>
        <v>4</v>
      </c>
      <c r="O1930" s="2">
        <f t="shared" si="1904"/>
        <v>2000</v>
      </c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</row>
    <row r="1931" spans="1:33" s="14" customFormat="1" ht="15" customHeight="1">
      <c r="A1931" s="4">
        <v>42860</v>
      </c>
      <c r="B1931" s="3" t="s">
        <v>127</v>
      </c>
      <c r="C1931" s="15" t="s">
        <v>47</v>
      </c>
      <c r="D1931" s="15">
        <v>620</v>
      </c>
      <c r="E1931" s="11">
        <v>1500</v>
      </c>
      <c r="F1931" s="3" t="s">
        <v>8</v>
      </c>
      <c r="G1931" s="46">
        <v>13</v>
      </c>
      <c r="H1931" s="3">
        <v>13</v>
      </c>
      <c r="I1931" s="46">
        <v>0</v>
      </c>
      <c r="J1931" s="55">
        <v>0</v>
      </c>
      <c r="K1931" s="1">
        <f t="shared" ref="K1931" si="1939">(IF(F1931="SELL",G1931-H1931,IF(F1931="BUY",H1931-G1931)))*E1931</f>
        <v>0</v>
      </c>
      <c r="L1931" s="51">
        <v>0</v>
      </c>
      <c r="M1931" s="52">
        <v>0</v>
      </c>
      <c r="N1931" s="2">
        <f t="shared" si="1879"/>
        <v>0</v>
      </c>
      <c r="O1931" s="2">
        <f t="shared" si="1904"/>
        <v>0</v>
      </c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</row>
    <row r="1932" spans="1:33" s="14" customFormat="1" ht="15" customHeight="1">
      <c r="A1932" s="10">
        <v>42811</v>
      </c>
      <c r="B1932" s="3" t="s">
        <v>66</v>
      </c>
      <c r="C1932" s="15" t="s">
        <v>47</v>
      </c>
      <c r="D1932" s="15">
        <v>500</v>
      </c>
      <c r="E1932" s="11">
        <v>1000</v>
      </c>
      <c r="F1932" s="3" t="s">
        <v>8</v>
      </c>
      <c r="G1932" s="46">
        <v>8</v>
      </c>
      <c r="H1932" s="3">
        <v>8</v>
      </c>
      <c r="I1932" s="46">
        <v>0</v>
      </c>
      <c r="J1932" s="55">
        <v>0</v>
      </c>
      <c r="K1932" s="1">
        <f t="shared" ref="K1932" si="1940">(IF(F1932="SELL",G1932-H1932,IF(F1932="BUY",H1932-G1932)))*E1932</f>
        <v>0</v>
      </c>
      <c r="L1932" s="51">
        <v>0</v>
      </c>
      <c r="M1932" s="52">
        <v>0</v>
      </c>
      <c r="N1932" s="2">
        <f t="shared" si="1879"/>
        <v>0</v>
      </c>
      <c r="O1932" s="2">
        <f t="shared" si="1904"/>
        <v>0</v>
      </c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</row>
    <row r="1933" spans="1:33" s="14" customFormat="1" ht="15" customHeight="1">
      <c r="A1933" s="10">
        <v>42811</v>
      </c>
      <c r="B1933" s="3" t="s">
        <v>16</v>
      </c>
      <c r="C1933" s="15" t="s">
        <v>47</v>
      </c>
      <c r="D1933" s="15">
        <v>340</v>
      </c>
      <c r="E1933" s="11">
        <v>2500</v>
      </c>
      <c r="F1933" s="3" t="s">
        <v>8</v>
      </c>
      <c r="G1933" s="46">
        <v>8</v>
      </c>
      <c r="H1933" s="3">
        <v>8</v>
      </c>
      <c r="I1933" s="46">
        <v>0</v>
      </c>
      <c r="J1933" s="55">
        <v>0</v>
      </c>
      <c r="K1933" s="1">
        <f t="shared" ref="K1933" si="1941">(IF(F1933="SELL",G1933-H1933,IF(F1933="BUY",H1933-G1933)))*E1933</f>
        <v>0</v>
      </c>
      <c r="L1933" s="51">
        <v>0</v>
      </c>
      <c r="M1933" s="52">
        <f>(IF(F1933="SELL",IF(J1933="",0,I1933-J1933),IF(F1933="BUY",IF(J1933="",0,(J1933-I1933)))))*E1933</f>
        <v>0</v>
      </c>
      <c r="N1933" s="2">
        <f t="shared" si="1879"/>
        <v>0</v>
      </c>
      <c r="O1933" s="2">
        <f t="shared" si="1904"/>
        <v>0</v>
      </c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</row>
    <row r="1934" spans="1:33" s="14" customFormat="1" ht="15" customHeight="1">
      <c r="A1934" s="10">
        <v>42810</v>
      </c>
      <c r="B1934" s="3" t="s">
        <v>98</v>
      </c>
      <c r="C1934" s="15" t="s">
        <v>47</v>
      </c>
      <c r="D1934" s="15">
        <v>1100</v>
      </c>
      <c r="E1934" s="11">
        <v>600</v>
      </c>
      <c r="F1934" s="3" t="s">
        <v>8</v>
      </c>
      <c r="G1934" s="46">
        <v>25</v>
      </c>
      <c r="H1934" s="3">
        <v>30</v>
      </c>
      <c r="I1934" s="46">
        <v>0</v>
      </c>
      <c r="J1934" s="55">
        <v>0</v>
      </c>
      <c r="K1934" s="1">
        <f t="shared" ref="K1934" si="1942">(IF(F1934="SELL",G1934-H1934,IF(F1934="BUY",H1934-G1934)))*E1934</f>
        <v>3000</v>
      </c>
      <c r="L1934" s="51">
        <v>0</v>
      </c>
      <c r="M1934" s="52">
        <v>0</v>
      </c>
      <c r="N1934" s="2">
        <f t="shared" si="1879"/>
        <v>5</v>
      </c>
      <c r="O1934" s="2">
        <f t="shared" si="1904"/>
        <v>3000</v>
      </c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</row>
    <row r="1935" spans="1:33" s="14" customFormat="1" ht="15" customHeight="1">
      <c r="A1935" s="10">
        <v>42808</v>
      </c>
      <c r="B1935" s="3" t="s">
        <v>83</v>
      </c>
      <c r="C1935" s="15" t="s">
        <v>47</v>
      </c>
      <c r="D1935" s="15">
        <v>21000</v>
      </c>
      <c r="E1935" s="11">
        <v>40</v>
      </c>
      <c r="F1935" s="3" t="s">
        <v>8</v>
      </c>
      <c r="G1935" s="46">
        <v>245</v>
      </c>
      <c r="H1935" s="3">
        <v>245</v>
      </c>
      <c r="I1935" s="46">
        <v>0</v>
      </c>
      <c r="J1935" s="55">
        <v>0</v>
      </c>
      <c r="K1935" s="1">
        <f t="shared" ref="K1935" si="1943">(IF(F1935="SELL",G1935-H1935,IF(F1935="BUY",H1935-G1935)))*E1935</f>
        <v>0</v>
      </c>
      <c r="L1935" s="51">
        <v>0</v>
      </c>
      <c r="M1935" s="52">
        <v>0</v>
      </c>
      <c r="N1935" s="2">
        <f t="shared" si="1879"/>
        <v>0</v>
      </c>
      <c r="O1935" s="2">
        <f t="shared" si="1904"/>
        <v>0</v>
      </c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</row>
    <row r="1936" spans="1:33" s="14" customFormat="1" ht="15" customHeight="1">
      <c r="A1936" s="10">
        <v>42804</v>
      </c>
      <c r="B1936" s="3" t="s">
        <v>54</v>
      </c>
      <c r="C1936" s="15" t="s">
        <v>47</v>
      </c>
      <c r="D1936" s="15">
        <v>760</v>
      </c>
      <c r="E1936" s="11">
        <v>1000</v>
      </c>
      <c r="F1936" s="3" t="s">
        <v>8</v>
      </c>
      <c r="G1936" s="46">
        <v>16.5</v>
      </c>
      <c r="H1936" s="3">
        <v>19</v>
      </c>
      <c r="I1936" s="46">
        <v>0</v>
      </c>
      <c r="J1936" s="55">
        <v>0</v>
      </c>
      <c r="K1936" s="1">
        <f t="shared" ref="K1936" si="1944">(IF(F1936="SELL",G1936-H1936,IF(F1936="BUY",H1936-G1936)))*E1936</f>
        <v>2500</v>
      </c>
      <c r="L1936" s="51">
        <v>0</v>
      </c>
      <c r="M1936" s="52">
        <v>0</v>
      </c>
      <c r="N1936" s="2">
        <f t="shared" si="1879"/>
        <v>2.5</v>
      </c>
      <c r="O1936" s="2">
        <f t="shared" si="1904"/>
        <v>2500</v>
      </c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</row>
    <row r="1937" spans="1:33" s="14" customFormat="1" ht="15" customHeight="1">
      <c r="A1937" s="10">
        <v>42804</v>
      </c>
      <c r="B1937" s="5" t="s">
        <v>19</v>
      </c>
      <c r="C1937" s="5" t="s">
        <v>47</v>
      </c>
      <c r="D1937" s="5">
        <v>1040</v>
      </c>
      <c r="E1937" s="9">
        <v>600</v>
      </c>
      <c r="F1937" s="5" t="s">
        <v>8</v>
      </c>
      <c r="G1937" s="5">
        <v>22.5</v>
      </c>
      <c r="H1937" s="5">
        <v>22.5</v>
      </c>
      <c r="I1937" s="5">
        <v>0</v>
      </c>
      <c r="J1937" s="5">
        <v>0</v>
      </c>
      <c r="K1937" s="1">
        <f t="shared" ref="K1937" si="1945">(IF(F1937="SELL",G1937-H1937,IF(F1937="BUY",H1937-G1937)))*E1937</f>
        <v>0</v>
      </c>
      <c r="L1937" s="51">
        <v>0</v>
      </c>
      <c r="M1937" s="52">
        <f>(IF(F1937="SELL",IF(J1937="",0,I1937-J1937),IF(F1937="BUY",IF(J1937="",0,(J1937-I1937)))))*E1937</f>
        <v>0</v>
      </c>
      <c r="N1937" s="2">
        <f t="shared" si="1879"/>
        <v>0</v>
      </c>
      <c r="O1937" s="2">
        <f t="shared" si="1904"/>
        <v>0</v>
      </c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</row>
    <row r="1938" spans="1:33" s="14" customFormat="1" ht="15" customHeight="1">
      <c r="A1938" s="4">
        <v>42803</v>
      </c>
      <c r="B1938" s="3" t="s">
        <v>12</v>
      </c>
      <c r="C1938" s="15" t="s">
        <v>47</v>
      </c>
      <c r="D1938" s="15">
        <v>800</v>
      </c>
      <c r="E1938" s="11">
        <v>600</v>
      </c>
      <c r="F1938" s="3" t="s">
        <v>8</v>
      </c>
      <c r="G1938" s="46">
        <v>24.6</v>
      </c>
      <c r="H1938" s="3">
        <v>20</v>
      </c>
      <c r="I1938" s="46">
        <v>0</v>
      </c>
      <c r="J1938" s="55">
        <v>0</v>
      </c>
      <c r="K1938" s="1">
        <f t="shared" ref="K1938" si="1946">(IF(F1938="SELL",G1938-H1938,IF(F1938="BUY",H1938-G1938)))*E1938</f>
        <v>-2760.0000000000009</v>
      </c>
      <c r="L1938" s="51">
        <v>0</v>
      </c>
      <c r="M1938" s="52">
        <v>0</v>
      </c>
      <c r="N1938" s="2">
        <f t="shared" si="1879"/>
        <v>-4.6000000000000014</v>
      </c>
      <c r="O1938" s="2">
        <f t="shared" si="1904"/>
        <v>-2760.0000000000009</v>
      </c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</row>
    <row r="1939" spans="1:33" s="30" customFormat="1">
      <c r="A1939" s="10">
        <v>42802</v>
      </c>
      <c r="B1939" s="3" t="s">
        <v>25</v>
      </c>
      <c r="C1939" s="15" t="s">
        <v>47</v>
      </c>
      <c r="D1939" s="15">
        <v>160</v>
      </c>
      <c r="E1939" s="11">
        <v>5000</v>
      </c>
      <c r="F1939" s="3" t="s">
        <v>8</v>
      </c>
      <c r="G1939" s="46">
        <v>8.5</v>
      </c>
      <c r="H1939" s="3">
        <v>8.5</v>
      </c>
      <c r="I1939" s="46">
        <v>0</v>
      </c>
      <c r="J1939" s="55">
        <v>0</v>
      </c>
      <c r="K1939" s="1">
        <f t="shared" ref="K1939" si="1947">(IF(F1939="SELL",G1939-H1939,IF(F1939="BUY",H1939-G1939)))*E1939</f>
        <v>0</v>
      </c>
      <c r="L1939" s="51">
        <v>0</v>
      </c>
      <c r="M1939" s="52">
        <v>0</v>
      </c>
      <c r="N1939" s="2">
        <f t="shared" si="1879"/>
        <v>0</v>
      </c>
      <c r="O1939" s="2">
        <f t="shared" si="1904"/>
        <v>0</v>
      </c>
    </row>
    <row r="1940" spans="1:33" s="14" customFormat="1" ht="15" customHeight="1">
      <c r="A1940" s="10">
        <v>42801</v>
      </c>
      <c r="B1940" s="3" t="s">
        <v>34</v>
      </c>
      <c r="C1940" s="15" t="s">
        <v>47</v>
      </c>
      <c r="D1940" s="15">
        <v>210</v>
      </c>
      <c r="E1940" s="11">
        <v>3500</v>
      </c>
      <c r="F1940" s="3" t="s">
        <v>8</v>
      </c>
      <c r="G1940" s="46">
        <v>4.2</v>
      </c>
      <c r="H1940" s="3">
        <v>4.2</v>
      </c>
      <c r="I1940" s="46">
        <v>0</v>
      </c>
      <c r="J1940" s="55">
        <v>0</v>
      </c>
      <c r="K1940" s="1">
        <f t="shared" ref="K1940" si="1948">(IF(F1940="SELL",G1940-H1940,IF(F1940="BUY",H1940-G1940)))*E1940</f>
        <v>0</v>
      </c>
      <c r="L1940" s="51">
        <v>0</v>
      </c>
      <c r="M1940" s="52">
        <v>0</v>
      </c>
      <c r="N1940" s="2">
        <f t="shared" si="1879"/>
        <v>0</v>
      </c>
      <c r="O1940" s="2">
        <f t="shared" si="1904"/>
        <v>0</v>
      </c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</row>
    <row r="1941" spans="1:33" s="14" customFormat="1" ht="15" customHeight="1">
      <c r="A1941" s="10">
        <v>42916</v>
      </c>
      <c r="B1941" s="3" t="s">
        <v>107</v>
      </c>
      <c r="C1941" s="15" t="s">
        <v>47</v>
      </c>
      <c r="D1941" s="15">
        <v>560</v>
      </c>
      <c r="E1941" s="11">
        <v>700</v>
      </c>
      <c r="F1941" s="3" t="s">
        <v>8</v>
      </c>
      <c r="G1941" s="46">
        <v>14.5</v>
      </c>
      <c r="H1941" s="3">
        <v>15.5</v>
      </c>
      <c r="I1941" s="46">
        <v>17.2</v>
      </c>
      <c r="J1941" s="55">
        <v>0</v>
      </c>
      <c r="K1941" s="1">
        <f t="shared" ref="K1941" si="1949">(IF(F1941="SELL",G1941-H1941,IF(F1941="BUY",H1941-G1941)))*E1941</f>
        <v>700</v>
      </c>
      <c r="L1941" s="51">
        <f t="shared" ref="L1941" si="1950">(IF(F1941="SELL",IF(I1941="",0,H1941-I1941),IF(F1941="BUY",IF(I1941="",0,I1941-H1941))))*E1941</f>
        <v>1189.9999999999995</v>
      </c>
      <c r="M1941" s="52">
        <v>0</v>
      </c>
      <c r="N1941" s="2">
        <f t="shared" si="1879"/>
        <v>2.6999999999999993</v>
      </c>
      <c r="O1941" s="2">
        <f t="shared" si="1904"/>
        <v>1889.9999999999995</v>
      </c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</row>
    <row r="1942" spans="1:33" s="14" customFormat="1" ht="15" customHeight="1">
      <c r="A1942" s="10">
        <v>42916</v>
      </c>
      <c r="B1942" s="3" t="s">
        <v>83</v>
      </c>
      <c r="C1942" s="15" t="s">
        <v>46</v>
      </c>
      <c r="D1942" s="15">
        <v>23000</v>
      </c>
      <c r="E1942" s="11">
        <v>40</v>
      </c>
      <c r="F1942" s="3" t="s">
        <v>8</v>
      </c>
      <c r="G1942" s="46">
        <v>125</v>
      </c>
      <c r="H1942" s="3">
        <v>150</v>
      </c>
      <c r="I1942" s="46">
        <v>0</v>
      </c>
      <c r="J1942" s="55">
        <v>0</v>
      </c>
      <c r="K1942" s="1">
        <f t="shared" ref="K1942" si="1951">(IF(F1942="SELL",G1942-H1942,IF(F1942="BUY",H1942-G1942)))*E1942</f>
        <v>1000</v>
      </c>
      <c r="L1942" s="51">
        <v>0</v>
      </c>
      <c r="M1942" s="52">
        <v>0</v>
      </c>
      <c r="N1942" s="2">
        <f t="shared" si="1879"/>
        <v>25</v>
      </c>
      <c r="O1942" s="2">
        <f t="shared" si="1904"/>
        <v>1000</v>
      </c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</row>
    <row r="1943" spans="1:33" s="14" customFormat="1" ht="15" customHeight="1">
      <c r="A1943" s="10">
        <v>42916</v>
      </c>
      <c r="B1943" s="3" t="s">
        <v>32</v>
      </c>
      <c r="C1943" s="15" t="s">
        <v>47</v>
      </c>
      <c r="D1943" s="15">
        <v>600</v>
      </c>
      <c r="E1943" s="11">
        <v>700</v>
      </c>
      <c r="F1943" s="3" t="s">
        <v>8</v>
      </c>
      <c r="G1943" s="46">
        <v>28</v>
      </c>
      <c r="H1943" s="3">
        <v>28</v>
      </c>
      <c r="I1943" s="46">
        <v>0</v>
      </c>
      <c r="J1943" s="55">
        <v>0</v>
      </c>
      <c r="K1943" s="1">
        <f t="shared" ref="K1943" si="1952">(IF(F1943="SELL",G1943-H1943,IF(F1943="BUY",H1943-G1943)))*E1943</f>
        <v>0</v>
      </c>
      <c r="L1943" s="51">
        <v>0</v>
      </c>
      <c r="M1943" s="52">
        <v>0</v>
      </c>
      <c r="N1943" s="2">
        <f t="shared" si="1879"/>
        <v>0</v>
      </c>
      <c r="O1943" s="2">
        <f t="shared" si="1904"/>
        <v>0</v>
      </c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</row>
    <row r="1944" spans="1:33" s="14" customFormat="1" ht="15" customHeight="1">
      <c r="A1944" s="10">
        <v>42915</v>
      </c>
      <c r="B1944" s="3" t="s">
        <v>34</v>
      </c>
      <c r="C1944" s="15" t="s">
        <v>47</v>
      </c>
      <c r="D1944" s="15">
        <v>200</v>
      </c>
      <c r="E1944" s="11">
        <v>3500</v>
      </c>
      <c r="F1944" s="3" t="s">
        <v>8</v>
      </c>
      <c r="G1944" s="46">
        <v>5</v>
      </c>
      <c r="H1944" s="3">
        <v>5</v>
      </c>
      <c r="I1944" s="46">
        <v>0</v>
      </c>
      <c r="J1944" s="55">
        <v>0</v>
      </c>
      <c r="K1944" s="1">
        <f t="shared" ref="K1944" si="1953">(IF(F1944="SELL",G1944-H1944,IF(F1944="BUY",H1944-G1944)))*E1944</f>
        <v>0</v>
      </c>
      <c r="L1944" s="51">
        <v>0</v>
      </c>
      <c r="M1944" s="52">
        <v>0</v>
      </c>
      <c r="N1944" s="2">
        <f t="shared" si="1879"/>
        <v>0</v>
      </c>
      <c r="O1944" s="2">
        <f t="shared" si="1904"/>
        <v>0</v>
      </c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</row>
    <row r="1945" spans="1:33" s="14" customFormat="1" ht="15" customHeight="1">
      <c r="A1945" s="10">
        <v>42915</v>
      </c>
      <c r="B1945" s="3" t="s">
        <v>38</v>
      </c>
      <c r="C1945" s="15" t="s">
        <v>46</v>
      </c>
      <c r="D1945" s="15">
        <v>7200</v>
      </c>
      <c r="E1945" s="11">
        <v>150</v>
      </c>
      <c r="F1945" s="3" t="s">
        <v>8</v>
      </c>
      <c r="G1945" s="46">
        <v>8</v>
      </c>
      <c r="H1945" s="3">
        <v>11</v>
      </c>
      <c r="I1945" s="46">
        <v>15</v>
      </c>
      <c r="J1945" s="55">
        <v>0</v>
      </c>
      <c r="K1945" s="1">
        <f t="shared" ref="K1945" si="1954">(IF(F1945="SELL",G1945-H1945,IF(F1945="BUY",H1945-G1945)))*E1945</f>
        <v>450</v>
      </c>
      <c r="L1945" s="51">
        <f t="shared" ref="L1945" si="1955">(IF(F1945="SELL",IF(I1945="",0,H1945-I1945),IF(F1945="BUY",IF(I1945="",0,I1945-H1945))))*E1945</f>
        <v>600</v>
      </c>
      <c r="M1945" s="52">
        <v>0</v>
      </c>
      <c r="N1945" s="2">
        <f t="shared" si="1879"/>
        <v>7</v>
      </c>
      <c r="O1945" s="2">
        <f t="shared" si="1904"/>
        <v>1050</v>
      </c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</row>
    <row r="1946" spans="1:33" s="14" customFormat="1" ht="15" customHeight="1">
      <c r="A1946" s="10">
        <v>42915</v>
      </c>
      <c r="B1946" s="3" t="s">
        <v>60</v>
      </c>
      <c r="C1946" s="3" t="s">
        <v>47</v>
      </c>
      <c r="D1946" s="3">
        <v>250</v>
      </c>
      <c r="E1946" s="29">
        <v>3500</v>
      </c>
      <c r="F1946" s="3" t="s">
        <v>8</v>
      </c>
      <c r="G1946" s="46">
        <v>9.5</v>
      </c>
      <c r="H1946" s="3">
        <v>9.9</v>
      </c>
      <c r="I1946" s="46">
        <v>10.7</v>
      </c>
      <c r="J1946" s="48">
        <v>0</v>
      </c>
      <c r="K1946" s="1">
        <f t="shared" ref="K1946:K1947" si="1956">(IF(F1946="SELL",G1946-H1946,IF(F1946="BUY",H1946-G1946)))*E1946</f>
        <v>1400.0000000000011</v>
      </c>
      <c r="L1946" s="51">
        <f t="shared" ref="L1946:L1948" si="1957">(IF(F1946="SELL",IF(I1946="",0,H1946-I1946),IF(F1946="BUY",IF(I1946="",0,I1946-H1946))))*E1946</f>
        <v>2799.9999999999964</v>
      </c>
      <c r="M1946" s="51">
        <v>0</v>
      </c>
      <c r="N1946" s="1">
        <f t="shared" si="1879"/>
        <v>1.1999999999999993</v>
      </c>
      <c r="O1946" s="1">
        <f t="shared" si="1904"/>
        <v>4199.9999999999973</v>
      </c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</row>
    <row r="1947" spans="1:33" s="14" customFormat="1" ht="15" customHeight="1">
      <c r="A1947" s="10">
        <v>42915</v>
      </c>
      <c r="B1947" s="15" t="s">
        <v>20</v>
      </c>
      <c r="C1947" s="15" t="s">
        <v>47</v>
      </c>
      <c r="D1947" s="15">
        <v>940</v>
      </c>
      <c r="E1947" s="28">
        <v>500</v>
      </c>
      <c r="F1947" s="15" t="s">
        <v>8</v>
      </c>
      <c r="G1947" s="45">
        <v>34</v>
      </c>
      <c r="H1947" s="15">
        <v>37</v>
      </c>
      <c r="I1947" s="45">
        <v>0</v>
      </c>
      <c r="J1947" s="54">
        <v>0</v>
      </c>
      <c r="K1947" s="1">
        <f t="shared" si="1956"/>
        <v>1500</v>
      </c>
      <c r="L1947" s="51">
        <v>0</v>
      </c>
      <c r="M1947" s="51">
        <v>0</v>
      </c>
      <c r="N1947" s="1">
        <f t="shared" si="1879"/>
        <v>3</v>
      </c>
      <c r="O1947" s="1">
        <f t="shared" si="1904"/>
        <v>1500</v>
      </c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</row>
    <row r="1948" spans="1:33" s="14" customFormat="1" ht="15" customHeight="1">
      <c r="A1948" s="27">
        <v>42915</v>
      </c>
      <c r="B1948" s="3" t="s">
        <v>83</v>
      </c>
      <c r="C1948" s="15" t="s">
        <v>47</v>
      </c>
      <c r="D1948" s="15">
        <v>23400</v>
      </c>
      <c r="E1948" s="11">
        <v>40</v>
      </c>
      <c r="F1948" s="3" t="s">
        <v>8</v>
      </c>
      <c r="G1948" s="46">
        <v>55</v>
      </c>
      <c r="H1948" s="3">
        <v>65</v>
      </c>
      <c r="I1948" s="46">
        <v>85</v>
      </c>
      <c r="J1948" s="55">
        <v>0</v>
      </c>
      <c r="K1948" s="1">
        <f t="shared" ref="K1948" si="1958">(IF(F1948="SELL",G1948-H1948,IF(F1948="BUY",H1948-G1948)))*E1948</f>
        <v>400</v>
      </c>
      <c r="L1948" s="51">
        <f t="shared" si="1957"/>
        <v>800</v>
      </c>
      <c r="M1948" s="52">
        <v>0</v>
      </c>
      <c r="N1948" s="2">
        <f t="shared" si="1879"/>
        <v>30</v>
      </c>
      <c r="O1948" s="2">
        <f t="shared" si="1904"/>
        <v>1200</v>
      </c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</row>
    <row r="1949" spans="1:33" s="14" customFormat="1" ht="15" customHeight="1">
      <c r="A1949" s="10">
        <v>42915</v>
      </c>
      <c r="B1949" s="3" t="s">
        <v>124</v>
      </c>
      <c r="C1949" s="15" t="s">
        <v>47</v>
      </c>
      <c r="D1949" s="15">
        <v>440</v>
      </c>
      <c r="E1949" s="11">
        <v>3500</v>
      </c>
      <c r="F1949" s="3" t="s">
        <v>8</v>
      </c>
      <c r="G1949" s="46">
        <v>7</v>
      </c>
      <c r="H1949" s="3">
        <v>8</v>
      </c>
      <c r="I1949" s="46">
        <v>0</v>
      </c>
      <c r="J1949" s="55">
        <v>0</v>
      </c>
      <c r="K1949" s="1">
        <f t="shared" ref="K1949" si="1959">(IF(F1949="SELL",G1949-H1949,IF(F1949="BUY",H1949-G1949)))*E1949</f>
        <v>3500</v>
      </c>
      <c r="L1949" s="51">
        <v>0</v>
      </c>
      <c r="M1949" s="52">
        <v>0</v>
      </c>
      <c r="N1949" s="2">
        <f t="shared" ref="N1949:N2012" si="1960">(L1949+K1949+M1949)/E1949</f>
        <v>1</v>
      </c>
      <c r="O1949" s="2">
        <f t="shared" si="1904"/>
        <v>3500</v>
      </c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</row>
    <row r="1950" spans="1:33" s="14" customFormat="1" ht="15" customHeight="1">
      <c r="A1950" s="10">
        <v>42914</v>
      </c>
      <c r="B1950" s="3" t="s">
        <v>60</v>
      </c>
      <c r="C1950" s="15" t="s">
        <v>47</v>
      </c>
      <c r="D1950" s="15">
        <v>240</v>
      </c>
      <c r="E1950" s="11">
        <v>3500</v>
      </c>
      <c r="F1950" s="3" t="s">
        <v>8</v>
      </c>
      <c r="G1950" s="46">
        <v>3</v>
      </c>
      <c r="H1950" s="3">
        <v>3.4</v>
      </c>
      <c r="I1950" s="46">
        <v>0</v>
      </c>
      <c r="J1950" s="55">
        <v>0</v>
      </c>
      <c r="K1950" s="1">
        <f t="shared" ref="K1950" si="1961">(IF(F1950="SELL",G1950-H1950,IF(F1950="BUY",H1950-G1950)))*E1950</f>
        <v>1399.9999999999998</v>
      </c>
      <c r="L1950" s="51">
        <v>0</v>
      </c>
      <c r="M1950" s="52">
        <v>0</v>
      </c>
      <c r="N1950" s="2">
        <f t="shared" si="1960"/>
        <v>0.39999999999999991</v>
      </c>
      <c r="O1950" s="2">
        <f t="shared" si="1904"/>
        <v>1399.9999999999998</v>
      </c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</row>
    <row r="1951" spans="1:33" s="14" customFormat="1" ht="15" customHeight="1">
      <c r="A1951" s="10">
        <v>42914</v>
      </c>
      <c r="B1951" s="3" t="s">
        <v>57</v>
      </c>
      <c r="C1951" s="15" t="s">
        <v>47</v>
      </c>
      <c r="D1951" s="15">
        <v>135</v>
      </c>
      <c r="E1951" s="11">
        <v>6000</v>
      </c>
      <c r="F1951" s="3" t="s">
        <v>8</v>
      </c>
      <c r="G1951" s="46">
        <v>1.7</v>
      </c>
      <c r="H1951" s="3">
        <v>2</v>
      </c>
      <c r="I1951" s="46">
        <v>0</v>
      </c>
      <c r="J1951" s="55">
        <v>0</v>
      </c>
      <c r="K1951" s="1">
        <f t="shared" ref="K1951" si="1962">(IF(F1951="SELL",G1951-H1951,IF(F1951="BUY",H1951-G1951)))*E1951</f>
        <v>1800.0000000000002</v>
      </c>
      <c r="L1951" s="51">
        <v>0</v>
      </c>
      <c r="M1951" s="52">
        <v>0</v>
      </c>
      <c r="N1951" s="2">
        <f t="shared" si="1960"/>
        <v>0.30000000000000004</v>
      </c>
      <c r="O1951" s="2">
        <f t="shared" si="1904"/>
        <v>1800.0000000000002</v>
      </c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</row>
    <row r="1952" spans="1:33" s="14" customFormat="1" ht="15" customHeight="1">
      <c r="A1952" s="10">
        <v>42914</v>
      </c>
      <c r="B1952" s="3" t="s">
        <v>114</v>
      </c>
      <c r="C1952" s="15" t="s">
        <v>47</v>
      </c>
      <c r="D1952" s="15">
        <v>1440</v>
      </c>
      <c r="E1952" s="11">
        <v>350</v>
      </c>
      <c r="F1952" s="3" t="s">
        <v>8</v>
      </c>
      <c r="G1952" s="46">
        <v>9</v>
      </c>
      <c r="H1952" s="3">
        <v>11</v>
      </c>
      <c r="I1952" s="46">
        <v>15</v>
      </c>
      <c r="J1952" s="55">
        <v>21</v>
      </c>
      <c r="K1952" s="1">
        <f t="shared" ref="K1952" si="1963">(IF(F1952="SELL",G1952-H1952,IF(F1952="BUY",H1952-G1952)))*E1952</f>
        <v>700</v>
      </c>
      <c r="L1952" s="51">
        <f t="shared" ref="L1952" si="1964">(IF(F1952="SELL",IF(I1952="",0,H1952-I1952),IF(F1952="BUY",IF(I1952="",0,I1952-H1952))))*E1952</f>
        <v>1400</v>
      </c>
      <c r="M1952" s="52">
        <f>(IF(F1952="SELL",IF(J1952="",0,I1952-J1952),IF(F1952="BUY",IF(J1952="",0,(J1952-I1952)))))*E1952</f>
        <v>2100</v>
      </c>
      <c r="N1952" s="2">
        <f t="shared" si="1960"/>
        <v>12</v>
      </c>
      <c r="O1952" s="2">
        <f t="shared" si="1904"/>
        <v>4200</v>
      </c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</row>
    <row r="1953" spans="1:33" s="14" customFormat="1" ht="15" customHeight="1">
      <c r="A1953" s="10">
        <v>42914</v>
      </c>
      <c r="B1953" s="3" t="s">
        <v>38</v>
      </c>
      <c r="C1953" s="15" t="s">
        <v>47</v>
      </c>
      <c r="D1953" s="15">
        <v>7200</v>
      </c>
      <c r="E1953" s="11">
        <v>150</v>
      </c>
      <c r="F1953" s="3" t="s">
        <v>8</v>
      </c>
      <c r="G1953" s="46">
        <v>80</v>
      </c>
      <c r="H1953" s="3">
        <v>100</v>
      </c>
      <c r="I1953" s="46">
        <v>0</v>
      </c>
      <c r="J1953" s="55">
        <v>0</v>
      </c>
      <c r="K1953" s="1">
        <f t="shared" ref="K1953" si="1965">(IF(F1953="SELL",G1953-H1953,IF(F1953="BUY",H1953-G1953)))*E1953</f>
        <v>3000</v>
      </c>
      <c r="L1953" s="51">
        <v>0</v>
      </c>
      <c r="M1953" s="52">
        <v>0</v>
      </c>
      <c r="N1953" s="2">
        <f t="shared" si="1960"/>
        <v>20</v>
      </c>
      <c r="O1953" s="2">
        <f t="shared" si="1904"/>
        <v>3000</v>
      </c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</row>
    <row r="1954" spans="1:33" s="14" customFormat="1" ht="15" customHeight="1">
      <c r="A1954" s="10">
        <v>42914</v>
      </c>
      <c r="B1954" s="3" t="s">
        <v>83</v>
      </c>
      <c r="C1954" s="15" t="s">
        <v>46</v>
      </c>
      <c r="D1954" s="15">
        <v>23100</v>
      </c>
      <c r="E1954" s="11">
        <v>40</v>
      </c>
      <c r="F1954" s="3" t="s">
        <v>8</v>
      </c>
      <c r="G1954" s="46">
        <v>70</v>
      </c>
      <c r="H1954" s="3">
        <v>85</v>
      </c>
      <c r="I1954" s="46">
        <v>0</v>
      </c>
      <c r="J1954" s="55">
        <v>0</v>
      </c>
      <c r="K1954" s="1">
        <f t="shared" ref="K1954" si="1966">(IF(F1954="SELL",G1954-H1954,IF(F1954="BUY",H1954-G1954)))*E1954</f>
        <v>600</v>
      </c>
      <c r="L1954" s="51">
        <v>0</v>
      </c>
      <c r="M1954" s="52">
        <v>0</v>
      </c>
      <c r="N1954" s="2">
        <f t="shared" si="1960"/>
        <v>15</v>
      </c>
      <c r="O1954" s="2">
        <f t="shared" si="1904"/>
        <v>600</v>
      </c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</row>
    <row r="1955" spans="1:33" s="14" customFormat="1" ht="15" customHeight="1">
      <c r="A1955" s="10">
        <v>42914</v>
      </c>
      <c r="B1955" s="3" t="s">
        <v>54</v>
      </c>
      <c r="C1955" s="15" t="s">
        <v>47</v>
      </c>
      <c r="D1955" s="15">
        <v>800</v>
      </c>
      <c r="E1955" s="11">
        <v>1000</v>
      </c>
      <c r="F1955" s="3" t="s">
        <v>8</v>
      </c>
      <c r="G1955" s="46">
        <v>7</v>
      </c>
      <c r="H1955" s="3">
        <v>8</v>
      </c>
      <c r="I1955" s="46">
        <v>0</v>
      </c>
      <c r="J1955" s="55">
        <v>0</v>
      </c>
      <c r="K1955" s="1">
        <f t="shared" ref="K1955" si="1967">(IF(F1955="SELL",G1955-H1955,IF(F1955="BUY",H1955-G1955)))*E1955</f>
        <v>1000</v>
      </c>
      <c r="L1955" s="51">
        <v>0</v>
      </c>
      <c r="M1955" s="52">
        <v>0</v>
      </c>
      <c r="N1955" s="2">
        <f t="shared" si="1960"/>
        <v>1</v>
      </c>
      <c r="O1955" s="2">
        <f t="shared" si="1904"/>
        <v>1000</v>
      </c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</row>
    <row r="1956" spans="1:33" s="14" customFormat="1" ht="15" customHeight="1">
      <c r="A1956" s="10">
        <v>42913</v>
      </c>
      <c r="B1956" s="3" t="s">
        <v>83</v>
      </c>
      <c r="C1956" s="15" t="s">
        <v>46</v>
      </c>
      <c r="D1956" s="15">
        <v>23000</v>
      </c>
      <c r="E1956" s="11">
        <v>40</v>
      </c>
      <c r="F1956" s="3" t="s">
        <v>8</v>
      </c>
      <c r="G1956" s="46">
        <v>58</v>
      </c>
      <c r="H1956" s="3">
        <v>75</v>
      </c>
      <c r="I1956" s="46">
        <v>100</v>
      </c>
      <c r="J1956" s="55">
        <v>0</v>
      </c>
      <c r="K1956" s="1">
        <f t="shared" ref="K1956" si="1968">(IF(F1956="SELL",G1956-H1956,IF(F1956="BUY",H1956-G1956)))*E1956</f>
        <v>680</v>
      </c>
      <c r="L1956" s="51">
        <f t="shared" ref="L1956" si="1969">(IF(F1956="SELL",IF(I1956="",0,H1956-I1956),IF(F1956="BUY",IF(I1956="",0,I1956-H1956))))*E1956</f>
        <v>1000</v>
      </c>
      <c r="M1956" s="52">
        <v>0</v>
      </c>
      <c r="N1956" s="2">
        <f t="shared" si="1960"/>
        <v>42</v>
      </c>
      <c r="O1956" s="2">
        <f t="shared" si="1904"/>
        <v>1680</v>
      </c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</row>
    <row r="1957" spans="1:33" s="14" customFormat="1" ht="15" customHeight="1">
      <c r="A1957" s="10">
        <v>42913</v>
      </c>
      <c r="B1957" s="3" t="s">
        <v>83</v>
      </c>
      <c r="C1957" s="15" t="s">
        <v>47</v>
      </c>
      <c r="D1957" s="15">
        <v>23700</v>
      </c>
      <c r="E1957" s="11">
        <v>40</v>
      </c>
      <c r="F1957" s="3" t="s">
        <v>8</v>
      </c>
      <c r="G1957" s="46">
        <v>128</v>
      </c>
      <c r="H1957" s="3">
        <v>138</v>
      </c>
      <c r="I1957" s="46">
        <v>0</v>
      </c>
      <c r="J1957" s="55">
        <v>0</v>
      </c>
      <c r="K1957" s="1">
        <f t="shared" ref="K1957" si="1970">(IF(F1957="SELL",G1957-H1957,IF(F1957="BUY",H1957-G1957)))*E1957</f>
        <v>400</v>
      </c>
      <c r="L1957" s="51">
        <v>0</v>
      </c>
      <c r="M1957" s="52">
        <f>(IF(F1957="SELL",IF(J1957="",0,I1957-J1957),IF(F1957="BUY",IF(J1957="",0,(J1957-I1957)))))*E1957</f>
        <v>0</v>
      </c>
      <c r="N1957" s="2">
        <f t="shared" si="1960"/>
        <v>10</v>
      </c>
      <c r="O1957" s="2">
        <f t="shared" si="1904"/>
        <v>400</v>
      </c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</row>
    <row r="1958" spans="1:33" s="14" customFormat="1" ht="15" customHeight="1">
      <c r="A1958" s="10">
        <v>42909</v>
      </c>
      <c r="B1958" s="3" t="s">
        <v>38</v>
      </c>
      <c r="C1958" s="15" t="s">
        <v>47</v>
      </c>
      <c r="D1958" s="15">
        <v>7300</v>
      </c>
      <c r="E1958" s="11">
        <v>150</v>
      </c>
      <c r="F1958" s="3" t="s">
        <v>8</v>
      </c>
      <c r="G1958" s="46">
        <v>90</v>
      </c>
      <c r="H1958" s="3">
        <v>100</v>
      </c>
      <c r="I1958" s="46">
        <v>0</v>
      </c>
      <c r="J1958" s="55">
        <v>0</v>
      </c>
      <c r="K1958" s="1">
        <f t="shared" ref="K1958:K1959" si="1971">(IF(F1958="SELL",G1958-H1958,IF(F1958="BUY",H1958-G1958)))*E1958</f>
        <v>1500</v>
      </c>
      <c r="L1958" s="51">
        <v>0</v>
      </c>
      <c r="M1958" s="52">
        <f>(IF(F1958="SELL",IF(J1958="",0,I1958-J1958),IF(F1958="BUY",IF(J1958="",0,(J1958-I1958)))))*E1958</f>
        <v>0</v>
      </c>
      <c r="N1958" s="2">
        <f t="shared" si="1960"/>
        <v>10</v>
      </c>
      <c r="O1958" s="2">
        <f t="shared" si="1904"/>
        <v>1500</v>
      </c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</row>
    <row r="1959" spans="1:33" s="14" customFormat="1" ht="15" customHeight="1">
      <c r="A1959" s="10">
        <v>42908</v>
      </c>
      <c r="B1959" s="3" t="s">
        <v>56</v>
      </c>
      <c r="C1959" s="15" t="s">
        <v>47</v>
      </c>
      <c r="D1959" s="15">
        <v>23700</v>
      </c>
      <c r="E1959" s="11">
        <v>40</v>
      </c>
      <c r="F1959" s="3" t="s">
        <v>8</v>
      </c>
      <c r="G1959" s="46">
        <v>72</v>
      </c>
      <c r="H1959" s="3">
        <v>80</v>
      </c>
      <c r="I1959" s="46">
        <v>95</v>
      </c>
      <c r="J1959" s="55">
        <v>125</v>
      </c>
      <c r="K1959" s="1">
        <f t="shared" si="1971"/>
        <v>320</v>
      </c>
      <c r="L1959" s="51">
        <f t="shared" ref="L1959" si="1972">(IF(F1959="SELL",IF(I1959="",0,H1959-I1959),IF(F1959="BUY",IF(I1959="",0,I1959-H1959))))*E1959</f>
        <v>600</v>
      </c>
      <c r="M1959" s="52">
        <f>(IF(F1959="SELL",IF(J1959="",0,I1959-J1959),IF(F1959="BUY",IF(J1959="",0,(J1959-I1959)))))*E1959</f>
        <v>1200</v>
      </c>
      <c r="N1959" s="2">
        <f t="shared" si="1960"/>
        <v>53</v>
      </c>
      <c r="O1959" s="2">
        <f t="shared" si="1904"/>
        <v>2120</v>
      </c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</row>
    <row r="1960" spans="1:33" s="14" customFormat="1" ht="15" customHeight="1">
      <c r="A1960" s="10">
        <v>42908</v>
      </c>
      <c r="B1960" s="3" t="s">
        <v>113</v>
      </c>
      <c r="C1960" s="15" t="s">
        <v>46</v>
      </c>
      <c r="D1960" s="15">
        <v>520</v>
      </c>
      <c r="E1960" s="11">
        <v>2000</v>
      </c>
      <c r="F1960" s="3" t="s">
        <v>8</v>
      </c>
      <c r="G1960" s="46">
        <v>10</v>
      </c>
      <c r="H1960" s="3">
        <v>10.7</v>
      </c>
      <c r="I1960" s="46">
        <v>0</v>
      </c>
      <c r="J1960" s="55">
        <v>0</v>
      </c>
      <c r="K1960" s="1">
        <f t="shared" ref="K1960" si="1973">(IF(F1960="SELL",G1960-H1960,IF(F1960="BUY",H1960-G1960)))*E1960</f>
        <v>1399.9999999999986</v>
      </c>
      <c r="L1960" s="51">
        <v>0</v>
      </c>
      <c r="M1960" s="52">
        <v>0</v>
      </c>
      <c r="N1960" s="2">
        <f t="shared" si="1960"/>
        <v>0.69999999999999929</v>
      </c>
      <c r="O1960" s="2">
        <f t="shared" si="1904"/>
        <v>1399.9999999999986</v>
      </c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</row>
    <row r="1961" spans="1:33" s="14" customFormat="1" ht="15" customHeight="1">
      <c r="A1961" s="10">
        <v>42907</v>
      </c>
      <c r="B1961" s="3" t="s">
        <v>37</v>
      </c>
      <c r="C1961" s="15" t="s">
        <v>46</v>
      </c>
      <c r="D1961" s="15">
        <v>2400</v>
      </c>
      <c r="E1961" s="11">
        <v>250</v>
      </c>
      <c r="F1961" s="3" t="s">
        <v>8</v>
      </c>
      <c r="G1961" s="46">
        <v>30</v>
      </c>
      <c r="H1961" s="3">
        <v>30</v>
      </c>
      <c r="I1961" s="46">
        <v>0</v>
      </c>
      <c r="J1961" s="55">
        <v>0</v>
      </c>
      <c r="K1961" s="1">
        <f t="shared" ref="K1961" si="1974">(IF(F1961="SELL",G1961-H1961,IF(F1961="BUY",H1961-G1961)))*E1961</f>
        <v>0</v>
      </c>
      <c r="L1961" s="51">
        <v>0</v>
      </c>
      <c r="M1961" s="52">
        <v>0</v>
      </c>
      <c r="N1961" s="2">
        <f t="shared" si="1960"/>
        <v>0</v>
      </c>
      <c r="O1961" s="2">
        <f t="shared" si="1904"/>
        <v>0</v>
      </c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</row>
    <row r="1962" spans="1:33" s="14" customFormat="1" ht="15" customHeight="1">
      <c r="A1962" s="10">
        <v>42907</v>
      </c>
      <c r="B1962" s="3" t="s">
        <v>103</v>
      </c>
      <c r="C1962" s="15" t="s">
        <v>47</v>
      </c>
      <c r="D1962" s="15">
        <v>95</v>
      </c>
      <c r="E1962" s="11">
        <v>7000</v>
      </c>
      <c r="F1962" s="3" t="s">
        <v>8</v>
      </c>
      <c r="G1962" s="46">
        <v>1.5</v>
      </c>
      <c r="H1962" s="3">
        <v>1.5</v>
      </c>
      <c r="I1962" s="46">
        <v>0</v>
      </c>
      <c r="J1962" s="55">
        <v>0</v>
      </c>
      <c r="K1962" s="1">
        <f t="shared" ref="K1962" si="1975">(IF(F1962="SELL",G1962-H1962,IF(F1962="BUY",H1962-G1962)))*E1962</f>
        <v>0</v>
      </c>
      <c r="L1962" s="51">
        <v>0</v>
      </c>
      <c r="M1962" s="52">
        <v>0</v>
      </c>
      <c r="N1962" s="2">
        <f t="shared" si="1960"/>
        <v>0</v>
      </c>
      <c r="O1962" s="2">
        <f t="shared" si="1904"/>
        <v>0</v>
      </c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</row>
    <row r="1963" spans="1:33" s="14" customFormat="1" ht="15" customHeight="1">
      <c r="A1963" s="10">
        <v>42907</v>
      </c>
      <c r="B1963" s="3" t="s">
        <v>38</v>
      </c>
      <c r="C1963" s="15" t="s">
        <v>46</v>
      </c>
      <c r="D1963" s="15">
        <v>7200</v>
      </c>
      <c r="E1963" s="11">
        <v>150</v>
      </c>
      <c r="F1963" s="3" t="s">
        <v>8</v>
      </c>
      <c r="G1963" s="46">
        <v>65</v>
      </c>
      <c r="H1963" s="3">
        <v>49</v>
      </c>
      <c r="I1963" s="46">
        <v>0</v>
      </c>
      <c r="J1963" s="55">
        <v>0</v>
      </c>
      <c r="K1963" s="1">
        <f t="shared" ref="K1963" si="1976">(IF(F1963="SELL",G1963-H1963,IF(F1963="BUY",H1963-G1963)))*E1963</f>
        <v>-2400</v>
      </c>
      <c r="L1963" s="51">
        <v>0</v>
      </c>
      <c r="M1963" s="52">
        <v>0</v>
      </c>
      <c r="N1963" s="2">
        <f t="shared" si="1960"/>
        <v>-16</v>
      </c>
      <c r="O1963" s="2">
        <f t="shared" si="1904"/>
        <v>-2400</v>
      </c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</row>
    <row r="1964" spans="1:33" s="14" customFormat="1" ht="15" customHeight="1">
      <c r="A1964" s="10">
        <v>42907</v>
      </c>
      <c r="B1964" s="3" t="s">
        <v>56</v>
      </c>
      <c r="C1964" s="15" t="s">
        <v>46</v>
      </c>
      <c r="D1964" s="15">
        <v>23500</v>
      </c>
      <c r="E1964" s="11">
        <v>40</v>
      </c>
      <c r="F1964" s="3" t="s">
        <v>8</v>
      </c>
      <c r="G1964" s="46">
        <v>25</v>
      </c>
      <c r="H1964" s="3">
        <v>8</v>
      </c>
      <c r="I1964" s="46">
        <v>0</v>
      </c>
      <c r="J1964" s="55">
        <v>0</v>
      </c>
      <c r="K1964" s="1">
        <f t="shared" ref="K1964" si="1977">(IF(F1964="SELL",G1964-H1964,IF(F1964="BUY",H1964-G1964)))*E1964</f>
        <v>-680</v>
      </c>
      <c r="L1964" s="51">
        <v>0</v>
      </c>
      <c r="M1964" s="52">
        <v>0</v>
      </c>
      <c r="N1964" s="2">
        <f t="shared" si="1960"/>
        <v>-17</v>
      </c>
      <c r="O1964" s="2">
        <f t="shared" si="1904"/>
        <v>-680</v>
      </c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</row>
    <row r="1965" spans="1:33" s="14" customFormat="1" ht="15" customHeight="1">
      <c r="A1965" s="10">
        <v>42907</v>
      </c>
      <c r="B1965" s="3" t="s">
        <v>125</v>
      </c>
      <c r="C1965" s="15" t="s">
        <v>47</v>
      </c>
      <c r="D1965" s="15">
        <v>80</v>
      </c>
      <c r="E1965" s="11">
        <v>9000</v>
      </c>
      <c r="F1965" s="3" t="s">
        <v>8</v>
      </c>
      <c r="G1965" s="46">
        <v>1.7</v>
      </c>
      <c r="H1965" s="3">
        <v>2</v>
      </c>
      <c r="I1965" s="46">
        <v>2.25</v>
      </c>
      <c r="J1965" s="55">
        <v>3</v>
      </c>
      <c r="K1965" s="1">
        <f t="shared" ref="K1965" si="1978">(IF(F1965="SELL",G1965-H1965,IF(F1965="BUY",H1965-G1965)))*E1965</f>
        <v>2700.0000000000005</v>
      </c>
      <c r="L1965" s="51">
        <f t="shared" ref="L1965" si="1979">(IF(F1965="SELL",IF(I1965="",0,H1965-I1965),IF(F1965="BUY",IF(I1965="",0,I1965-H1965))))*E1965</f>
        <v>2250</v>
      </c>
      <c r="M1965" s="52">
        <f>(IF(F1965="SELL",IF(J1965="",0,I1965-J1965),IF(F1965="BUY",IF(J1965="",0,(J1965-I1965)))))*E1965</f>
        <v>6750</v>
      </c>
      <c r="N1965" s="2">
        <f t="shared" si="1960"/>
        <v>1.3</v>
      </c>
      <c r="O1965" s="2">
        <f t="shared" si="1904"/>
        <v>11700</v>
      </c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</row>
    <row r="1966" spans="1:33" s="14" customFormat="1" ht="15" customHeight="1">
      <c r="A1966" s="10">
        <v>42906</v>
      </c>
      <c r="B1966" s="3" t="s">
        <v>56</v>
      </c>
      <c r="C1966" s="15" t="s">
        <v>47</v>
      </c>
      <c r="D1966" s="15">
        <v>23700</v>
      </c>
      <c r="E1966" s="11">
        <v>40</v>
      </c>
      <c r="F1966" s="3" t="s">
        <v>8</v>
      </c>
      <c r="G1966" s="46">
        <v>95</v>
      </c>
      <c r="H1966" s="3">
        <v>105</v>
      </c>
      <c r="I1966" s="46">
        <v>125</v>
      </c>
      <c r="J1966" s="55">
        <v>0</v>
      </c>
      <c r="K1966" s="1">
        <f t="shared" ref="K1966" si="1980">(IF(F1966="SELL",G1966-H1966,IF(F1966="BUY",H1966-G1966)))*E1966</f>
        <v>400</v>
      </c>
      <c r="L1966" s="51">
        <f t="shared" ref="L1966" si="1981">(IF(F1966="SELL",IF(I1966="",0,H1966-I1966),IF(F1966="BUY",IF(I1966="",0,I1966-H1966))))*E1966</f>
        <v>800</v>
      </c>
      <c r="M1966" s="52">
        <v>0</v>
      </c>
      <c r="N1966" s="2">
        <f t="shared" si="1960"/>
        <v>30</v>
      </c>
      <c r="O1966" s="2">
        <f t="shared" si="1904"/>
        <v>1200</v>
      </c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</row>
    <row r="1967" spans="1:33" s="14" customFormat="1" ht="15" customHeight="1">
      <c r="A1967" s="10">
        <v>42906</v>
      </c>
      <c r="B1967" s="3" t="s">
        <v>34</v>
      </c>
      <c r="C1967" s="15" t="s">
        <v>47</v>
      </c>
      <c r="D1967" s="15">
        <v>200</v>
      </c>
      <c r="E1967" s="11">
        <v>3500</v>
      </c>
      <c r="F1967" s="3" t="s">
        <v>8</v>
      </c>
      <c r="G1967" s="46">
        <v>4.5</v>
      </c>
      <c r="H1967" s="3">
        <v>4.9000000000000004</v>
      </c>
      <c r="I1967" s="46">
        <v>0</v>
      </c>
      <c r="J1967" s="55">
        <v>0</v>
      </c>
      <c r="K1967" s="1">
        <f t="shared" ref="K1967" si="1982">(IF(F1967="SELL",G1967-H1967,IF(F1967="BUY",H1967-G1967)))*E1967</f>
        <v>1400.0000000000011</v>
      </c>
      <c r="L1967" s="51">
        <v>0</v>
      </c>
      <c r="M1967" s="52">
        <v>0</v>
      </c>
      <c r="N1967" s="2">
        <f t="shared" si="1960"/>
        <v>0.4000000000000003</v>
      </c>
      <c r="O1967" s="2">
        <f t="shared" si="1904"/>
        <v>1400.0000000000011</v>
      </c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</row>
    <row r="1968" spans="1:33" s="14" customFormat="1" ht="15" customHeight="1">
      <c r="A1968" s="10">
        <v>42905</v>
      </c>
      <c r="B1968" s="3" t="s">
        <v>13</v>
      </c>
      <c r="C1968" s="15" t="s">
        <v>46</v>
      </c>
      <c r="D1968" s="15">
        <v>840</v>
      </c>
      <c r="E1968" s="11">
        <v>600</v>
      </c>
      <c r="F1968" s="3" t="s">
        <v>8</v>
      </c>
      <c r="G1968" s="46">
        <v>12</v>
      </c>
      <c r="H1968" s="3">
        <v>12</v>
      </c>
      <c r="I1968" s="46">
        <v>0</v>
      </c>
      <c r="J1968" s="55">
        <v>0</v>
      </c>
      <c r="K1968" s="1">
        <f t="shared" ref="K1968" si="1983">(IF(F1968="SELL",G1968-H1968,IF(F1968="BUY",H1968-G1968)))*E1968</f>
        <v>0</v>
      </c>
      <c r="L1968" s="51">
        <v>0</v>
      </c>
      <c r="M1968" s="52">
        <v>0</v>
      </c>
      <c r="N1968" s="2">
        <f t="shared" si="1960"/>
        <v>0</v>
      </c>
      <c r="O1968" s="2">
        <f t="shared" si="1904"/>
        <v>0</v>
      </c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</row>
    <row r="1969" spans="1:33" s="14" customFormat="1" ht="15" customHeight="1">
      <c r="A1969" s="10">
        <v>42902</v>
      </c>
      <c r="B1969" s="3" t="s">
        <v>23</v>
      </c>
      <c r="C1969" s="15" t="s">
        <v>47</v>
      </c>
      <c r="D1969" s="15">
        <v>480</v>
      </c>
      <c r="E1969" s="11">
        <v>1300</v>
      </c>
      <c r="F1969" s="3" t="s">
        <v>8</v>
      </c>
      <c r="G1969" s="46">
        <v>17</v>
      </c>
      <c r="H1969" s="3">
        <v>14</v>
      </c>
      <c r="I1969" s="46">
        <v>0</v>
      </c>
      <c r="J1969" s="55">
        <v>0</v>
      </c>
      <c r="K1969" s="1">
        <f t="shared" ref="K1969" si="1984">(IF(F1969="SELL",G1969-H1969,IF(F1969="BUY",H1969-G1969)))*E1969</f>
        <v>-3900</v>
      </c>
      <c r="L1969" s="51">
        <v>0</v>
      </c>
      <c r="M1969" s="52">
        <v>0</v>
      </c>
      <c r="N1969" s="2">
        <f t="shared" si="1960"/>
        <v>-3</v>
      </c>
      <c r="O1969" s="2">
        <f t="shared" ref="O1969:O2032" si="1985">N1969*E1969</f>
        <v>-3900</v>
      </c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</row>
    <row r="1970" spans="1:33" s="14" customFormat="1" ht="15" customHeight="1">
      <c r="A1970" s="10">
        <v>42902</v>
      </c>
      <c r="B1970" s="3" t="s">
        <v>30</v>
      </c>
      <c r="C1970" s="15" t="s">
        <v>47</v>
      </c>
      <c r="D1970" s="15">
        <v>320</v>
      </c>
      <c r="E1970" s="11">
        <v>2500</v>
      </c>
      <c r="F1970" s="3" t="s">
        <v>8</v>
      </c>
      <c r="G1970" s="46">
        <v>4.5</v>
      </c>
      <c r="H1970" s="3">
        <v>4.5</v>
      </c>
      <c r="I1970" s="46">
        <v>0</v>
      </c>
      <c r="J1970" s="55">
        <v>0</v>
      </c>
      <c r="K1970" s="1">
        <f t="shared" ref="K1970" si="1986">(IF(F1970="SELL",G1970-H1970,IF(F1970="BUY",H1970-G1970)))*E1970</f>
        <v>0</v>
      </c>
      <c r="L1970" s="51">
        <v>0</v>
      </c>
      <c r="M1970" s="52">
        <v>0</v>
      </c>
      <c r="N1970" s="2">
        <f t="shared" si="1960"/>
        <v>0</v>
      </c>
      <c r="O1970" s="2">
        <f t="shared" si="1985"/>
        <v>0</v>
      </c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</row>
    <row r="1971" spans="1:33" s="14" customFormat="1" ht="15" customHeight="1">
      <c r="A1971" s="10">
        <v>42902</v>
      </c>
      <c r="B1971" s="3" t="s">
        <v>39</v>
      </c>
      <c r="C1971" s="15" t="s">
        <v>47</v>
      </c>
      <c r="D1971" s="15">
        <v>1400</v>
      </c>
      <c r="E1971" s="11">
        <v>500</v>
      </c>
      <c r="F1971" s="3" t="s">
        <v>8</v>
      </c>
      <c r="G1971" s="46">
        <v>20</v>
      </c>
      <c r="H1971" s="3">
        <v>20</v>
      </c>
      <c r="I1971" s="46">
        <v>0</v>
      </c>
      <c r="J1971" s="55">
        <v>0</v>
      </c>
      <c r="K1971" s="1">
        <f t="shared" ref="K1971" si="1987">(IF(F1971="SELL",G1971-H1971,IF(F1971="BUY",H1971-G1971)))*E1971</f>
        <v>0</v>
      </c>
      <c r="L1971" s="51">
        <v>0</v>
      </c>
      <c r="M1971" s="52">
        <v>0</v>
      </c>
      <c r="N1971" s="2">
        <f t="shared" si="1960"/>
        <v>0</v>
      </c>
      <c r="O1971" s="2">
        <f t="shared" si="1985"/>
        <v>0</v>
      </c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</row>
    <row r="1972" spans="1:33" s="14" customFormat="1" ht="15" customHeight="1">
      <c r="A1972" s="10">
        <v>42902</v>
      </c>
      <c r="B1972" s="3" t="s">
        <v>111</v>
      </c>
      <c r="C1972" s="15" t="s">
        <v>47</v>
      </c>
      <c r="D1972" s="15">
        <v>1100</v>
      </c>
      <c r="E1972" s="11">
        <v>550</v>
      </c>
      <c r="F1972" s="3" t="s">
        <v>8</v>
      </c>
      <c r="G1972" s="46">
        <v>22</v>
      </c>
      <c r="H1972" s="3">
        <v>26</v>
      </c>
      <c r="I1972" s="46">
        <v>30</v>
      </c>
      <c r="J1972" s="55">
        <v>36</v>
      </c>
      <c r="K1972" s="1">
        <f t="shared" ref="K1972" si="1988">(IF(F1972="SELL",G1972-H1972,IF(F1972="BUY",H1972-G1972)))*E1972</f>
        <v>2200</v>
      </c>
      <c r="L1972" s="51">
        <f t="shared" ref="L1972" si="1989">(IF(F1972="SELL",IF(I1972="",0,H1972-I1972),IF(F1972="BUY",IF(I1972="",0,I1972-H1972))))*E1972</f>
        <v>2200</v>
      </c>
      <c r="M1972" s="52">
        <f>(IF(F1972="SELL",IF(J1972="",0,I1972-J1972),IF(F1972="BUY",IF(J1972="",0,(J1972-I1972)))))*E1972</f>
        <v>3300</v>
      </c>
      <c r="N1972" s="2">
        <f t="shared" si="1960"/>
        <v>14</v>
      </c>
      <c r="O1972" s="2">
        <f t="shared" si="1985"/>
        <v>7700</v>
      </c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</row>
    <row r="1973" spans="1:33" s="14" customFormat="1" ht="15" customHeight="1">
      <c r="A1973" s="10">
        <v>42902</v>
      </c>
      <c r="B1973" s="3" t="s">
        <v>83</v>
      </c>
      <c r="C1973" s="15" t="s">
        <v>47</v>
      </c>
      <c r="D1973" s="15">
        <v>23500</v>
      </c>
      <c r="E1973" s="11">
        <v>40</v>
      </c>
      <c r="F1973" s="3" t="s">
        <v>8</v>
      </c>
      <c r="G1973" s="46">
        <v>95</v>
      </c>
      <c r="H1973" s="3">
        <v>105</v>
      </c>
      <c r="I1973" s="46">
        <v>0</v>
      </c>
      <c r="J1973" s="55">
        <v>0</v>
      </c>
      <c r="K1973" s="1">
        <f t="shared" ref="K1973" si="1990">(IF(F1973="SELL",G1973-H1973,IF(F1973="BUY",H1973-G1973)))*E1973</f>
        <v>400</v>
      </c>
      <c r="L1973" s="51">
        <v>0</v>
      </c>
      <c r="M1973" s="52">
        <v>0</v>
      </c>
      <c r="N1973" s="2">
        <f t="shared" si="1960"/>
        <v>10</v>
      </c>
      <c r="O1973" s="2">
        <f t="shared" si="1985"/>
        <v>400</v>
      </c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</row>
    <row r="1974" spans="1:33" s="14" customFormat="1" ht="15" customHeight="1">
      <c r="A1974" s="10">
        <v>42902</v>
      </c>
      <c r="B1974" s="3" t="s">
        <v>38</v>
      </c>
      <c r="C1974" s="15" t="s">
        <v>47</v>
      </c>
      <c r="D1974" s="15">
        <v>7200</v>
      </c>
      <c r="E1974" s="11">
        <v>150</v>
      </c>
      <c r="F1974" s="3" t="s">
        <v>8</v>
      </c>
      <c r="G1974" s="46">
        <v>52</v>
      </c>
      <c r="H1974" s="3">
        <v>52</v>
      </c>
      <c r="I1974" s="46">
        <v>0</v>
      </c>
      <c r="J1974" s="55">
        <v>0</v>
      </c>
      <c r="K1974" s="1">
        <f t="shared" ref="K1974" si="1991">(IF(F1974="SELL",G1974-H1974,IF(F1974="BUY",H1974-G1974)))*E1974</f>
        <v>0</v>
      </c>
      <c r="L1974" s="51">
        <v>0</v>
      </c>
      <c r="M1974" s="52">
        <v>0</v>
      </c>
      <c r="N1974" s="2">
        <f t="shared" si="1960"/>
        <v>0</v>
      </c>
      <c r="O1974" s="2">
        <f t="shared" si="1985"/>
        <v>0</v>
      </c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</row>
    <row r="1975" spans="1:33" s="14" customFormat="1" ht="15" customHeight="1">
      <c r="A1975" s="10">
        <v>42901</v>
      </c>
      <c r="B1975" s="3" t="s">
        <v>76</v>
      </c>
      <c r="C1975" s="15" t="s">
        <v>47</v>
      </c>
      <c r="D1975" s="15">
        <v>9600</v>
      </c>
      <c r="E1975" s="11">
        <v>75</v>
      </c>
      <c r="F1975" s="3" t="s">
        <v>8</v>
      </c>
      <c r="G1975" s="46">
        <v>75</v>
      </c>
      <c r="H1975" s="3">
        <v>75</v>
      </c>
      <c r="I1975" s="46">
        <v>0</v>
      </c>
      <c r="J1975" s="55">
        <v>0</v>
      </c>
      <c r="K1975" s="1">
        <f t="shared" ref="K1975" si="1992">(IF(F1975="SELL",G1975-H1975,IF(F1975="BUY",H1975-G1975)))*E1975</f>
        <v>0</v>
      </c>
      <c r="L1975" s="51">
        <v>0</v>
      </c>
      <c r="M1975" s="52">
        <v>0</v>
      </c>
      <c r="N1975" s="2">
        <f t="shared" si="1960"/>
        <v>0</v>
      </c>
      <c r="O1975" s="2">
        <f t="shared" si="1985"/>
        <v>0</v>
      </c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</row>
    <row r="1976" spans="1:33" s="14" customFormat="1" ht="15" customHeight="1">
      <c r="A1976" s="10">
        <v>42901</v>
      </c>
      <c r="B1976" s="3" t="s">
        <v>33</v>
      </c>
      <c r="C1976" s="15" t="s">
        <v>47</v>
      </c>
      <c r="D1976" s="15">
        <v>620</v>
      </c>
      <c r="E1976" s="11">
        <v>1700</v>
      </c>
      <c r="F1976" s="3" t="s">
        <v>8</v>
      </c>
      <c r="G1976" s="46">
        <v>12</v>
      </c>
      <c r="H1976" s="3">
        <v>12</v>
      </c>
      <c r="I1976" s="46">
        <v>0</v>
      </c>
      <c r="J1976" s="55">
        <v>0</v>
      </c>
      <c r="K1976" s="1">
        <f t="shared" ref="K1976" si="1993">(IF(F1976="SELL",G1976-H1976,IF(F1976="BUY",H1976-G1976)))*E1976</f>
        <v>0</v>
      </c>
      <c r="L1976" s="51">
        <v>0</v>
      </c>
      <c r="M1976" s="52">
        <v>0</v>
      </c>
      <c r="N1976" s="2">
        <f t="shared" si="1960"/>
        <v>0</v>
      </c>
      <c r="O1976" s="2">
        <f t="shared" si="1985"/>
        <v>0</v>
      </c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</row>
    <row r="1977" spans="1:33" s="14" customFormat="1" ht="15" customHeight="1">
      <c r="A1977" s="10">
        <v>42901</v>
      </c>
      <c r="B1977" s="3" t="s">
        <v>79</v>
      </c>
      <c r="C1977" s="15" t="s">
        <v>47</v>
      </c>
      <c r="D1977" s="15">
        <v>210</v>
      </c>
      <c r="E1977" s="11">
        <v>3500</v>
      </c>
      <c r="F1977" s="3" t="s">
        <v>8</v>
      </c>
      <c r="G1977" s="46">
        <v>9</v>
      </c>
      <c r="H1977" s="3">
        <v>9</v>
      </c>
      <c r="I1977" s="46">
        <v>0</v>
      </c>
      <c r="J1977" s="55">
        <v>0</v>
      </c>
      <c r="K1977" s="1">
        <f t="shared" ref="K1977" si="1994">(IF(F1977="SELL",G1977-H1977,IF(F1977="BUY",H1977-G1977)))*E1977</f>
        <v>0</v>
      </c>
      <c r="L1977" s="51">
        <v>0</v>
      </c>
      <c r="M1977" s="52">
        <v>0</v>
      </c>
      <c r="N1977" s="2">
        <f t="shared" si="1960"/>
        <v>0</v>
      </c>
      <c r="O1977" s="2">
        <f t="shared" si="1985"/>
        <v>0</v>
      </c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</row>
    <row r="1978" spans="1:33" s="14" customFormat="1" ht="15" customHeight="1">
      <c r="A1978" s="10">
        <v>42901</v>
      </c>
      <c r="B1978" s="3" t="s">
        <v>32</v>
      </c>
      <c r="C1978" s="15" t="s">
        <v>47</v>
      </c>
      <c r="D1978" s="15">
        <v>23500</v>
      </c>
      <c r="E1978" s="11">
        <v>700</v>
      </c>
      <c r="F1978" s="3" t="s">
        <v>8</v>
      </c>
      <c r="G1978" s="46">
        <v>12</v>
      </c>
      <c r="H1978" s="3">
        <v>14</v>
      </c>
      <c r="I1978" s="46">
        <v>18</v>
      </c>
      <c r="J1978" s="55">
        <v>0</v>
      </c>
      <c r="K1978" s="1">
        <f t="shared" ref="K1978" si="1995">(IF(F1978="SELL",G1978-H1978,IF(F1978="BUY",H1978-G1978)))*E1978</f>
        <v>1400</v>
      </c>
      <c r="L1978" s="51">
        <f t="shared" ref="L1978:L1981" si="1996">(IF(F1978="SELL",IF(I1978="",0,H1978-I1978),IF(F1978="BUY",IF(I1978="",0,I1978-H1978))))*E1978</f>
        <v>2800</v>
      </c>
      <c r="M1978" s="52">
        <v>0</v>
      </c>
      <c r="N1978" s="2">
        <f t="shared" si="1960"/>
        <v>6</v>
      </c>
      <c r="O1978" s="2">
        <f t="shared" si="1985"/>
        <v>4200</v>
      </c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</row>
    <row r="1979" spans="1:33" s="14" customFormat="1" ht="15" customHeight="1">
      <c r="A1979" s="10">
        <v>42901</v>
      </c>
      <c r="B1979" s="3" t="s">
        <v>83</v>
      </c>
      <c r="C1979" s="15" t="s">
        <v>47</v>
      </c>
      <c r="D1979" s="15">
        <v>23500</v>
      </c>
      <c r="E1979" s="11">
        <v>40</v>
      </c>
      <c r="F1979" s="3" t="s">
        <v>8</v>
      </c>
      <c r="G1979" s="46">
        <v>25</v>
      </c>
      <c r="H1979" s="3">
        <v>5</v>
      </c>
      <c r="I1979" s="46">
        <v>0</v>
      </c>
      <c r="J1979" s="55">
        <v>0</v>
      </c>
      <c r="K1979" s="1">
        <f t="shared" ref="K1979" si="1997">(IF(F1979="SELL",G1979-H1979,IF(F1979="BUY",H1979-G1979)))*E1979</f>
        <v>-800</v>
      </c>
      <c r="L1979" s="51">
        <v>0</v>
      </c>
      <c r="M1979" s="52">
        <v>0</v>
      </c>
      <c r="N1979" s="2">
        <f t="shared" si="1960"/>
        <v>-20</v>
      </c>
      <c r="O1979" s="2">
        <f t="shared" si="1985"/>
        <v>-800</v>
      </c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</row>
    <row r="1980" spans="1:33" s="14" customFormat="1" ht="15" customHeight="1">
      <c r="A1980" s="10">
        <v>42901</v>
      </c>
      <c r="B1980" s="3" t="s">
        <v>30</v>
      </c>
      <c r="C1980" s="15" t="s">
        <v>47</v>
      </c>
      <c r="D1980" s="15">
        <v>320</v>
      </c>
      <c r="E1980" s="11">
        <v>2500</v>
      </c>
      <c r="F1980" s="3" t="s">
        <v>8</v>
      </c>
      <c r="G1980" s="46">
        <v>6</v>
      </c>
      <c r="H1980" s="3">
        <v>6.6</v>
      </c>
      <c r="I1980" s="46">
        <v>7.8</v>
      </c>
      <c r="J1980" s="55">
        <v>0</v>
      </c>
      <c r="K1980" s="1">
        <f t="shared" ref="K1980" si="1998">(IF(F1980="SELL",G1980-H1980,IF(F1980="BUY",H1980-G1980)))*E1980</f>
        <v>1499.9999999999991</v>
      </c>
      <c r="L1980" s="51">
        <f t="shared" si="1996"/>
        <v>3000.0000000000005</v>
      </c>
      <c r="M1980" s="52">
        <v>0</v>
      </c>
      <c r="N1980" s="2">
        <f t="shared" si="1960"/>
        <v>1.8</v>
      </c>
      <c r="O1980" s="2">
        <f t="shared" si="1985"/>
        <v>4500</v>
      </c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</row>
    <row r="1981" spans="1:33" s="14" customFormat="1" ht="15" customHeight="1">
      <c r="A1981" s="10">
        <v>42900</v>
      </c>
      <c r="B1981" s="3" t="s">
        <v>102</v>
      </c>
      <c r="C1981" s="15" t="s">
        <v>47</v>
      </c>
      <c r="D1981" s="15">
        <v>350</v>
      </c>
      <c r="E1981" s="11">
        <v>3084</v>
      </c>
      <c r="F1981" s="3" t="s">
        <v>8</v>
      </c>
      <c r="G1981" s="46">
        <v>11</v>
      </c>
      <c r="H1981" s="3">
        <v>11.5</v>
      </c>
      <c r="I1981" s="46">
        <v>12.5</v>
      </c>
      <c r="J1981" s="55">
        <v>0</v>
      </c>
      <c r="K1981" s="1">
        <f t="shared" ref="K1981" si="1999">(IF(F1981="SELL",G1981-H1981,IF(F1981="BUY",H1981-G1981)))*E1981</f>
        <v>1542</v>
      </c>
      <c r="L1981" s="51">
        <f t="shared" si="1996"/>
        <v>3084</v>
      </c>
      <c r="M1981" s="52">
        <v>0</v>
      </c>
      <c r="N1981" s="2">
        <f t="shared" si="1960"/>
        <v>1.5</v>
      </c>
      <c r="O1981" s="2">
        <f t="shared" si="1985"/>
        <v>4626</v>
      </c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</row>
    <row r="1982" spans="1:33" s="14" customFormat="1" ht="15" customHeight="1">
      <c r="A1982" s="10">
        <v>42900</v>
      </c>
      <c r="B1982" s="3" t="s">
        <v>83</v>
      </c>
      <c r="C1982" s="15" t="s">
        <v>47</v>
      </c>
      <c r="D1982" s="15">
        <v>23600</v>
      </c>
      <c r="E1982" s="11">
        <v>40</v>
      </c>
      <c r="F1982" s="3" t="s">
        <v>8</v>
      </c>
      <c r="G1982" s="46">
        <v>60</v>
      </c>
      <c r="H1982" s="3">
        <v>30</v>
      </c>
      <c r="I1982" s="46">
        <v>0</v>
      </c>
      <c r="J1982" s="55">
        <v>0</v>
      </c>
      <c r="K1982" s="1">
        <f t="shared" ref="K1982" si="2000">(IF(F1982="SELL",G1982-H1982,IF(F1982="BUY",H1982-G1982)))*E1982</f>
        <v>-1200</v>
      </c>
      <c r="L1982" s="51">
        <v>0</v>
      </c>
      <c r="M1982" s="52">
        <v>0</v>
      </c>
      <c r="N1982" s="2">
        <f t="shared" si="1960"/>
        <v>-30</v>
      </c>
      <c r="O1982" s="2">
        <f t="shared" si="1985"/>
        <v>-1200</v>
      </c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</row>
    <row r="1983" spans="1:33" s="14" customFormat="1" ht="15" customHeight="1">
      <c r="A1983" s="10">
        <v>42900</v>
      </c>
      <c r="B1983" s="3" t="s">
        <v>25</v>
      </c>
      <c r="C1983" s="15" t="s">
        <v>47</v>
      </c>
      <c r="D1983" s="15">
        <v>145</v>
      </c>
      <c r="E1983" s="11">
        <v>5000</v>
      </c>
      <c r="F1983" s="3" t="s">
        <v>8</v>
      </c>
      <c r="G1983" s="46">
        <v>2.5</v>
      </c>
      <c r="H1983" s="3">
        <v>2.5</v>
      </c>
      <c r="I1983" s="46">
        <v>0</v>
      </c>
      <c r="J1983" s="55">
        <v>0</v>
      </c>
      <c r="K1983" s="1">
        <f t="shared" ref="K1983" si="2001">(IF(F1983="SELL",G1983-H1983,IF(F1983="BUY",H1983-G1983)))*E1983</f>
        <v>0</v>
      </c>
      <c r="L1983" s="51">
        <v>0</v>
      </c>
      <c r="M1983" s="52">
        <v>0</v>
      </c>
      <c r="N1983" s="2">
        <f t="shared" si="1960"/>
        <v>0</v>
      </c>
      <c r="O1983" s="2">
        <f t="shared" si="1985"/>
        <v>0</v>
      </c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</row>
    <row r="1984" spans="1:33" s="14" customFormat="1" ht="15" customHeight="1">
      <c r="A1984" s="10">
        <v>42899</v>
      </c>
      <c r="B1984" s="3" t="s">
        <v>33</v>
      </c>
      <c r="C1984" s="15" t="s">
        <v>47</v>
      </c>
      <c r="D1984" s="15">
        <v>600</v>
      </c>
      <c r="E1984" s="11">
        <v>1500</v>
      </c>
      <c r="F1984" s="3" t="s">
        <v>8</v>
      </c>
      <c r="G1984" s="46">
        <v>18</v>
      </c>
      <c r="H1984" s="3">
        <v>19</v>
      </c>
      <c r="I1984" s="46">
        <v>21</v>
      </c>
      <c r="J1984" s="55">
        <v>0</v>
      </c>
      <c r="K1984" s="1">
        <f t="shared" ref="K1984" si="2002">(IF(F1984="SELL",G1984-H1984,IF(F1984="BUY",H1984-G1984)))*E1984</f>
        <v>1500</v>
      </c>
      <c r="L1984" s="51">
        <f t="shared" ref="L1984" si="2003">(IF(F1984="SELL",IF(I1984="",0,H1984-I1984),IF(F1984="BUY",IF(I1984="",0,I1984-H1984))))*E1984</f>
        <v>3000</v>
      </c>
      <c r="M1984" s="52">
        <v>0</v>
      </c>
      <c r="N1984" s="2">
        <f t="shared" si="1960"/>
        <v>3</v>
      </c>
      <c r="O1984" s="2">
        <f t="shared" si="1985"/>
        <v>4500</v>
      </c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</row>
    <row r="1985" spans="1:33" s="14" customFormat="1" ht="15" customHeight="1">
      <c r="A1985" s="10">
        <v>42899</v>
      </c>
      <c r="B1985" s="3" t="s">
        <v>83</v>
      </c>
      <c r="C1985" s="15" t="s">
        <v>47</v>
      </c>
      <c r="D1985" s="15">
        <v>23600</v>
      </c>
      <c r="E1985" s="11">
        <v>40</v>
      </c>
      <c r="F1985" s="3" t="s">
        <v>8</v>
      </c>
      <c r="G1985" s="46">
        <v>70</v>
      </c>
      <c r="H1985" s="3">
        <v>80</v>
      </c>
      <c r="I1985" s="46">
        <v>0</v>
      </c>
      <c r="J1985" s="55">
        <v>0</v>
      </c>
      <c r="K1985" s="1">
        <f t="shared" ref="K1985" si="2004">(IF(F1985="SELL",G1985-H1985,IF(F1985="BUY",H1985-G1985)))*E1985</f>
        <v>400</v>
      </c>
      <c r="L1985" s="51">
        <v>0</v>
      </c>
      <c r="M1985" s="52">
        <f>(IF(F1985="SELL",IF(J1985="",0,I1985-J1985),IF(F1985="BUY",IF(J1985="",0,(J1985-I1985)))))*E1985</f>
        <v>0</v>
      </c>
      <c r="N1985" s="2">
        <f t="shared" si="1960"/>
        <v>10</v>
      </c>
      <c r="O1985" s="2">
        <f t="shared" si="1985"/>
        <v>400</v>
      </c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</row>
    <row r="1986" spans="1:33" s="14" customFormat="1" ht="15" customHeight="1">
      <c r="A1986" s="10">
        <v>42899</v>
      </c>
      <c r="B1986" s="3" t="s">
        <v>30</v>
      </c>
      <c r="C1986" s="15" t="s">
        <v>47</v>
      </c>
      <c r="D1986" s="15">
        <v>320</v>
      </c>
      <c r="E1986" s="11">
        <v>2500</v>
      </c>
      <c r="F1986" s="3" t="s">
        <v>8</v>
      </c>
      <c r="G1986" s="46">
        <v>8</v>
      </c>
      <c r="H1986" s="3">
        <v>8.6</v>
      </c>
      <c r="I1986" s="46">
        <v>0</v>
      </c>
      <c r="J1986" s="55">
        <v>0</v>
      </c>
      <c r="K1986" s="1">
        <f t="shared" ref="K1986" si="2005">(IF(F1986="SELL",G1986-H1986,IF(F1986="BUY",H1986-G1986)))*E1986</f>
        <v>1499.9999999999991</v>
      </c>
      <c r="L1986" s="51">
        <v>0</v>
      </c>
      <c r="M1986" s="52">
        <f>(IF(F1986="SELL",IF(J1986="",0,I1986-J1986),IF(F1986="BUY",IF(J1986="",0,(J1986-I1986)))))*E1986</f>
        <v>0</v>
      </c>
      <c r="N1986" s="2">
        <f t="shared" si="1960"/>
        <v>0.59999999999999964</v>
      </c>
      <c r="O1986" s="2">
        <f t="shared" si="1985"/>
        <v>1499.9999999999991</v>
      </c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</row>
    <row r="1987" spans="1:33" s="14" customFormat="1" ht="15" customHeight="1">
      <c r="A1987" s="10">
        <v>42895</v>
      </c>
      <c r="B1987" s="3" t="s">
        <v>38</v>
      </c>
      <c r="C1987" s="15" t="s">
        <v>47</v>
      </c>
      <c r="D1987" s="15">
        <v>7400</v>
      </c>
      <c r="E1987" s="11">
        <v>150</v>
      </c>
      <c r="F1987" s="3" t="s">
        <v>8</v>
      </c>
      <c r="G1987" s="46">
        <v>115</v>
      </c>
      <c r="H1987" s="3">
        <v>125</v>
      </c>
      <c r="I1987" s="46">
        <v>135</v>
      </c>
      <c r="J1987" s="55">
        <v>150</v>
      </c>
      <c r="K1987" s="1">
        <f t="shared" ref="K1987" si="2006">(IF(F1987="SELL",G1987-H1987,IF(F1987="BUY",H1987-G1987)))*E1987</f>
        <v>1500</v>
      </c>
      <c r="L1987" s="51">
        <f t="shared" ref="L1987" si="2007">(IF(F1987="SELL",IF(I1987="",0,H1987-I1987),IF(F1987="BUY",IF(I1987="",0,I1987-H1987))))*E1987</f>
        <v>1500</v>
      </c>
      <c r="M1987" s="52">
        <f>(IF(F1987="SELL",IF(J1987="",0,I1987-J1987),IF(F1987="BUY",IF(J1987="",0,(J1987-I1987)))))*E1987</f>
        <v>2250</v>
      </c>
      <c r="N1987" s="2">
        <f t="shared" si="1960"/>
        <v>35</v>
      </c>
      <c r="O1987" s="2">
        <f t="shared" si="1985"/>
        <v>5250</v>
      </c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</row>
    <row r="1988" spans="1:33" s="14" customFormat="1" ht="15" customHeight="1">
      <c r="A1988" s="10">
        <v>42895</v>
      </c>
      <c r="B1988" s="3" t="s">
        <v>63</v>
      </c>
      <c r="C1988" s="15" t="s">
        <v>46</v>
      </c>
      <c r="D1988" s="15">
        <v>520</v>
      </c>
      <c r="E1988" s="11">
        <v>1050</v>
      </c>
      <c r="F1988" s="3" t="s">
        <v>8</v>
      </c>
      <c r="G1988" s="46">
        <v>11</v>
      </c>
      <c r="H1988" s="3">
        <v>11</v>
      </c>
      <c r="I1988" s="46">
        <v>0</v>
      </c>
      <c r="J1988" s="55">
        <v>0</v>
      </c>
      <c r="K1988" s="1">
        <f t="shared" ref="K1988" si="2008">(IF(F1988="SELL",G1988-H1988,IF(F1988="BUY",H1988-G1988)))*E1988</f>
        <v>0</v>
      </c>
      <c r="L1988" s="51">
        <v>0</v>
      </c>
      <c r="M1988" s="52">
        <v>0</v>
      </c>
      <c r="N1988" s="2">
        <f t="shared" si="1960"/>
        <v>0</v>
      </c>
      <c r="O1988" s="2">
        <f t="shared" si="1985"/>
        <v>0</v>
      </c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</row>
    <row r="1989" spans="1:33" s="14" customFormat="1" ht="15" customHeight="1">
      <c r="A1989" s="10">
        <v>42895</v>
      </c>
      <c r="B1989" s="3" t="s">
        <v>76</v>
      </c>
      <c r="C1989" s="15" t="s">
        <v>46</v>
      </c>
      <c r="D1989" s="15">
        <v>9500</v>
      </c>
      <c r="E1989" s="11">
        <v>40</v>
      </c>
      <c r="F1989" s="3" t="s">
        <v>8</v>
      </c>
      <c r="G1989" s="46">
        <v>50</v>
      </c>
      <c r="H1989" s="3">
        <v>60</v>
      </c>
      <c r="I1989" s="46">
        <v>0</v>
      </c>
      <c r="J1989" s="55">
        <v>0</v>
      </c>
      <c r="K1989" s="1">
        <f t="shared" ref="K1989" si="2009">(IF(F1989="SELL",G1989-H1989,IF(F1989="BUY",H1989-G1989)))*E1989</f>
        <v>400</v>
      </c>
      <c r="L1989" s="51">
        <v>0</v>
      </c>
      <c r="M1989" s="52">
        <v>0</v>
      </c>
      <c r="N1989" s="2">
        <f t="shared" si="1960"/>
        <v>10</v>
      </c>
      <c r="O1989" s="2">
        <f t="shared" si="1985"/>
        <v>400</v>
      </c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</row>
    <row r="1990" spans="1:33" s="14" customFormat="1" ht="15" customHeight="1">
      <c r="A1990" s="10">
        <v>42895</v>
      </c>
      <c r="B1990" s="3" t="s">
        <v>83</v>
      </c>
      <c r="C1990" s="15" t="s">
        <v>46</v>
      </c>
      <c r="D1990" s="15">
        <v>23300</v>
      </c>
      <c r="E1990" s="11">
        <v>40</v>
      </c>
      <c r="F1990" s="3" t="s">
        <v>8</v>
      </c>
      <c r="G1990" s="46">
        <v>50</v>
      </c>
      <c r="H1990" s="3">
        <v>60</v>
      </c>
      <c r="I1990" s="46">
        <v>0</v>
      </c>
      <c r="J1990" s="55">
        <v>0</v>
      </c>
      <c r="K1990" s="1">
        <f t="shared" ref="K1990" si="2010">(IF(F1990="SELL",G1990-H1990,IF(F1990="BUY",H1990-G1990)))*E1990</f>
        <v>400</v>
      </c>
      <c r="L1990" s="51">
        <v>0</v>
      </c>
      <c r="M1990" s="52">
        <v>0</v>
      </c>
      <c r="N1990" s="2">
        <f t="shared" si="1960"/>
        <v>10</v>
      </c>
      <c r="O1990" s="2">
        <f t="shared" si="1985"/>
        <v>400</v>
      </c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</row>
    <row r="1991" spans="1:33" s="14" customFormat="1" ht="15" customHeight="1">
      <c r="A1991" s="10">
        <v>42895</v>
      </c>
      <c r="B1991" s="3" t="s">
        <v>124</v>
      </c>
      <c r="C1991" s="15" t="s">
        <v>47</v>
      </c>
      <c r="D1991" s="15">
        <v>460</v>
      </c>
      <c r="E1991" s="11">
        <v>1500</v>
      </c>
      <c r="F1991" s="3" t="s">
        <v>8</v>
      </c>
      <c r="G1991" s="46">
        <v>14</v>
      </c>
      <c r="H1991" s="3">
        <v>15</v>
      </c>
      <c r="I1991" s="46">
        <v>0</v>
      </c>
      <c r="J1991" s="55">
        <v>0</v>
      </c>
      <c r="K1991" s="1">
        <f t="shared" ref="K1991" si="2011">(IF(F1991="SELL",G1991-H1991,IF(F1991="BUY",H1991-G1991)))*E1991</f>
        <v>1500</v>
      </c>
      <c r="L1991" s="51">
        <v>0</v>
      </c>
      <c r="M1991" s="52">
        <v>0</v>
      </c>
      <c r="N1991" s="2">
        <f t="shared" si="1960"/>
        <v>1</v>
      </c>
      <c r="O1991" s="2">
        <f t="shared" si="1985"/>
        <v>1500</v>
      </c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</row>
    <row r="1992" spans="1:33" s="14" customFormat="1" ht="15" customHeight="1">
      <c r="A1992" s="10">
        <v>42894</v>
      </c>
      <c r="B1992" s="3" t="s">
        <v>83</v>
      </c>
      <c r="C1992" s="15" t="s">
        <v>47</v>
      </c>
      <c r="D1992" s="15">
        <v>23700</v>
      </c>
      <c r="E1992" s="11">
        <v>40</v>
      </c>
      <c r="F1992" s="3" t="s">
        <v>8</v>
      </c>
      <c r="G1992" s="46">
        <v>25</v>
      </c>
      <c r="H1992" s="3">
        <v>5</v>
      </c>
      <c r="I1992" s="46">
        <v>0</v>
      </c>
      <c r="J1992" s="55">
        <v>0</v>
      </c>
      <c r="K1992" s="1">
        <f t="shared" ref="K1992" si="2012">(IF(F1992="SELL",G1992-H1992,IF(F1992="BUY",H1992-G1992)))*E1992</f>
        <v>-800</v>
      </c>
      <c r="L1992" s="51">
        <v>0</v>
      </c>
      <c r="M1992" s="52">
        <v>0</v>
      </c>
      <c r="N1992" s="2">
        <f t="shared" si="1960"/>
        <v>-20</v>
      </c>
      <c r="O1992" s="2">
        <f t="shared" si="1985"/>
        <v>-800</v>
      </c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</row>
    <row r="1993" spans="1:33" s="14" customFormat="1" ht="15" customHeight="1">
      <c r="A1993" s="10">
        <v>42894</v>
      </c>
      <c r="B1993" s="3" t="s">
        <v>113</v>
      </c>
      <c r="C1993" s="15" t="s">
        <v>47</v>
      </c>
      <c r="D1993" s="15">
        <v>490</v>
      </c>
      <c r="E1993" s="11">
        <v>2000</v>
      </c>
      <c r="F1993" s="3" t="s">
        <v>8</v>
      </c>
      <c r="G1993" s="46">
        <v>16</v>
      </c>
      <c r="H1993" s="3">
        <v>16</v>
      </c>
      <c r="I1993" s="46">
        <v>0</v>
      </c>
      <c r="J1993" s="55">
        <v>43</v>
      </c>
      <c r="K1993" s="1">
        <f t="shared" ref="K1993" si="2013">(IF(F1993="SELL",G1993-H1993,IF(F1993="BUY",H1993-G1993)))*E1993</f>
        <v>0</v>
      </c>
      <c r="L1993" s="51">
        <v>0</v>
      </c>
      <c r="M1993" s="52">
        <v>0</v>
      </c>
      <c r="N1993" s="2">
        <f t="shared" si="1960"/>
        <v>0</v>
      </c>
      <c r="O1993" s="2">
        <f t="shared" si="1985"/>
        <v>0</v>
      </c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</row>
    <row r="1994" spans="1:33" s="14" customFormat="1" ht="15" customHeight="1">
      <c r="A1994" s="10">
        <v>42893</v>
      </c>
      <c r="B1994" s="3" t="s">
        <v>110</v>
      </c>
      <c r="C1994" s="15" t="s">
        <v>47</v>
      </c>
      <c r="D1994" s="15">
        <v>1200</v>
      </c>
      <c r="E1994" s="11">
        <v>600</v>
      </c>
      <c r="F1994" s="3" t="s">
        <v>8</v>
      </c>
      <c r="G1994" s="46">
        <v>29</v>
      </c>
      <c r="H1994" s="3">
        <v>31.5</v>
      </c>
      <c r="I1994" s="46">
        <v>36</v>
      </c>
      <c r="J1994" s="55">
        <v>43</v>
      </c>
      <c r="K1994" s="1">
        <f t="shared" ref="K1994" si="2014">(IF(F1994="SELL",G1994-H1994,IF(F1994="BUY",H1994-G1994)))*E1994</f>
        <v>1500</v>
      </c>
      <c r="L1994" s="51">
        <f t="shared" ref="L1994" si="2015">(IF(F1994="SELL",IF(I1994="",0,H1994-I1994),IF(F1994="BUY",IF(I1994="",0,I1994-H1994))))*E1994</f>
        <v>2700</v>
      </c>
      <c r="M1994" s="52">
        <f>(IF(F1994="SELL",IF(J1994="",0,I1994-J1994),IF(F1994="BUY",IF(J1994="",0,(J1994-I1994)))))*E1994</f>
        <v>4200</v>
      </c>
      <c r="N1994" s="2">
        <f t="shared" si="1960"/>
        <v>14</v>
      </c>
      <c r="O1994" s="2">
        <f t="shared" si="1985"/>
        <v>8400</v>
      </c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</row>
    <row r="1995" spans="1:33" s="14" customFormat="1" ht="15" customHeight="1">
      <c r="A1995" s="10">
        <v>42893</v>
      </c>
      <c r="B1995" s="3" t="s">
        <v>72</v>
      </c>
      <c r="C1995" s="15" t="s">
        <v>46</v>
      </c>
      <c r="D1995" s="15">
        <v>700</v>
      </c>
      <c r="E1995" s="11">
        <v>2500</v>
      </c>
      <c r="F1995" s="3" t="s">
        <v>8</v>
      </c>
      <c r="G1995" s="46">
        <v>11</v>
      </c>
      <c r="H1995" s="3">
        <v>12.25</v>
      </c>
      <c r="I1995" s="46">
        <v>0</v>
      </c>
      <c r="J1995" s="55">
        <v>0</v>
      </c>
      <c r="K1995" s="1">
        <f t="shared" ref="K1995" si="2016">(IF(F1995="SELL",G1995-H1995,IF(F1995="BUY",H1995-G1995)))*E1995</f>
        <v>3125</v>
      </c>
      <c r="L1995" s="51">
        <v>0</v>
      </c>
      <c r="M1995" s="52">
        <f>(IF(F1995="SELL",IF(J1995="",0,I1995-J1995),IF(F1995="BUY",IF(J1995="",0,(J1995-I1995)))))*E1995</f>
        <v>0</v>
      </c>
      <c r="N1995" s="2">
        <f t="shared" si="1960"/>
        <v>1.25</v>
      </c>
      <c r="O1995" s="2">
        <f t="shared" si="1985"/>
        <v>3125</v>
      </c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</row>
    <row r="1996" spans="1:33" s="14" customFormat="1" ht="15" customHeight="1">
      <c r="A1996" s="10">
        <v>42893</v>
      </c>
      <c r="B1996" s="3" t="s">
        <v>30</v>
      </c>
      <c r="C1996" s="15" t="s">
        <v>47</v>
      </c>
      <c r="D1996" s="15">
        <v>325</v>
      </c>
      <c r="E1996" s="11">
        <v>2500</v>
      </c>
      <c r="F1996" s="3" t="s">
        <v>8</v>
      </c>
      <c r="G1996" s="46">
        <v>8</v>
      </c>
      <c r="H1996" s="3">
        <v>8.6</v>
      </c>
      <c r="I1996" s="46">
        <v>0</v>
      </c>
      <c r="J1996" s="55">
        <v>0</v>
      </c>
      <c r="K1996" s="1">
        <f t="shared" ref="K1996" si="2017">(IF(F1996="SELL",G1996-H1996,IF(F1996="BUY",H1996-G1996)))*E1996</f>
        <v>1499.9999999999991</v>
      </c>
      <c r="L1996" s="51">
        <v>0</v>
      </c>
      <c r="M1996" s="52">
        <f>(IF(F1996="SELL",IF(J1996="",0,I1996-J1996),IF(F1996="BUY",IF(J1996="",0,(J1996-I1996)))))*E1996</f>
        <v>0</v>
      </c>
      <c r="N1996" s="2">
        <f t="shared" si="1960"/>
        <v>0.59999999999999964</v>
      </c>
      <c r="O1996" s="2">
        <f t="shared" si="1985"/>
        <v>1499.9999999999991</v>
      </c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</row>
    <row r="1997" spans="1:33" s="14" customFormat="1" ht="15" customHeight="1">
      <c r="A1997" s="10">
        <v>42893</v>
      </c>
      <c r="B1997" s="3" t="s">
        <v>123</v>
      </c>
      <c r="C1997" s="15" t="s">
        <v>47</v>
      </c>
      <c r="D1997" s="15">
        <v>540</v>
      </c>
      <c r="E1997" s="11">
        <v>1600</v>
      </c>
      <c r="F1997" s="3" t="s">
        <v>8</v>
      </c>
      <c r="G1997" s="46">
        <v>20</v>
      </c>
      <c r="H1997" s="3">
        <v>22</v>
      </c>
      <c r="I1997" s="46">
        <v>0</v>
      </c>
      <c r="J1997" s="55">
        <v>0</v>
      </c>
      <c r="K1997" s="1">
        <f t="shared" ref="K1997" si="2018">(IF(F1997="SELL",G1997-H1997,IF(F1997="BUY",H1997-G1997)))*E1997</f>
        <v>3200</v>
      </c>
      <c r="L1997" s="51">
        <v>0</v>
      </c>
      <c r="M1997" s="52">
        <f>(IF(F1997="SELL",IF(J1997="",0,I1997-J1997),IF(F1997="BUY",IF(J1997="",0,(J1997-I1997)))))*E1997</f>
        <v>0</v>
      </c>
      <c r="N1997" s="2">
        <f t="shared" si="1960"/>
        <v>2</v>
      </c>
      <c r="O1997" s="2">
        <f t="shared" si="1985"/>
        <v>3200</v>
      </c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</row>
    <row r="1998" spans="1:33" s="14" customFormat="1" ht="15" customHeight="1">
      <c r="A1998" s="10">
        <v>42893</v>
      </c>
      <c r="B1998" s="3" t="s">
        <v>83</v>
      </c>
      <c r="C1998" s="15" t="s">
        <v>47</v>
      </c>
      <c r="D1998" s="15">
        <v>23500</v>
      </c>
      <c r="E1998" s="11">
        <v>40</v>
      </c>
      <c r="F1998" s="3" t="s">
        <v>8</v>
      </c>
      <c r="G1998" s="46">
        <v>90</v>
      </c>
      <c r="H1998" s="3">
        <v>100</v>
      </c>
      <c r="I1998" s="46">
        <v>115</v>
      </c>
      <c r="J1998" s="55">
        <v>135</v>
      </c>
      <c r="K1998" s="1">
        <f t="shared" ref="K1998" si="2019">(IF(F1998="SELL",G1998-H1998,IF(F1998="BUY",H1998-G1998)))*E1998</f>
        <v>400</v>
      </c>
      <c r="L1998" s="51">
        <f t="shared" ref="L1998:L2003" si="2020">(IF(F1998="SELL",IF(I1998="",0,H1998-I1998),IF(F1998="BUY",IF(I1998="",0,I1998-H1998))))*E1998</f>
        <v>600</v>
      </c>
      <c r="M1998" s="52">
        <f>(IF(F1998="SELL",IF(J1998="",0,I1998-J1998),IF(F1998="BUY",IF(J1998="",0,(J1998-I1998)))))*E1998</f>
        <v>800</v>
      </c>
      <c r="N1998" s="2">
        <f t="shared" si="1960"/>
        <v>45</v>
      </c>
      <c r="O1998" s="2">
        <f t="shared" si="1985"/>
        <v>1800</v>
      </c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</row>
    <row r="1999" spans="1:33" s="14" customFormat="1" ht="15" customHeight="1">
      <c r="A1999" s="10">
        <v>42893</v>
      </c>
      <c r="B1999" s="3" t="s">
        <v>57</v>
      </c>
      <c r="C1999" s="15" t="s">
        <v>47</v>
      </c>
      <c r="D1999" s="15">
        <v>145</v>
      </c>
      <c r="E1999" s="11">
        <v>6000</v>
      </c>
      <c r="F1999" s="3" t="s">
        <v>8</v>
      </c>
      <c r="G1999" s="46">
        <v>6.2</v>
      </c>
      <c r="H1999" s="3">
        <v>6.2</v>
      </c>
      <c r="I1999" s="46">
        <v>0</v>
      </c>
      <c r="J1999" s="55">
        <v>0</v>
      </c>
      <c r="K1999" s="1">
        <f t="shared" ref="K1999" si="2021">(IF(F1999="SELL",G1999-H1999,IF(F1999="BUY",H1999-G1999)))*E1999</f>
        <v>0</v>
      </c>
      <c r="L1999" s="51">
        <v>0</v>
      </c>
      <c r="M1999" s="52">
        <v>0</v>
      </c>
      <c r="N1999" s="2">
        <f t="shared" si="1960"/>
        <v>0</v>
      </c>
      <c r="O1999" s="2">
        <f t="shared" si="1985"/>
        <v>0</v>
      </c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</row>
    <row r="2000" spans="1:33" s="14" customFormat="1" ht="15" customHeight="1">
      <c r="A2000" s="10">
        <v>42892</v>
      </c>
      <c r="B2000" s="3" t="s">
        <v>13</v>
      </c>
      <c r="C2000" s="15" t="s">
        <v>47</v>
      </c>
      <c r="D2000" s="15">
        <v>900</v>
      </c>
      <c r="E2000" s="11">
        <v>600</v>
      </c>
      <c r="F2000" s="3" t="s">
        <v>8</v>
      </c>
      <c r="G2000" s="46">
        <v>12</v>
      </c>
      <c r="H2000" s="3">
        <v>14.2</v>
      </c>
      <c r="I2000" s="46">
        <v>18.399999999999999</v>
      </c>
      <c r="J2000" s="55">
        <v>0</v>
      </c>
      <c r="K2000" s="1">
        <f t="shared" ref="K2000" si="2022">(IF(F2000="SELL",G2000-H2000,IF(F2000="BUY",H2000-G2000)))*E2000</f>
        <v>1319.9999999999995</v>
      </c>
      <c r="L2000" s="51">
        <f t="shared" si="2020"/>
        <v>2519.9999999999995</v>
      </c>
      <c r="M2000" s="52">
        <v>0</v>
      </c>
      <c r="N2000" s="2">
        <f t="shared" si="1960"/>
        <v>6.3999999999999986</v>
      </c>
      <c r="O2000" s="2">
        <f t="shared" si="1985"/>
        <v>3839.9999999999991</v>
      </c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</row>
    <row r="2001" spans="1:33" s="14" customFormat="1" ht="15" customHeight="1">
      <c r="A2001" s="10">
        <v>42892</v>
      </c>
      <c r="B2001" s="3" t="s">
        <v>122</v>
      </c>
      <c r="C2001" s="15" t="s">
        <v>47</v>
      </c>
      <c r="D2001" s="15">
        <v>1600</v>
      </c>
      <c r="E2001" s="11">
        <v>500</v>
      </c>
      <c r="F2001" s="3" t="s">
        <v>8</v>
      </c>
      <c r="G2001" s="46">
        <v>35</v>
      </c>
      <c r="H2001" s="3">
        <v>38</v>
      </c>
      <c r="I2001" s="46">
        <v>44</v>
      </c>
      <c r="J2001" s="55">
        <v>0</v>
      </c>
      <c r="K2001" s="1">
        <f t="shared" ref="K2001" si="2023">(IF(F2001="SELL",G2001-H2001,IF(F2001="BUY",H2001-G2001)))*E2001</f>
        <v>1500</v>
      </c>
      <c r="L2001" s="51">
        <f t="shared" si="2020"/>
        <v>3000</v>
      </c>
      <c r="M2001" s="52">
        <v>0</v>
      </c>
      <c r="N2001" s="2">
        <f t="shared" si="1960"/>
        <v>9</v>
      </c>
      <c r="O2001" s="2">
        <f t="shared" si="1985"/>
        <v>4500</v>
      </c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</row>
    <row r="2002" spans="1:33" s="14" customFormat="1" ht="15" customHeight="1">
      <c r="A2002" s="10">
        <v>42892</v>
      </c>
      <c r="B2002" s="3" t="s">
        <v>83</v>
      </c>
      <c r="C2002" s="15" t="s">
        <v>47</v>
      </c>
      <c r="D2002" s="15">
        <v>23500</v>
      </c>
      <c r="E2002" s="11">
        <v>40</v>
      </c>
      <c r="F2002" s="3" t="s">
        <v>8</v>
      </c>
      <c r="G2002" s="46">
        <v>100</v>
      </c>
      <c r="H2002" s="3">
        <v>100</v>
      </c>
      <c r="I2002" s="46">
        <v>0</v>
      </c>
      <c r="J2002" s="55">
        <v>0</v>
      </c>
      <c r="K2002" s="1">
        <f t="shared" ref="K2002" si="2024">(IF(F2002="SELL",G2002-H2002,IF(F2002="BUY",H2002-G2002)))*E2002</f>
        <v>0</v>
      </c>
      <c r="L2002" s="51">
        <v>0</v>
      </c>
      <c r="M2002" s="52">
        <v>0</v>
      </c>
      <c r="N2002" s="2">
        <f t="shared" si="1960"/>
        <v>0</v>
      </c>
      <c r="O2002" s="2">
        <f t="shared" si="1985"/>
        <v>0</v>
      </c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</row>
    <row r="2003" spans="1:33" s="14" customFormat="1" ht="15" customHeight="1">
      <c r="A2003" s="10">
        <v>42892</v>
      </c>
      <c r="B2003" s="3" t="s">
        <v>121</v>
      </c>
      <c r="C2003" s="15" t="s">
        <v>47</v>
      </c>
      <c r="D2003" s="15">
        <v>760</v>
      </c>
      <c r="E2003" s="11">
        <v>800</v>
      </c>
      <c r="F2003" s="3" t="s">
        <v>8</v>
      </c>
      <c r="G2003" s="46">
        <v>23</v>
      </c>
      <c r="H2003" s="3">
        <v>25</v>
      </c>
      <c r="I2003" s="46">
        <v>29</v>
      </c>
      <c r="J2003" s="55">
        <v>0</v>
      </c>
      <c r="K2003" s="1">
        <f t="shared" ref="K2003" si="2025">(IF(F2003="SELL",G2003-H2003,IF(F2003="BUY",H2003-G2003)))*E2003</f>
        <v>1600</v>
      </c>
      <c r="L2003" s="51">
        <f t="shared" si="2020"/>
        <v>3200</v>
      </c>
      <c r="M2003" s="52">
        <v>0</v>
      </c>
      <c r="N2003" s="2">
        <f t="shared" si="1960"/>
        <v>6</v>
      </c>
      <c r="O2003" s="2">
        <f t="shared" si="1985"/>
        <v>4800</v>
      </c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</row>
    <row r="2004" spans="1:33" s="14" customFormat="1" ht="15" customHeight="1">
      <c r="A2004" s="10">
        <v>42892</v>
      </c>
      <c r="B2004" s="3" t="s">
        <v>121</v>
      </c>
      <c r="C2004" s="15" t="s">
        <v>47</v>
      </c>
      <c r="D2004" s="15">
        <v>760</v>
      </c>
      <c r="E2004" s="11">
        <v>800</v>
      </c>
      <c r="F2004" s="3" t="s">
        <v>8</v>
      </c>
      <c r="G2004" s="46">
        <v>23</v>
      </c>
      <c r="H2004" s="3">
        <v>25</v>
      </c>
      <c r="I2004" s="46">
        <v>29</v>
      </c>
      <c r="J2004" s="55">
        <v>0</v>
      </c>
      <c r="K2004" s="1">
        <f t="shared" ref="K2004" si="2026">(IF(F2004="SELL",G2004-H2004,IF(F2004="BUY",H2004-G2004)))*E2004</f>
        <v>1600</v>
      </c>
      <c r="L2004" s="51">
        <f t="shared" ref="L2004" si="2027">(IF(F2004="SELL",IF(I2004="",0,H2004-I2004),IF(F2004="BUY",IF(I2004="",0,I2004-H2004))))*E2004</f>
        <v>3200</v>
      </c>
      <c r="M2004" s="52">
        <v>0</v>
      </c>
      <c r="N2004" s="2">
        <f t="shared" si="1960"/>
        <v>6</v>
      </c>
      <c r="O2004" s="2">
        <f t="shared" si="1985"/>
        <v>4800</v>
      </c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</row>
    <row r="2005" spans="1:33" s="14" customFormat="1" ht="15" customHeight="1">
      <c r="A2005" s="10">
        <v>42891</v>
      </c>
      <c r="B2005" s="3" t="s">
        <v>114</v>
      </c>
      <c r="C2005" s="15" t="s">
        <v>47</v>
      </c>
      <c r="D2005" s="15">
        <v>1520</v>
      </c>
      <c r="E2005" s="11">
        <v>350</v>
      </c>
      <c r="F2005" s="3" t="s">
        <v>8</v>
      </c>
      <c r="G2005" s="46">
        <v>37</v>
      </c>
      <c r="H2005" s="3">
        <v>40</v>
      </c>
      <c r="I2005" s="46">
        <v>44.9</v>
      </c>
      <c r="J2005" s="55">
        <v>0</v>
      </c>
      <c r="K2005" s="1">
        <f t="shared" ref="K2005" si="2028">(IF(F2005="SELL",G2005-H2005,IF(F2005="BUY",H2005-G2005)))*E2005</f>
        <v>1050</v>
      </c>
      <c r="L2005" s="51">
        <f t="shared" ref="L2005:L2007" si="2029">(IF(F2005="SELL",IF(I2005="",0,H2005-I2005),IF(F2005="BUY",IF(I2005="",0,I2005-H2005))))*E2005</f>
        <v>1714.9999999999995</v>
      </c>
      <c r="M2005" s="52">
        <v>0</v>
      </c>
      <c r="N2005" s="2">
        <f t="shared" si="1960"/>
        <v>7.8999999999999986</v>
      </c>
      <c r="O2005" s="2">
        <f t="shared" si="1985"/>
        <v>2764.9999999999995</v>
      </c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</row>
    <row r="2006" spans="1:33" s="14" customFormat="1" ht="15" customHeight="1">
      <c r="A2006" s="10">
        <v>42891</v>
      </c>
      <c r="B2006" s="3" t="s">
        <v>82</v>
      </c>
      <c r="C2006" s="15" t="s">
        <v>47</v>
      </c>
      <c r="D2006" s="15">
        <v>150</v>
      </c>
      <c r="E2006" s="11">
        <v>7000</v>
      </c>
      <c r="F2006" s="3" t="s">
        <v>8</v>
      </c>
      <c r="G2006" s="46">
        <v>8.5</v>
      </c>
      <c r="H2006" s="3">
        <v>8.5</v>
      </c>
      <c r="I2006" s="46">
        <v>0</v>
      </c>
      <c r="J2006" s="55">
        <v>0</v>
      </c>
      <c r="K2006" s="1">
        <f t="shared" ref="K2006" si="2030">(IF(F2006="SELL",G2006-H2006,IF(F2006="BUY",H2006-G2006)))*E2006</f>
        <v>0</v>
      </c>
      <c r="L2006" s="51">
        <v>0</v>
      </c>
      <c r="M2006" s="52">
        <v>0</v>
      </c>
      <c r="N2006" s="2">
        <f t="shared" si="1960"/>
        <v>0</v>
      </c>
      <c r="O2006" s="2">
        <f t="shared" si="1985"/>
        <v>0</v>
      </c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</row>
    <row r="2007" spans="1:33" s="14" customFormat="1" ht="15" customHeight="1">
      <c r="A2007" s="10">
        <v>42891</v>
      </c>
      <c r="B2007" s="3" t="s">
        <v>83</v>
      </c>
      <c r="C2007" s="15" t="s">
        <v>47</v>
      </c>
      <c r="D2007" s="15">
        <v>23500</v>
      </c>
      <c r="E2007" s="11">
        <v>40</v>
      </c>
      <c r="F2007" s="3" t="s">
        <v>8</v>
      </c>
      <c r="G2007" s="46">
        <v>70</v>
      </c>
      <c r="H2007" s="3">
        <v>80</v>
      </c>
      <c r="I2007" s="46">
        <v>95</v>
      </c>
      <c r="J2007" s="55">
        <v>0</v>
      </c>
      <c r="K2007" s="1">
        <f t="shared" ref="K2007" si="2031">(IF(F2007="SELL",G2007-H2007,IF(F2007="BUY",H2007-G2007)))*E2007</f>
        <v>400</v>
      </c>
      <c r="L2007" s="51">
        <f t="shared" si="2029"/>
        <v>600</v>
      </c>
      <c r="M2007" s="52">
        <v>0</v>
      </c>
      <c r="N2007" s="2">
        <f t="shared" si="1960"/>
        <v>25</v>
      </c>
      <c r="O2007" s="2">
        <f t="shared" si="1985"/>
        <v>1000</v>
      </c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</row>
    <row r="2008" spans="1:33" s="14" customFormat="1" ht="15" customHeight="1">
      <c r="A2008" s="10">
        <v>42891</v>
      </c>
      <c r="B2008" s="3" t="s">
        <v>120</v>
      </c>
      <c r="C2008" s="15" t="s">
        <v>47</v>
      </c>
      <c r="D2008" s="15">
        <v>20</v>
      </c>
      <c r="E2008" s="11">
        <v>45000</v>
      </c>
      <c r="F2008" s="3" t="s">
        <v>8</v>
      </c>
      <c r="G2008" s="46">
        <v>1</v>
      </c>
      <c r="H2008" s="3">
        <v>1</v>
      </c>
      <c r="I2008" s="46">
        <v>0</v>
      </c>
      <c r="J2008" s="55">
        <v>0</v>
      </c>
      <c r="K2008" s="1">
        <f t="shared" ref="K2008" si="2032">(IF(F2008="SELL",G2008-H2008,IF(F2008="BUY",H2008-G2008)))*E2008</f>
        <v>0</v>
      </c>
      <c r="L2008" s="51">
        <v>0</v>
      </c>
      <c r="M2008" s="52">
        <v>0</v>
      </c>
      <c r="N2008" s="2">
        <f t="shared" si="1960"/>
        <v>0</v>
      </c>
      <c r="O2008" s="2">
        <f t="shared" si="1985"/>
        <v>0</v>
      </c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</row>
    <row r="2009" spans="1:33" s="14" customFormat="1" ht="15" customHeight="1">
      <c r="A2009" s="10">
        <v>42888</v>
      </c>
      <c r="B2009" s="3" t="s">
        <v>55</v>
      </c>
      <c r="C2009" s="15" t="s">
        <v>47</v>
      </c>
      <c r="D2009" s="15">
        <v>180</v>
      </c>
      <c r="E2009" s="11">
        <v>2100</v>
      </c>
      <c r="F2009" s="3" t="s">
        <v>8</v>
      </c>
      <c r="G2009" s="46">
        <v>7.5</v>
      </c>
      <c r="H2009" s="3">
        <v>7.5</v>
      </c>
      <c r="I2009" s="46">
        <v>0</v>
      </c>
      <c r="J2009" s="55">
        <v>0</v>
      </c>
      <c r="K2009" s="1">
        <f t="shared" ref="K2009" si="2033">(IF(F2009="SELL",G2009-H2009,IF(F2009="BUY",H2009-G2009)))*E2009</f>
        <v>0</v>
      </c>
      <c r="L2009" s="51">
        <v>0</v>
      </c>
      <c r="M2009" s="52">
        <v>0</v>
      </c>
      <c r="N2009" s="2">
        <f t="shared" si="1960"/>
        <v>0</v>
      </c>
      <c r="O2009" s="2">
        <f t="shared" si="1985"/>
        <v>0</v>
      </c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</row>
    <row r="2010" spans="1:33" s="14" customFormat="1" ht="15" customHeight="1">
      <c r="A2010" s="10">
        <v>42888</v>
      </c>
      <c r="B2010" s="3" t="s">
        <v>112</v>
      </c>
      <c r="C2010" s="15" t="s">
        <v>47</v>
      </c>
      <c r="D2010" s="15">
        <v>300</v>
      </c>
      <c r="E2010" s="11">
        <v>2100</v>
      </c>
      <c r="F2010" s="3" t="s">
        <v>8</v>
      </c>
      <c r="G2010" s="46">
        <v>7</v>
      </c>
      <c r="H2010" s="3">
        <v>7</v>
      </c>
      <c r="I2010" s="46">
        <v>0</v>
      </c>
      <c r="J2010" s="55">
        <v>0</v>
      </c>
      <c r="K2010" s="1">
        <f t="shared" ref="K2010" si="2034">(IF(F2010="SELL",G2010-H2010,IF(F2010="BUY",H2010-G2010)))*E2010</f>
        <v>0</v>
      </c>
      <c r="L2010" s="51">
        <v>0</v>
      </c>
      <c r="M2010" s="52">
        <v>0</v>
      </c>
      <c r="N2010" s="2">
        <f t="shared" si="1960"/>
        <v>0</v>
      </c>
      <c r="O2010" s="2">
        <f t="shared" si="1985"/>
        <v>0</v>
      </c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</row>
    <row r="2011" spans="1:33" s="14" customFormat="1" ht="15" customHeight="1">
      <c r="A2011" s="10">
        <v>42888</v>
      </c>
      <c r="B2011" s="3" t="s">
        <v>98</v>
      </c>
      <c r="C2011" s="15" t="s">
        <v>47</v>
      </c>
      <c r="D2011" s="15">
        <v>1000</v>
      </c>
      <c r="E2011" s="11">
        <v>600</v>
      </c>
      <c r="F2011" s="3" t="s">
        <v>8</v>
      </c>
      <c r="G2011" s="46">
        <v>23</v>
      </c>
      <c r="H2011" s="3">
        <v>23</v>
      </c>
      <c r="I2011" s="46">
        <v>0</v>
      </c>
      <c r="J2011" s="55">
        <v>0</v>
      </c>
      <c r="K2011" s="1">
        <f t="shared" ref="K2011" si="2035">(IF(F2011="SELL",G2011-H2011,IF(F2011="BUY",H2011-G2011)))*E2011</f>
        <v>0</v>
      </c>
      <c r="L2011" s="51">
        <v>0</v>
      </c>
      <c r="M2011" s="52">
        <v>0</v>
      </c>
      <c r="N2011" s="2">
        <f t="shared" si="1960"/>
        <v>0</v>
      </c>
      <c r="O2011" s="2">
        <f t="shared" si="1985"/>
        <v>0</v>
      </c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</row>
    <row r="2012" spans="1:33" s="14" customFormat="1" ht="15" customHeight="1">
      <c r="A2012" s="10">
        <v>42888</v>
      </c>
      <c r="B2012" s="3" t="s">
        <v>28</v>
      </c>
      <c r="C2012" s="15" t="s">
        <v>47</v>
      </c>
      <c r="D2012" s="15">
        <v>380</v>
      </c>
      <c r="E2012" s="11">
        <v>1700</v>
      </c>
      <c r="F2012" s="3" t="s">
        <v>8</v>
      </c>
      <c r="G2012" s="46">
        <v>9</v>
      </c>
      <c r="H2012" s="3">
        <v>11</v>
      </c>
      <c r="I2012" s="46">
        <v>0</v>
      </c>
      <c r="J2012" s="55">
        <v>0</v>
      </c>
      <c r="K2012" s="1">
        <f t="shared" ref="K2012" si="2036">(IF(F2012="SELL",G2012-H2012,IF(F2012="BUY",H2012-G2012)))*E2012</f>
        <v>3400</v>
      </c>
      <c r="L2012" s="51">
        <v>0</v>
      </c>
      <c r="M2012" s="52">
        <v>0</v>
      </c>
      <c r="N2012" s="2">
        <f t="shared" si="1960"/>
        <v>2</v>
      </c>
      <c r="O2012" s="2">
        <f t="shared" si="1985"/>
        <v>3400</v>
      </c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</row>
    <row r="2013" spans="1:33" s="14" customFormat="1" ht="15" customHeight="1">
      <c r="A2013" s="10">
        <v>42888</v>
      </c>
      <c r="B2013" s="3" t="s">
        <v>83</v>
      </c>
      <c r="C2013" s="15" t="s">
        <v>47</v>
      </c>
      <c r="D2013" s="15">
        <v>23500</v>
      </c>
      <c r="E2013" s="11">
        <v>40</v>
      </c>
      <c r="F2013" s="3" t="s">
        <v>8</v>
      </c>
      <c r="G2013" s="46">
        <v>100</v>
      </c>
      <c r="H2013" s="3">
        <v>100</v>
      </c>
      <c r="I2013" s="46">
        <v>0</v>
      </c>
      <c r="J2013" s="55">
        <v>0</v>
      </c>
      <c r="K2013" s="1">
        <f t="shared" ref="K2013" si="2037">(IF(F2013="SELL",G2013-H2013,IF(F2013="BUY",H2013-G2013)))*E2013</f>
        <v>0</v>
      </c>
      <c r="L2013" s="51">
        <v>0</v>
      </c>
      <c r="M2013" s="52">
        <v>0</v>
      </c>
      <c r="N2013" s="2">
        <f t="shared" ref="N2013:N2076" si="2038">(L2013+K2013+M2013)/E2013</f>
        <v>0</v>
      </c>
      <c r="O2013" s="2">
        <f t="shared" si="1985"/>
        <v>0</v>
      </c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</row>
    <row r="2014" spans="1:33" s="14" customFormat="1" ht="15" customHeight="1">
      <c r="A2014" s="10">
        <v>42888</v>
      </c>
      <c r="B2014" s="3" t="s">
        <v>71</v>
      </c>
      <c r="C2014" s="15" t="s">
        <v>46</v>
      </c>
      <c r="D2014" s="15">
        <v>190</v>
      </c>
      <c r="E2014" s="11">
        <v>3000</v>
      </c>
      <c r="F2014" s="3" t="s">
        <v>8</v>
      </c>
      <c r="G2014" s="46">
        <v>7</v>
      </c>
      <c r="H2014" s="3">
        <v>7</v>
      </c>
      <c r="I2014" s="46">
        <v>0</v>
      </c>
      <c r="J2014" s="55">
        <v>0</v>
      </c>
      <c r="K2014" s="1">
        <f t="shared" ref="K2014" si="2039">(IF(F2014="SELL",G2014-H2014,IF(F2014="BUY",H2014-G2014)))*E2014</f>
        <v>0</v>
      </c>
      <c r="L2014" s="51">
        <v>0</v>
      </c>
      <c r="M2014" s="52">
        <v>0</v>
      </c>
      <c r="N2014" s="2">
        <f t="shared" si="2038"/>
        <v>0</v>
      </c>
      <c r="O2014" s="2">
        <f t="shared" si="1985"/>
        <v>0</v>
      </c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</row>
    <row r="2015" spans="1:33" s="14" customFormat="1" ht="15" customHeight="1">
      <c r="A2015" s="10">
        <v>42887</v>
      </c>
      <c r="B2015" s="3" t="s">
        <v>33</v>
      </c>
      <c r="C2015" s="15" t="s">
        <v>47</v>
      </c>
      <c r="D2015" s="15">
        <v>600</v>
      </c>
      <c r="E2015" s="11">
        <v>1500</v>
      </c>
      <c r="F2015" s="3" t="s">
        <v>8</v>
      </c>
      <c r="G2015" s="46">
        <v>13</v>
      </c>
      <c r="H2015" s="3">
        <v>14</v>
      </c>
      <c r="I2015" s="46">
        <v>0</v>
      </c>
      <c r="J2015" s="55">
        <v>0</v>
      </c>
      <c r="K2015" s="1">
        <f t="shared" ref="K2015" si="2040">(IF(F2015="SELL",G2015-H2015,IF(F2015="BUY",H2015-G2015)))*E2015</f>
        <v>1500</v>
      </c>
      <c r="L2015" s="51">
        <v>0</v>
      </c>
      <c r="M2015" s="52">
        <v>0</v>
      </c>
      <c r="N2015" s="2">
        <f t="shared" si="2038"/>
        <v>1</v>
      </c>
      <c r="O2015" s="2">
        <f t="shared" si="1985"/>
        <v>1500</v>
      </c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</row>
    <row r="2016" spans="1:33" s="14" customFormat="1" ht="15" customHeight="1">
      <c r="A2016" s="10">
        <v>42887</v>
      </c>
      <c r="B2016" s="3" t="s">
        <v>23</v>
      </c>
      <c r="C2016" s="15" t="s">
        <v>47</v>
      </c>
      <c r="D2016" s="15">
        <v>480</v>
      </c>
      <c r="E2016" s="11">
        <v>1300</v>
      </c>
      <c r="F2016" s="3" t="s">
        <v>8</v>
      </c>
      <c r="G2016" s="46">
        <v>27</v>
      </c>
      <c r="H2016" s="3">
        <v>28.2</v>
      </c>
      <c r="I2016" s="46">
        <v>0</v>
      </c>
      <c r="J2016" s="55">
        <v>0</v>
      </c>
      <c r="K2016" s="1">
        <f t="shared" ref="K2016" si="2041">(IF(F2016="SELL",G2016-H2016,IF(F2016="BUY",H2016-G2016)))*E2016</f>
        <v>1559.9999999999991</v>
      </c>
      <c r="L2016" s="51">
        <v>0</v>
      </c>
      <c r="M2016" s="52">
        <v>0</v>
      </c>
      <c r="N2016" s="2">
        <f t="shared" si="2038"/>
        <v>1.1999999999999993</v>
      </c>
      <c r="O2016" s="2">
        <f t="shared" si="1985"/>
        <v>1559.9999999999991</v>
      </c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</row>
    <row r="2017" spans="1:33" s="14" customFormat="1" ht="15" customHeight="1">
      <c r="A2017" s="10">
        <v>42887</v>
      </c>
      <c r="B2017" s="3" t="s">
        <v>83</v>
      </c>
      <c r="C2017" s="15" t="s">
        <v>46</v>
      </c>
      <c r="D2017" s="15">
        <v>23300</v>
      </c>
      <c r="E2017" s="11">
        <v>40</v>
      </c>
      <c r="F2017" s="3" t="s">
        <v>8</v>
      </c>
      <c r="G2017" s="46">
        <v>30</v>
      </c>
      <c r="H2017" s="3">
        <v>45</v>
      </c>
      <c r="I2017" s="46">
        <v>70</v>
      </c>
      <c r="J2017" s="55">
        <v>0</v>
      </c>
      <c r="K2017" s="1">
        <f t="shared" ref="K2017" si="2042">(IF(F2017="SELL",G2017-H2017,IF(F2017="BUY",H2017-G2017)))*E2017</f>
        <v>600</v>
      </c>
      <c r="L2017" s="51">
        <f t="shared" ref="L2017" si="2043">(IF(F2017="SELL",IF(I2017="",0,H2017-I2017),IF(F2017="BUY",IF(I2017="",0,I2017-H2017))))*E2017</f>
        <v>1000</v>
      </c>
      <c r="M2017" s="52">
        <v>0</v>
      </c>
      <c r="N2017" s="2">
        <f t="shared" si="2038"/>
        <v>40</v>
      </c>
      <c r="O2017" s="2">
        <f t="shared" si="1985"/>
        <v>1600</v>
      </c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</row>
    <row r="2018" spans="1:33" s="14" customFormat="1" ht="15" customHeight="1">
      <c r="A2018" s="10">
        <v>42887</v>
      </c>
      <c r="B2018" s="3" t="s">
        <v>14</v>
      </c>
      <c r="C2018" s="15" t="s">
        <v>47</v>
      </c>
      <c r="D2018" s="15">
        <v>380</v>
      </c>
      <c r="E2018" s="11">
        <v>1300</v>
      </c>
      <c r="F2018" s="3" t="s">
        <v>8</v>
      </c>
      <c r="G2018" s="46">
        <v>15.5</v>
      </c>
      <c r="H2018" s="3">
        <v>15.5</v>
      </c>
      <c r="I2018" s="46">
        <v>0</v>
      </c>
      <c r="J2018" s="55">
        <v>0</v>
      </c>
      <c r="K2018" s="1">
        <f t="shared" ref="K2018" si="2044">(IF(F2018="SELL",G2018-H2018,IF(F2018="BUY",H2018-G2018)))*E2018</f>
        <v>0</v>
      </c>
      <c r="L2018" s="51">
        <v>0</v>
      </c>
      <c r="M2018" s="52">
        <v>0</v>
      </c>
      <c r="N2018" s="2">
        <f t="shared" si="2038"/>
        <v>0</v>
      </c>
      <c r="O2018" s="2">
        <f t="shared" si="1985"/>
        <v>0</v>
      </c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</row>
    <row r="2019" spans="1:33" s="14" customFormat="1" ht="15" customHeight="1">
      <c r="A2019" s="10">
        <v>42886</v>
      </c>
      <c r="B2019" s="3" t="s">
        <v>104</v>
      </c>
      <c r="C2019" s="15" t="s">
        <v>47</v>
      </c>
      <c r="D2019" s="15">
        <v>1200</v>
      </c>
      <c r="E2019" s="11">
        <v>400</v>
      </c>
      <c r="F2019" s="3" t="s">
        <v>8</v>
      </c>
      <c r="G2019" s="46">
        <v>30</v>
      </c>
      <c r="H2019" s="3">
        <v>30</v>
      </c>
      <c r="I2019" s="46">
        <v>0</v>
      </c>
      <c r="J2019" s="55">
        <v>0</v>
      </c>
      <c r="K2019" s="1">
        <f t="shared" ref="K2019" si="2045">(IF(F2019="SELL",G2019-H2019,IF(F2019="BUY",H2019-G2019)))*E2019</f>
        <v>0</v>
      </c>
      <c r="L2019" s="51">
        <v>0</v>
      </c>
      <c r="M2019" s="52">
        <v>0</v>
      </c>
      <c r="N2019" s="2">
        <f t="shared" si="2038"/>
        <v>0</v>
      </c>
      <c r="O2019" s="2">
        <f t="shared" si="1985"/>
        <v>0</v>
      </c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</row>
    <row r="2020" spans="1:33" s="14" customFormat="1" ht="15" customHeight="1">
      <c r="A2020" s="10">
        <v>42886</v>
      </c>
      <c r="B2020" s="3" t="s">
        <v>93</v>
      </c>
      <c r="C2020" s="15" t="s">
        <v>47</v>
      </c>
      <c r="D2020" s="15">
        <v>160</v>
      </c>
      <c r="E2020" s="11">
        <v>7000</v>
      </c>
      <c r="F2020" s="3" t="s">
        <v>8</v>
      </c>
      <c r="G2020" s="46">
        <v>6.25</v>
      </c>
      <c r="H2020" s="3">
        <v>6.25</v>
      </c>
      <c r="I2020" s="46">
        <v>0</v>
      </c>
      <c r="J2020" s="55">
        <v>0</v>
      </c>
      <c r="K2020" s="1">
        <f t="shared" ref="K2020" si="2046">(IF(F2020="SELL",G2020-H2020,IF(F2020="BUY",H2020-G2020)))*E2020</f>
        <v>0</v>
      </c>
      <c r="L2020" s="51">
        <v>0</v>
      </c>
      <c r="M2020" s="52">
        <v>0</v>
      </c>
      <c r="N2020" s="2">
        <f t="shared" si="2038"/>
        <v>0</v>
      </c>
      <c r="O2020" s="2">
        <f t="shared" si="1985"/>
        <v>0</v>
      </c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</row>
    <row r="2021" spans="1:33" s="14" customFormat="1" ht="15" customHeight="1">
      <c r="A2021" s="10">
        <v>42886</v>
      </c>
      <c r="B2021" s="3" t="s">
        <v>66</v>
      </c>
      <c r="C2021" s="15" t="s">
        <v>47</v>
      </c>
      <c r="D2021" s="15">
        <v>480</v>
      </c>
      <c r="E2021" s="11">
        <v>1000</v>
      </c>
      <c r="F2021" s="3" t="s">
        <v>8</v>
      </c>
      <c r="G2021" s="46">
        <v>20</v>
      </c>
      <c r="H2021" s="3">
        <v>22</v>
      </c>
      <c r="I2021" s="46">
        <v>25</v>
      </c>
      <c r="J2021" s="55">
        <v>0</v>
      </c>
      <c r="K2021" s="1">
        <f t="shared" ref="K2021" si="2047">(IF(F2021="SELL",G2021-H2021,IF(F2021="BUY",H2021-G2021)))*E2021</f>
        <v>2000</v>
      </c>
      <c r="L2021" s="51">
        <f t="shared" ref="L2021" si="2048">(IF(F2021="SELL",IF(I2021="",0,H2021-I2021),IF(F2021="BUY",IF(I2021="",0,I2021-H2021))))*E2021</f>
        <v>3000</v>
      </c>
      <c r="M2021" s="52">
        <v>0</v>
      </c>
      <c r="N2021" s="2">
        <f t="shared" si="2038"/>
        <v>5</v>
      </c>
      <c r="O2021" s="2">
        <f t="shared" si="1985"/>
        <v>5000</v>
      </c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</row>
    <row r="2022" spans="1:33" s="14" customFormat="1" ht="15" customHeight="1">
      <c r="A2022" s="10">
        <v>42886</v>
      </c>
      <c r="B2022" s="3" t="s">
        <v>83</v>
      </c>
      <c r="C2022" s="15" t="s">
        <v>46</v>
      </c>
      <c r="D2022" s="15">
        <v>23300</v>
      </c>
      <c r="E2022" s="11">
        <v>40</v>
      </c>
      <c r="F2022" s="3" t="s">
        <v>8</v>
      </c>
      <c r="G2022" s="46">
        <v>95</v>
      </c>
      <c r="H2022" s="3">
        <v>105</v>
      </c>
      <c r="I2022" s="46">
        <v>120</v>
      </c>
      <c r="J2022" s="55">
        <v>0</v>
      </c>
      <c r="K2022" s="1">
        <f t="shared" ref="K2022" si="2049">(IF(F2022="SELL",G2022-H2022,IF(F2022="BUY",H2022-G2022)))*E2022</f>
        <v>400</v>
      </c>
      <c r="L2022" s="51">
        <f t="shared" ref="L2022" si="2050">(IF(F2022="SELL",IF(I2022="",0,H2022-I2022),IF(F2022="BUY",IF(I2022="",0,I2022-H2022))))*E2022</f>
        <v>600</v>
      </c>
      <c r="M2022" s="52">
        <v>0</v>
      </c>
      <c r="N2022" s="2">
        <f t="shared" si="2038"/>
        <v>25</v>
      </c>
      <c r="O2022" s="2">
        <f t="shared" si="1985"/>
        <v>1000</v>
      </c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</row>
    <row r="2023" spans="1:33" s="14" customFormat="1" ht="15" customHeight="1">
      <c r="A2023" s="10">
        <v>42886</v>
      </c>
      <c r="B2023" s="3" t="s">
        <v>59</v>
      </c>
      <c r="C2023" s="15" t="s">
        <v>47</v>
      </c>
      <c r="D2023" s="15">
        <v>160</v>
      </c>
      <c r="E2023" s="11">
        <v>4000</v>
      </c>
      <c r="F2023" s="3" t="s">
        <v>8</v>
      </c>
      <c r="G2023" s="46">
        <v>6</v>
      </c>
      <c r="H2023" s="3">
        <v>6</v>
      </c>
      <c r="I2023" s="46">
        <v>0</v>
      </c>
      <c r="J2023" s="55">
        <v>0</v>
      </c>
      <c r="K2023" s="1">
        <f t="shared" ref="K2023" si="2051">(IF(F2023="SELL",G2023-H2023,IF(F2023="BUY",H2023-G2023)))*E2023</f>
        <v>0</v>
      </c>
      <c r="L2023" s="51">
        <v>0</v>
      </c>
      <c r="M2023" s="52">
        <f t="shared" ref="M2023:M2049" si="2052">(IF(F2023="SELL",IF(J2023="",0,I2023-J2023),IF(F2023="BUY",IF(J2023="",0,(J2023-I2023)))))*E2023</f>
        <v>0</v>
      </c>
      <c r="N2023" s="2">
        <f t="shared" si="2038"/>
        <v>0</v>
      </c>
      <c r="O2023" s="2">
        <f t="shared" si="1985"/>
        <v>0</v>
      </c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</row>
    <row r="2024" spans="1:33" s="14" customFormat="1" ht="15" customHeight="1">
      <c r="A2024" s="10">
        <v>42885</v>
      </c>
      <c r="B2024" s="3" t="s">
        <v>25</v>
      </c>
      <c r="C2024" s="15" t="s">
        <v>46</v>
      </c>
      <c r="D2024" s="15">
        <v>135</v>
      </c>
      <c r="E2024" s="11">
        <v>5000</v>
      </c>
      <c r="F2024" s="3" t="s">
        <v>8</v>
      </c>
      <c r="G2024" s="46">
        <v>6</v>
      </c>
      <c r="H2024" s="3">
        <v>6</v>
      </c>
      <c r="I2024" s="46">
        <v>0</v>
      </c>
      <c r="J2024" s="55">
        <v>0</v>
      </c>
      <c r="K2024" s="1">
        <f t="shared" ref="K2024" si="2053">(IF(F2024="SELL",G2024-H2024,IF(F2024="BUY",H2024-G2024)))*E2024</f>
        <v>0</v>
      </c>
      <c r="L2024" s="51">
        <v>0</v>
      </c>
      <c r="M2024" s="52">
        <f t="shared" si="2052"/>
        <v>0</v>
      </c>
      <c r="N2024" s="2">
        <f t="shared" si="2038"/>
        <v>0</v>
      </c>
      <c r="O2024" s="2">
        <f t="shared" si="1985"/>
        <v>0</v>
      </c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</row>
    <row r="2025" spans="1:33" s="14" customFormat="1" ht="15" customHeight="1">
      <c r="A2025" s="10">
        <v>42885</v>
      </c>
      <c r="B2025" s="3" t="s">
        <v>119</v>
      </c>
      <c r="C2025" s="15" t="s">
        <v>47</v>
      </c>
      <c r="D2025" s="15">
        <v>560</v>
      </c>
      <c r="E2025" s="11">
        <v>1100</v>
      </c>
      <c r="F2025" s="3" t="s">
        <v>8</v>
      </c>
      <c r="G2025" s="46">
        <v>20</v>
      </c>
      <c r="H2025" s="3">
        <v>22</v>
      </c>
      <c r="I2025" s="46">
        <v>0</v>
      </c>
      <c r="J2025" s="55">
        <v>0</v>
      </c>
      <c r="K2025" s="1">
        <f t="shared" ref="K2025" si="2054">(IF(F2025="SELL",G2025-H2025,IF(F2025="BUY",H2025-G2025)))*E2025</f>
        <v>2200</v>
      </c>
      <c r="L2025" s="51">
        <v>0</v>
      </c>
      <c r="M2025" s="52">
        <f t="shared" si="2052"/>
        <v>0</v>
      </c>
      <c r="N2025" s="2">
        <f t="shared" si="2038"/>
        <v>2</v>
      </c>
      <c r="O2025" s="2">
        <f t="shared" si="1985"/>
        <v>2200</v>
      </c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</row>
    <row r="2026" spans="1:33" s="14" customFormat="1" ht="15" customHeight="1">
      <c r="A2026" s="10">
        <v>42885</v>
      </c>
      <c r="B2026" s="3" t="s">
        <v>83</v>
      </c>
      <c r="C2026" s="15" t="s">
        <v>46</v>
      </c>
      <c r="D2026" s="15">
        <v>23000</v>
      </c>
      <c r="E2026" s="11">
        <v>40</v>
      </c>
      <c r="F2026" s="3" t="s">
        <v>8</v>
      </c>
      <c r="G2026" s="46">
        <v>90</v>
      </c>
      <c r="H2026" s="3">
        <v>90</v>
      </c>
      <c r="I2026" s="46">
        <v>0</v>
      </c>
      <c r="J2026" s="55">
        <v>0</v>
      </c>
      <c r="K2026" s="1">
        <f t="shared" ref="K2026" si="2055">(IF(F2026="SELL",G2026-H2026,IF(F2026="BUY",H2026-G2026)))*E2026</f>
        <v>0</v>
      </c>
      <c r="L2026" s="51">
        <v>0</v>
      </c>
      <c r="M2026" s="52">
        <f t="shared" si="2052"/>
        <v>0</v>
      </c>
      <c r="N2026" s="2">
        <f t="shared" si="2038"/>
        <v>0</v>
      </c>
      <c r="O2026" s="2">
        <f t="shared" si="1985"/>
        <v>0</v>
      </c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</row>
    <row r="2027" spans="1:33" s="14" customFormat="1" ht="15" customHeight="1">
      <c r="A2027" s="10">
        <v>42885</v>
      </c>
      <c r="B2027" s="3" t="s">
        <v>30</v>
      </c>
      <c r="C2027" s="15" t="s">
        <v>47</v>
      </c>
      <c r="D2027" s="15">
        <v>330</v>
      </c>
      <c r="E2027" s="11">
        <v>2500</v>
      </c>
      <c r="F2027" s="3" t="s">
        <v>8</v>
      </c>
      <c r="G2027" s="46">
        <v>6</v>
      </c>
      <c r="H2027" s="3">
        <v>6</v>
      </c>
      <c r="I2027" s="46">
        <v>0</v>
      </c>
      <c r="J2027" s="55">
        <v>0</v>
      </c>
      <c r="K2027" s="1">
        <f t="shared" ref="K2027" si="2056">(IF(F2027="SELL",G2027-H2027,IF(F2027="BUY",H2027-G2027)))*E2027</f>
        <v>0</v>
      </c>
      <c r="L2027" s="51">
        <v>0</v>
      </c>
      <c r="M2027" s="52">
        <f t="shared" si="2052"/>
        <v>0</v>
      </c>
      <c r="N2027" s="2">
        <f t="shared" si="2038"/>
        <v>0</v>
      </c>
      <c r="O2027" s="2">
        <f t="shared" si="1985"/>
        <v>0</v>
      </c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</row>
    <row r="2028" spans="1:33" s="14" customFormat="1" ht="15" customHeight="1">
      <c r="A2028" s="10">
        <v>42881</v>
      </c>
      <c r="B2028" s="3" t="s">
        <v>25</v>
      </c>
      <c r="C2028" s="15" t="s">
        <v>47</v>
      </c>
      <c r="D2028" s="15">
        <v>155</v>
      </c>
      <c r="E2028" s="11">
        <v>5000</v>
      </c>
      <c r="F2028" s="3" t="s">
        <v>8</v>
      </c>
      <c r="G2028" s="46">
        <v>8.5</v>
      </c>
      <c r="H2028" s="3">
        <v>8.5</v>
      </c>
      <c r="I2028" s="46">
        <v>0</v>
      </c>
      <c r="J2028" s="55">
        <v>0</v>
      </c>
      <c r="K2028" s="1">
        <f t="shared" ref="K2028" si="2057">(IF(F2028="SELL",G2028-H2028,IF(F2028="BUY",H2028-G2028)))*E2028</f>
        <v>0</v>
      </c>
      <c r="L2028" s="51">
        <v>0</v>
      </c>
      <c r="M2028" s="52">
        <f t="shared" si="2052"/>
        <v>0</v>
      </c>
      <c r="N2028" s="2">
        <f t="shared" si="2038"/>
        <v>0</v>
      </c>
      <c r="O2028" s="2">
        <f t="shared" si="1985"/>
        <v>0</v>
      </c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</row>
    <row r="2029" spans="1:33" s="14" customFormat="1" ht="15" customHeight="1">
      <c r="A2029" s="10">
        <v>42881</v>
      </c>
      <c r="B2029" s="3" t="s">
        <v>99</v>
      </c>
      <c r="C2029" s="15" t="s">
        <v>47</v>
      </c>
      <c r="D2029" s="15">
        <v>430</v>
      </c>
      <c r="E2029" s="11">
        <v>3000</v>
      </c>
      <c r="F2029" s="3" t="s">
        <v>8</v>
      </c>
      <c r="G2029" s="46">
        <v>10</v>
      </c>
      <c r="H2029" s="3">
        <v>11</v>
      </c>
      <c r="I2029" s="46">
        <v>0</v>
      </c>
      <c r="J2029" s="55">
        <v>0</v>
      </c>
      <c r="K2029" s="1">
        <f t="shared" ref="K2029" si="2058">(IF(F2029="SELL",G2029-H2029,IF(F2029="BUY",H2029-G2029)))*E2029</f>
        <v>3000</v>
      </c>
      <c r="L2029" s="51">
        <v>0</v>
      </c>
      <c r="M2029" s="52">
        <f t="shared" si="2052"/>
        <v>0</v>
      </c>
      <c r="N2029" s="2">
        <f t="shared" si="2038"/>
        <v>1</v>
      </c>
      <c r="O2029" s="2">
        <f t="shared" si="1985"/>
        <v>3000</v>
      </c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</row>
    <row r="2030" spans="1:33" s="14" customFormat="1" ht="15" customHeight="1">
      <c r="A2030" s="10">
        <v>42881</v>
      </c>
      <c r="B2030" s="3" t="s">
        <v>76</v>
      </c>
      <c r="C2030" s="15" t="s">
        <v>47</v>
      </c>
      <c r="D2030" s="15">
        <v>9600</v>
      </c>
      <c r="E2030" s="11">
        <v>75</v>
      </c>
      <c r="F2030" s="3" t="s">
        <v>118</v>
      </c>
      <c r="G2030" s="46">
        <v>70</v>
      </c>
      <c r="H2030" s="3">
        <v>70</v>
      </c>
      <c r="I2030" s="46">
        <v>0</v>
      </c>
      <c r="J2030" s="55">
        <v>0</v>
      </c>
      <c r="K2030" s="1">
        <f t="shared" ref="K2030" si="2059">(IF(F2030="SELL",G2030-H2030,IF(F2030="BUY",H2030-G2030)))*E2030</f>
        <v>0</v>
      </c>
      <c r="L2030" s="51">
        <v>0</v>
      </c>
      <c r="M2030" s="52">
        <f t="shared" si="2052"/>
        <v>0</v>
      </c>
      <c r="N2030" s="2">
        <f t="shared" si="2038"/>
        <v>0</v>
      </c>
      <c r="O2030" s="2">
        <f t="shared" si="1985"/>
        <v>0</v>
      </c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</row>
    <row r="2031" spans="1:33" s="14" customFormat="1" ht="15" customHeight="1">
      <c r="A2031" s="10">
        <v>42881</v>
      </c>
      <c r="B2031" s="3" t="s">
        <v>83</v>
      </c>
      <c r="C2031" s="15" t="s">
        <v>46</v>
      </c>
      <c r="D2031" s="15">
        <v>22800</v>
      </c>
      <c r="E2031" s="11">
        <v>40</v>
      </c>
      <c r="F2031" s="3" t="s">
        <v>8</v>
      </c>
      <c r="G2031" s="46">
        <v>65</v>
      </c>
      <c r="H2031" s="3">
        <v>35</v>
      </c>
      <c r="I2031" s="46">
        <v>0</v>
      </c>
      <c r="J2031" s="55">
        <v>0</v>
      </c>
      <c r="K2031" s="1">
        <f t="shared" ref="K2031" si="2060">(IF(F2031="SELL",G2031-H2031,IF(F2031="BUY",H2031-G2031)))*E2031</f>
        <v>-1200</v>
      </c>
      <c r="L2031" s="51">
        <v>0</v>
      </c>
      <c r="M2031" s="52">
        <f t="shared" si="2052"/>
        <v>0</v>
      </c>
      <c r="N2031" s="2">
        <f t="shared" si="2038"/>
        <v>-30</v>
      </c>
      <c r="O2031" s="2">
        <f t="shared" si="1985"/>
        <v>-1200</v>
      </c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</row>
    <row r="2032" spans="1:33" s="14" customFormat="1" ht="15" customHeight="1">
      <c r="A2032" s="10">
        <v>42881</v>
      </c>
      <c r="B2032" s="3" t="s">
        <v>11</v>
      </c>
      <c r="C2032" s="15" t="s">
        <v>47</v>
      </c>
      <c r="D2032" s="15">
        <v>720</v>
      </c>
      <c r="E2032" s="11">
        <v>1000</v>
      </c>
      <c r="F2032" s="3" t="s">
        <v>8</v>
      </c>
      <c r="G2032" s="46">
        <v>4</v>
      </c>
      <c r="H2032" s="3">
        <v>4</v>
      </c>
      <c r="I2032" s="46">
        <v>0</v>
      </c>
      <c r="J2032" s="55">
        <v>0</v>
      </c>
      <c r="K2032" s="1">
        <f t="shared" ref="K2032" si="2061">(IF(F2032="SELL",G2032-H2032,IF(F2032="BUY",H2032-G2032)))*E2032</f>
        <v>0</v>
      </c>
      <c r="L2032" s="51">
        <v>0</v>
      </c>
      <c r="M2032" s="52">
        <f t="shared" si="2052"/>
        <v>0</v>
      </c>
      <c r="N2032" s="2">
        <f t="shared" si="2038"/>
        <v>0</v>
      </c>
      <c r="O2032" s="2">
        <f t="shared" si="1985"/>
        <v>0</v>
      </c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</row>
    <row r="2033" spans="1:33" s="14" customFormat="1" ht="15" customHeight="1">
      <c r="A2033" s="10">
        <v>42880</v>
      </c>
      <c r="B2033" s="3" t="s">
        <v>22</v>
      </c>
      <c r="C2033" s="15" t="s">
        <v>47</v>
      </c>
      <c r="D2033" s="15">
        <v>195</v>
      </c>
      <c r="E2033" s="11">
        <v>5000</v>
      </c>
      <c r="F2033" s="3" t="s">
        <v>8</v>
      </c>
      <c r="G2033" s="46">
        <v>10</v>
      </c>
      <c r="H2033" s="3">
        <v>10.5</v>
      </c>
      <c r="I2033" s="46">
        <v>0</v>
      </c>
      <c r="J2033" s="55">
        <v>0</v>
      </c>
      <c r="K2033" s="1">
        <f t="shared" ref="K2033" si="2062">(IF(F2033="SELL",G2033-H2033,IF(F2033="BUY",H2033-G2033)))*E2033</f>
        <v>2500</v>
      </c>
      <c r="L2033" s="51">
        <v>0</v>
      </c>
      <c r="M2033" s="52">
        <f t="shared" si="2052"/>
        <v>0</v>
      </c>
      <c r="N2033" s="2">
        <f t="shared" si="2038"/>
        <v>0.5</v>
      </c>
      <c r="O2033" s="2">
        <f t="shared" ref="O2033:O2096" si="2063">N2033*E2033</f>
        <v>2500</v>
      </c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</row>
    <row r="2034" spans="1:33" s="14" customFormat="1" ht="15" customHeight="1">
      <c r="A2034" s="10">
        <v>42880</v>
      </c>
      <c r="B2034" s="3" t="s">
        <v>60</v>
      </c>
      <c r="C2034" s="15" t="s">
        <v>47</v>
      </c>
      <c r="D2034" s="15">
        <v>230</v>
      </c>
      <c r="E2034" s="11">
        <v>3500</v>
      </c>
      <c r="F2034" s="3" t="s">
        <v>8</v>
      </c>
      <c r="G2034" s="46">
        <v>9.5</v>
      </c>
      <c r="H2034" s="3">
        <v>9.9</v>
      </c>
      <c r="I2034" s="46">
        <v>0</v>
      </c>
      <c r="J2034" s="55">
        <v>0</v>
      </c>
      <c r="K2034" s="1">
        <f t="shared" ref="K2034" si="2064">(IF(F2034="SELL",G2034-H2034,IF(F2034="BUY",H2034-G2034)))*E2034</f>
        <v>1400.0000000000011</v>
      </c>
      <c r="L2034" s="51">
        <v>0</v>
      </c>
      <c r="M2034" s="52">
        <f t="shared" si="2052"/>
        <v>0</v>
      </c>
      <c r="N2034" s="2">
        <f t="shared" si="2038"/>
        <v>0.4000000000000003</v>
      </c>
      <c r="O2034" s="2">
        <f t="shared" si="2063"/>
        <v>1400.0000000000011</v>
      </c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</row>
    <row r="2035" spans="1:33" s="14" customFormat="1" ht="15" customHeight="1">
      <c r="A2035" s="10">
        <v>42880</v>
      </c>
      <c r="B2035" s="3" t="s">
        <v>83</v>
      </c>
      <c r="C2035" s="15" t="s">
        <v>46</v>
      </c>
      <c r="D2035" s="15">
        <v>22600</v>
      </c>
      <c r="E2035" s="11">
        <v>40</v>
      </c>
      <c r="F2035" s="3" t="s">
        <v>8</v>
      </c>
      <c r="G2035" s="46">
        <v>35</v>
      </c>
      <c r="H2035" s="3">
        <v>45</v>
      </c>
      <c r="I2035" s="46">
        <v>0</v>
      </c>
      <c r="J2035" s="55">
        <v>0</v>
      </c>
      <c r="K2035" s="1">
        <f t="shared" ref="K2035" si="2065">(IF(F2035="SELL",G2035-H2035,IF(F2035="BUY",H2035-G2035)))*E2035</f>
        <v>400</v>
      </c>
      <c r="L2035" s="51">
        <v>0</v>
      </c>
      <c r="M2035" s="52">
        <f t="shared" si="2052"/>
        <v>0</v>
      </c>
      <c r="N2035" s="2">
        <f t="shared" si="2038"/>
        <v>10</v>
      </c>
      <c r="O2035" s="2">
        <f t="shared" si="2063"/>
        <v>400</v>
      </c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</row>
    <row r="2036" spans="1:33" s="14" customFormat="1" ht="15" customHeight="1">
      <c r="A2036" s="10">
        <v>42880</v>
      </c>
      <c r="B2036" s="3" t="s">
        <v>16</v>
      </c>
      <c r="C2036" s="15" t="s">
        <v>47</v>
      </c>
      <c r="D2036" s="15">
        <v>340</v>
      </c>
      <c r="E2036" s="11">
        <v>2500</v>
      </c>
      <c r="F2036" s="3" t="s">
        <v>8</v>
      </c>
      <c r="G2036" s="46">
        <v>7</v>
      </c>
      <c r="H2036" s="3">
        <v>7.6</v>
      </c>
      <c r="I2036" s="46">
        <v>0</v>
      </c>
      <c r="J2036" s="55">
        <v>0</v>
      </c>
      <c r="K2036" s="1">
        <f t="shared" ref="K2036" si="2066">(IF(F2036="SELL",G2036-H2036,IF(F2036="BUY",H2036-G2036)))*E2036</f>
        <v>1499.9999999999991</v>
      </c>
      <c r="L2036" s="51">
        <v>0</v>
      </c>
      <c r="M2036" s="52">
        <f t="shared" si="2052"/>
        <v>0</v>
      </c>
      <c r="N2036" s="2">
        <f t="shared" si="2038"/>
        <v>0.59999999999999964</v>
      </c>
      <c r="O2036" s="2">
        <f t="shared" si="2063"/>
        <v>1499.9999999999991</v>
      </c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</row>
    <row r="2037" spans="1:33" s="14" customFormat="1" ht="15" customHeight="1">
      <c r="A2037" s="10">
        <v>42879</v>
      </c>
      <c r="B2037" s="3" t="s">
        <v>83</v>
      </c>
      <c r="C2037" s="15" t="s">
        <v>46</v>
      </c>
      <c r="D2037" s="15">
        <v>22500</v>
      </c>
      <c r="E2037" s="11">
        <v>40</v>
      </c>
      <c r="F2037" s="3" t="s">
        <v>8</v>
      </c>
      <c r="G2037" s="46">
        <v>70</v>
      </c>
      <c r="H2037" s="3">
        <v>45</v>
      </c>
      <c r="I2037" s="46">
        <v>0</v>
      </c>
      <c r="J2037" s="55">
        <v>0</v>
      </c>
      <c r="K2037" s="1">
        <f t="shared" ref="K2037" si="2067">(IF(F2037="SELL",G2037-H2037,IF(F2037="BUY",H2037-G2037)))*E2037</f>
        <v>-1000</v>
      </c>
      <c r="L2037" s="51">
        <v>0</v>
      </c>
      <c r="M2037" s="52">
        <f t="shared" si="2052"/>
        <v>0</v>
      </c>
      <c r="N2037" s="2">
        <f t="shared" si="2038"/>
        <v>-25</v>
      </c>
      <c r="O2037" s="2">
        <f t="shared" si="2063"/>
        <v>-1000</v>
      </c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</row>
    <row r="2038" spans="1:33" s="14" customFormat="1" ht="15" customHeight="1">
      <c r="A2038" s="10">
        <v>42879</v>
      </c>
      <c r="B2038" s="3" t="s">
        <v>58</v>
      </c>
      <c r="C2038" s="15" t="s">
        <v>47</v>
      </c>
      <c r="D2038" s="15">
        <v>450</v>
      </c>
      <c r="E2038" s="11">
        <v>2000</v>
      </c>
      <c r="F2038" s="3" t="s">
        <v>8</v>
      </c>
      <c r="G2038" s="46">
        <v>5</v>
      </c>
      <c r="H2038" s="3">
        <v>6</v>
      </c>
      <c r="I2038" s="46">
        <v>0</v>
      </c>
      <c r="J2038" s="55">
        <v>0</v>
      </c>
      <c r="K2038" s="1">
        <f t="shared" ref="K2038" si="2068">(IF(F2038="SELL",G2038-H2038,IF(F2038="BUY",H2038-G2038)))*E2038</f>
        <v>2000</v>
      </c>
      <c r="L2038" s="51">
        <v>0</v>
      </c>
      <c r="M2038" s="52">
        <f t="shared" si="2052"/>
        <v>0</v>
      </c>
      <c r="N2038" s="2">
        <f t="shared" si="2038"/>
        <v>1</v>
      </c>
      <c r="O2038" s="2">
        <f t="shared" si="2063"/>
        <v>2000</v>
      </c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</row>
    <row r="2039" spans="1:33" s="14" customFormat="1" ht="15" customHeight="1">
      <c r="A2039" s="10">
        <v>42879</v>
      </c>
      <c r="B2039" s="3" t="s">
        <v>107</v>
      </c>
      <c r="C2039" s="15" t="s">
        <v>47</v>
      </c>
      <c r="D2039" s="15">
        <v>620</v>
      </c>
      <c r="E2039" s="11">
        <v>700</v>
      </c>
      <c r="F2039" s="3" t="s">
        <v>8</v>
      </c>
      <c r="G2039" s="46">
        <v>3.8</v>
      </c>
      <c r="H2039" s="3">
        <v>4</v>
      </c>
      <c r="I2039" s="46">
        <v>4.5</v>
      </c>
      <c r="J2039" s="55">
        <v>6.1</v>
      </c>
      <c r="K2039" s="1">
        <f t="shared" ref="K2039" si="2069">(IF(F2039="SELL",G2039-H2039,IF(F2039="BUY",H2039-G2039)))*E2039</f>
        <v>140.00000000000011</v>
      </c>
      <c r="L2039" s="51">
        <f t="shared" ref="L2039:L2040" si="2070">(IF(F2039="SELL",IF(I2039="",0,H2039-I2039),IF(F2039="BUY",IF(I2039="",0,I2039-H2039))))*E2039</f>
        <v>350</v>
      </c>
      <c r="M2039" s="52">
        <f t="shared" si="2052"/>
        <v>1119.9999999999998</v>
      </c>
      <c r="N2039" s="2">
        <f t="shared" si="2038"/>
        <v>2.2999999999999998</v>
      </c>
      <c r="O2039" s="2">
        <f t="shared" si="2063"/>
        <v>1609.9999999999998</v>
      </c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</row>
    <row r="2040" spans="1:33" s="14" customFormat="1" ht="15" customHeight="1">
      <c r="A2040" s="10">
        <v>42878</v>
      </c>
      <c r="B2040" s="3" t="s">
        <v>55</v>
      </c>
      <c r="C2040" s="15" t="s">
        <v>47</v>
      </c>
      <c r="D2040" s="15">
        <v>180</v>
      </c>
      <c r="E2040" s="11">
        <v>3500</v>
      </c>
      <c r="F2040" s="3" t="s">
        <v>8</v>
      </c>
      <c r="G2040" s="46">
        <v>3.25</v>
      </c>
      <c r="H2040" s="3">
        <v>3.65</v>
      </c>
      <c r="I2040" s="46">
        <v>4.45</v>
      </c>
      <c r="J2040" s="55">
        <v>5.65</v>
      </c>
      <c r="K2040" s="1">
        <f t="shared" ref="K2040" si="2071">(IF(F2040="SELL",G2040-H2040,IF(F2040="BUY",H2040-G2040)))*E2040</f>
        <v>1399.9999999999998</v>
      </c>
      <c r="L2040" s="51">
        <f t="shared" si="2070"/>
        <v>2800.0000000000009</v>
      </c>
      <c r="M2040" s="52">
        <f t="shared" si="2052"/>
        <v>4200.0000000000009</v>
      </c>
      <c r="N2040" s="2">
        <f t="shared" si="2038"/>
        <v>2.4000000000000004</v>
      </c>
      <c r="O2040" s="2">
        <f t="shared" si="2063"/>
        <v>8400.0000000000018</v>
      </c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</row>
    <row r="2041" spans="1:33" s="14" customFormat="1" ht="15" customHeight="1">
      <c r="A2041" s="10">
        <v>42878</v>
      </c>
      <c r="B2041" s="3" t="s">
        <v>21</v>
      </c>
      <c r="C2041" s="15" t="s">
        <v>47</v>
      </c>
      <c r="D2041" s="15">
        <v>290</v>
      </c>
      <c r="E2041" s="11">
        <v>3000</v>
      </c>
      <c r="F2041" s="3" t="s">
        <v>8</v>
      </c>
      <c r="G2041" s="46">
        <v>4</v>
      </c>
      <c r="H2041" s="3">
        <v>4.5</v>
      </c>
      <c r="I2041" s="46">
        <v>0</v>
      </c>
      <c r="J2041" s="55">
        <v>0</v>
      </c>
      <c r="K2041" s="1">
        <f t="shared" ref="K2041" si="2072">(IF(F2041="SELL",G2041-H2041,IF(F2041="BUY",H2041-G2041)))*E2041</f>
        <v>1500</v>
      </c>
      <c r="L2041" s="51">
        <v>0</v>
      </c>
      <c r="M2041" s="52">
        <f t="shared" si="2052"/>
        <v>0</v>
      </c>
      <c r="N2041" s="2">
        <f t="shared" si="2038"/>
        <v>0.5</v>
      </c>
      <c r="O2041" s="2">
        <f t="shared" si="2063"/>
        <v>1500</v>
      </c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</row>
    <row r="2042" spans="1:33" s="14" customFormat="1" ht="15" customHeight="1">
      <c r="A2042" s="10">
        <v>42878</v>
      </c>
      <c r="B2042" s="3" t="s">
        <v>83</v>
      </c>
      <c r="C2042" s="15" t="s">
        <v>46</v>
      </c>
      <c r="D2042" s="15">
        <v>22600</v>
      </c>
      <c r="E2042" s="11">
        <v>40</v>
      </c>
      <c r="F2042" s="3" t="s">
        <v>8</v>
      </c>
      <c r="G2042" s="46">
        <v>75</v>
      </c>
      <c r="H2042" s="3">
        <v>90</v>
      </c>
      <c r="I2042" s="46">
        <v>105</v>
      </c>
      <c r="J2042" s="55">
        <v>150</v>
      </c>
      <c r="K2042" s="1">
        <f t="shared" ref="K2042" si="2073">(IF(F2042="SELL",G2042-H2042,IF(F2042="BUY",H2042-G2042)))*E2042</f>
        <v>600</v>
      </c>
      <c r="L2042" s="51">
        <v>0</v>
      </c>
      <c r="M2042" s="52">
        <f t="shared" si="2052"/>
        <v>1800</v>
      </c>
      <c r="N2042" s="2">
        <f t="shared" si="2038"/>
        <v>60</v>
      </c>
      <c r="O2042" s="2">
        <f t="shared" si="2063"/>
        <v>2400</v>
      </c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</row>
    <row r="2043" spans="1:33" s="14" customFormat="1" ht="15" customHeight="1">
      <c r="A2043" s="10">
        <v>42878</v>
      </c>
      <c r="B2043" s="3" t="s">
        <v>102</v>
      </c>
      <c r="C2043" s="15" t="s">
        <v>47</v>
      </c>
      <c r="D2043" s="15">
        <v>375</v>
      </c>
      <c r="E2043" s="11">
        <v>500</v>
      </c>
      <c r="F2043" s="3" t="s">
        <v>8</v>
      </c>
      <c r="G2043" s="46">
        <v>3</v>
      </c>
      <c r="H2043" s="3">
        <v>3.5</v>
      </c>
      <c r="I2043" s="46">
        <v>0</v>
      </c>
      <c r="J2043" s="55">
        <v>0</v>
      </c>
      <c r="K2043" s="1">
        <f t="shared" ref="K2043" si="2074">(IF(F2043="SELL",G2043-H2043,IF(F2043="BUY",H2043-G2043)))*E2043</f>
        <v>250</v>
      </c>
      <c r="L2043" s="51">
        <v>0</v>
      </c>
      <c r="M2043" s="52">
        <f t="shared" si="2052"/>
        <v>0</v>
      </c>
      <c r="N2043" s="2">
        <f t="shared" si="2038"/>
        <v>0.5</v>
      </c>
      <c r="O2043" s="2">
        <f t="shared" si="2063"/>
        <v>250</v>
      </c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</row>
    <row r="2044" spans="1:33" s="14" customFormat="1" ht="15" customHeight="1">
      <c r="A2044" s="10">
        <v>42877</v>
      </c>
      <c r="B2044" s="3" t="s">
        <v>69</v>
      </c>
      <c r="C2044" s="15" t="s">
        <v>47</v>
      </c>
      <c r="D2044" s="15">
        <v>440</v>
      </c>
      <c r="E2044" s="11">
        <v>2500</v>
      </c>
      <c r="F2044" s="3" t="s">
        <v>8</v>
      </c>
      <c r="G2044" s="46">
        <v>7</v>
      </c>
      <c r="H2044" s="3">
        <v>7</v>
      </c>
      <c r="I2044" s="46">
        <v>0</v>
      </c>
      <c r="J2044" s="55">
        <v>0</v>
      </c>
      <c r="K2044" s="1">
        <f t="shared" ref="K2044" si="2075">(IF(F2044="SELL",G2044-H2044,IF(F2044="BUY",H2044-G2044)))*E2044</f>
        <v>0</v>
      </c>
      <c r="L2044" s="51">
        <v>0</v>
      </c>
      <c r="M2044" s="52">
        <f t="shared" si="2052"/>
        <v>0</v>
      </c>
      <c r="N2044" s="2">
        <f t="shared" si="2038"/>
        <v>0</v>
      </c>
      <c r="O2044" s="2">
        <f t="shared" si="2063"/>
        <v>0</v>
      </c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</row>
    <row r="2045" spans="1:33" s="14" customFormat="1" ht="15" customHeight="1">
      <c r="A2045" s="10">
        <v>42877</v>
      </c>
      <c r="B2045" s="3" t="s">
        <v>117</v>
      </c>
      <c r="C2045" s="15" t="s">
        <v>47</v>
      </c>
      <c r="D2045" s="15">
        <v>260</v>
      </c>
      <c r="E2045" s="11">
        <v>2500</v>
      </c>
      <c r="F2045" s="3" t="s">
        <v>8</v>
      </c>
      <c r="G2045" s="46">
        <v>2.5</v>
      </c>
      <c r="H2045" s="3">
        <v>2.5</v>
      </c>
      <c r="I2045" s="46">
        <v>0</v>
      </c>
      <c r="J2045" s="55">
        <v>0</v>
      </c>
      <c r="K2045" s="1">
        <f>(IF(F2045="SELL",G2045-H2045,IF(F2045="BUY",H2045-G2045)))*E2045</f>
        <v>0</v>
      </c>
      <c r="L2045" s="51">
        <v>0</v>
      </c>
      <c r="M2045" s="52">
        <f t="shared" si="2052"/>
        <v>0</v>
      </c>
      <c r="N2045" s="2">
        <f t="shared" si="2038"/>
        <v>0</v>
      </c>
      <c r="O2045" s="2">
        <f t="shared" si="2063"/>
        <v>0</v>
      </c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</row>
    <row r="2046" spans="1:33" s="14" customFormat="1" ht="15" customHeight="1">
      <c r="A2046" s="10">
        <v>42874</v>
      </c>
      <c r="B2046" s="3" t="s">
        <v>113</v>
      </c>
      <c r="C2046" s="15" t="s">
        <v>47</v>
      </c>
      <c r="D2046" s="15">
        <v>500</v>
      </c>
      <c r="E2046" s="11">
        <v>2000</v>
      </c>
      <c r="F2046" s="3" t="s">
        <v>8</v>
      </c>
      <c r="G2046" s="46">
        <v>6.5</v>
      </c>
      <c r="H2046" s="3">
        <v>6.5</v>
      </c>
      <c r="I2046" s="46">
        <v>0</v>
      </c>
      <c r="J2046" s="55">
        <v>0</v>
      </c>
      <c r="K2046" s="1">
        <f t="shared" ref="K2046" si="2076">(IF(F2046="SELL",G2046-H2046,IF(F2046="BUY",H2046-G2046)))*E2046</f>
        <v>0</v>
      </c>
      <c r="L2046" s="51">
        <v>0</v>
      </c>
      <c r="M2046" s="52">
        <f t="shared" si="2052"/>
        <v>0</v>
      </c>
      <c r="N2046" s="2">
        <f t="shared" si="2038"/>
        <v>0</v>
      </c>
      <c r="O2046" s="2">
        <f t="shared" si="2063"/>
        <v>0</v>
      </c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</row>
    <row r="2047" spans="1:33" s="14" customFormat="1" ht="15" customHeight="1">
      <c r="A2047" s="10">
        <v>42874</v>
      </c>
      <c r="B2047" s="3" t="s">
        <v>33</v>
      </c>
      <c r="C2047" s="15" t="s">
        <v>47</v>
      </c>
      <c r="D2047" s="15">
        <v>670</v>
      </c>
      <c r="E2047" s="11">
        <v>1500</v>
      </c>
      <c r="F2047" s="3" t="s">
        <v>8</v>
      </c>
      <c r="G2047" s="46">
        <v>12</v>
      </c>
      <c r="H2047" s="3">
        <v>12</v>
      </c>
      <c r="I2047" s="46">
        <v>0</v>
      </c>
      <c r="J2047" s="55">
        <v>0</v>
      </c>
      <c r="K2047" s="1">
        <f t="shared" ref="K2047" si="2077">(IF(F2047="SELL",G2047-H2047,IF(F2047="BUY",H2047-G2047)))*E2047</f>
        <v>0</v>
      </c>
      <c r="L2047" s="51">
        <v>0</v>
      </c>
      <c r="M2047" s="52">
        <f t="shared" si="2052"/>
        <v>0</v>
      </c>
      <c r="N2047" s="2">
        <f t="shared" si="2038"/>
        <v>0</v>
      </c>
      <c r="O2047" s="2">
        <f t="shared" si="2063"/>
        <v>0</v>
      </c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</row>
    <row r="2048" spans="1:33" s="14" customFormat="1" ht="15" customHeight="1">
      <c r="A2048" s="10">
        <v>42874</v>
      </c>
      <c r="B2048" s="3" t="s">
        <v>83</v>
      </c>
      <c r="C2048" s="15" t="s">
        <v>46</v>
      </c>
      <c r="D2048" s="15">
        <v>22700</v>
      </c>
      <c r="E2048" s="11">
        <v>40</v>
      </c>
      <c r="F2048" s="3" t="s">
        <v>8</v>
      </c>
      <c r="G2048" s="46">
        <v>92</v>
      </c>
      <c r="H2048" s="3">
        <v>70</v>
      </c>
      <c r="I2048" s="46">
        <v>0</v>
      </c>
      <c r="J2048" s="55">
        <v>0</v>
      </c>
      <c r="K2048" s="1">
        <f t="shared" ref="K2048" si="2078">(IF(F2048="SELL",G2048-H2048,IF(F2048="BUY",H2048-G2048)))*E2048</f>
        <v>-880</v>
      </c>
      <c r="L2048" s="51">
        <v>0</v>
      </c>
      <c r="M2048" s="52">
        <f t="shared" si="2052"/>
        <v>0</v>
      </c>
      <c r="N2048" s="2">
        <f t="shared" si="2038"/>
        <v>-22</v>
      </c>
      <c r="O2048" s="2">
        <f t="shared" si="2063"/>
        <v>-880</v>
      </c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</row>
    <row r="2049" spans="1:33" s="14" customFormat="1" ht="15" customHeight="1">
      <c r="A2049" s="10">
        <v>42874</v>
      </c>
      <c r="B2049" s="3" t="s">
        <v>16</v>
      </c>
      <c r="C2049" s="15" t="s">
        <v>47</v>
      </c>
      <c r="D2049" s="15">
        <v>350</v>
      </c>
      <c r="E2049" s="11">
        <v>2500</v>
      </c>
      <c r="F2049" s="3" t="s">
        <v>8</v>
      </c>
      <c r="G2049" s="46">
        <v>7</v>
      </c>
      <c r="H2049" s="3">
        <v>7.6</v>
      </c>
      <c r="I2049" s="46">
        <v>9.1999999999999993</v>
      </c>
      <c r="J2049" s="55">
        <v>11.6</v>
      </c>
      <c r="K2049" s="1">
        <f t="shared" ref="K2049" si="2079">(IF(F2049="SELL",G2049-H2049,IF(F2049="BUY",H2049-G2049)))*E2049</f>
        <v>1499.9999999999991</v>
      </c>
      <c r="L2049" s="51">
        <f t="shared" ref="L2049" si="2080">(IF(F2049="SELL",IF(I2049="",0,H2049-I2049),IF(F2049="BUY",IF(I2049="",0,I2049-H2049))))*E2049</f>
        <v>3999.9999999999991</v>
      </c>
      <c r="M2049" s="52">
        <f t="shared" si="2052"/>
        <v>6000.0000000000009</v>
      </c>
      <c r="N2049" s="2">
        <f t="shared" si="2038"/>
        <v>4.5999999999999996</v>
      </c>
      <c r="O2049" s="2">
        <f t="shared" si="2063"/>
        <v>11500</v>
      </c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</row>
    <row r="2050" spans="1:33" s="14" customFormat="1" ht="15" customHeight="1">
      <c r="A2050" s="10">
        <v>42873</v>
      </c>
      <c r="B2050" s="3" t="s">
        <v>116</v>
      </c>
      <c r="C2050" s="15" t="s">
        <v>47</v>
      </c>
      <c r="D2050" s="15">
        <v>125</v>
      </c>
      <c r="E2050" s="11">
        <v>8000</v>
      </c>
      <c r="F2050" s="3" t="s">
        <v>8</v>
      </c>
      <c r="G2050" s="46">
        <v>4.5</v>
      </c>
      <c r="H2050" s="3">
        <v>4.95</v>
      </c>
      <c r="I2050" s="46">
        <v>5.8</v>
      </c>
      <c r="J2050" s="55">
        <v>0</v>
      </c>
      <c r="K2050" s="1">
        <f t="shared" ref="K2050" si="2081">(IF(F2050="SELL",G2050-H2050,IF(F2050="BUY",H2050-G2050)))*E2050</f>
        <v>3600.0000000000014</v>
      </c>
      <c r="L2050" s="51">
        <f t="shared" ref="L2050" si="2082">(IF(F2050="SELL",IF(I2050="",0,H2050-I2050),IF(F2050="BUY",IF(I2050="",0,I2050-H2050))))*E2050</f>
        <v>6799.9999999999973</v>
      </c>
      <c r="M2050" s="52">
        <v>0</v>
      </c>
      <c r="N2050" s="2">
        <f t="shared" si="2038"/>
        <v>1.2999999999999998</v>
      </c>
      <c r="O2050" s="2">
        <f t="shared" si="2063"/>
        <v>10399.999999999998</v>
      </c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</row>
    <row r="2051" spans="1:33" s="14" customFormat="1" ht="15" customHeight="1">
      <c r="A2051" s="10">
        <v>42873</v>
      </c>
      <c r="B2051" s="3" t="s">
        <v>78</v>
      </c>
      <c r="C2051" s="15" t="s">
        <v>47</v>
      </c>
      <c r="D2051" s="15">
        <v>160</v>
      </c>
      <c r="E2051" s="11">
        <v>600</v>
      </c>
      <c r="F2051" s="3" t="s">
        <v>8</v>
      </c>
      <c r="G2051" s="46">
        <v>3.3</v>
      </c>
      <c r="H2051" s="3">
        <v>3.3</v>
      </c>
      <c r="I2051" s="46">
        <v>0</v>
      </c>
      <c r="J2051" s="55">
        <v>0</v>
      </c>
      <c r="K2051" s="1">
        <v>0</v>
      </c>
      <c r="L2051" s="51">
        <v>0</v>
      </c>
      <c r="M2051" s="52">
        <v>0</v>
      </c>
      <c r="N2051" s="2">
        <f t="shared" si="2038"/>
        <v>0</v>
      </c>
      <c r="O2051" s="2">
        <f t="shared" si="2063"/>
        <v>0</v>
      </c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</row>
    <row r="2052" spans="1:33" s="14" customFormat="1" ht="15" customHeight="1">
      <c r="A2052" s="10">
        <v>42873</v>
      </c>
      <c r="B2052" s="3" t="s">
        <v>12</v>
      </c>
      <c r="C2052" s="15" t="s">
        <v>47</v>
      </c>
      <c r="D2052" s="15">
        <v>620</v>
      </c>
      <c r="E2052" s="11">
        <v>600</v>
      </c>
      <c r="F2052" s="3" t="s">
        <v>8</v>
      </c>
      <c r="G2052" s="46">
        <v>16</v>
      </c>
      <c r="H2052" s="3">
        <v>16</v>
      </c>
      <c r="I2052" s="46">
        <v>0</v>
      </c>
      <c r="J2052" s="55">
        <v>0</v>
      </c>
      <c r="K2052" s="1">
        <v>0</v>
      </c>
      <c r="L2052" s="51">
        <v>0</v>
      </c>
      <c r="M2052" s="52">
        <v>0</v>
      </c>
      <c r="N2052" s="2">
        <f t="shared" si="2038"/>
        <v>0</v>
      </c>
      <c r="O2052" s="2">
        <f t="shared" si="2063"/>
        <v>0</v>
      </c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</row>
    <row r="2053" spans="1:33" s="14" customFormat="1" ht="15" customHeight="1">
      <c r="A2053" s="10">
        <v>42873</v>
      </c>
      <c r="B2053" s="3" t="s">
        <v>115</v>
      </c>
      <c r="C2053" s="15" t="s">
        <v>46</v>
      </c>
      <c r="D2053" s="15">
        <v>980</v>
      </c>
      <c r="E2053" s="11">
        <v>600</v>
      </c>
      <c r="F2053" s="3" t="s">
        <v>8</v>
      </c>
      <c r="G2053" s="46">
        <v>8.5</v>
      </c>
      <c r="H2053" s="3">
        <v>8.5</v>
      </c>
      <c r="I2053" s="46">
        <v>0</v>
      </c>
      <c r="J2053" s="55">
        <v>0</v>
      </c>
      <c r="K2053" s="1">
        <v>0</v>
      </c>
      <c r="L2053" s="51">
        <v>0</v>
      </c>
      <c r="M2053" s="52">
        <v>0</v>
      </c>
      <c r="N2053" s="2">
        <f t="shared" si="2038"/>
        <v>0</v>
      </c>
      <c r="O2053" s="2">
        <f t="shared" si="2063"/>
        <v>0</v>
      </c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</row>
    <row r="2054" spans="1:33" s="14" customFormat="1" ht="15" customHeight="1">
      <c r="A2054" s="10">
        <v>42873</v>
      </c>
      <c r="B2054" s="3" t="s">
        <v>83</v>
      </c>
      <c r="C2054" s="15" t="s">
        <v>46</v>
      </c>
      <c r="D2054" s="15">
        <v>22600</v>
      </c>
      <c r="E2054" s="11">
        <v>40</v>
      </c>
      <c r="F2054" s="3" t="s">
        <v>8</v>
      </c>
      <c r="G2054" s="46">
        <v>85</v>
      </c>
      <c r="H2054" s="3">
        <v>100</v>
      </c>
      <c r="I2054" s="46">
        <v>120</v>
      </c>
      <c r="J2054" s="55">
        <v>0</v>
      </c>
      <c r="K2054" s="1">
        <f t="shared" ref="K2054" si="2083">(IF(F2054="SELL",G2054-H2054,IF(F2054="BUY",H2054-G2054)))*E2054</f>
        <v>600</v>
      </c>
      <c r="L2054" s="51">
        <f t="shared" ref="L2054" si="2084">(IF(F2054="SELL",IF(I2054="",0,H2054-I2054),IF(F2054="BUY",IF(I2054="",0,I2054-H2054))))*E2054</f>
        <v>800</v>
      </c>
      <c r="M2054" s="52">
        <v>0</v>
      </c>
      <c r="N2054" s="2">
        <f t="shared" si="2038"/>
        <v>35</v>
      </c>
      <c r="O2054" s="2">
        <f t="shared" si="2063"/>
        <v>1400</v>
      </c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</row>
    <row r="2055" spans="1:33" s="14" customFormat="1" ht="15" customHeight="1">
      <c r="A2055" s="10">
        <v>42873</v>
      </c>
      <c r="B2055" s="3" t="s">
        <v>114</v>
      </c>
      <c r="C2055" s="15" t="s">
        <v>47</v>
      </c>
      <c r="D2055" s="15">
        <v>1450</v>
      </c>
      <c r="E2055" s="11">
        <v>350</v>
      </c>
      <c r="F2055" s="3" t="s">
        <v>8</v>
      </c>
      <c r="G2055" s="46">
        <v>22</v>
      </c>
      <c r="H2055" s="3">
        <v>22</v>
      </c>
      <c r="I2055" s="46">
        <v>0</v>
      </c>
      <c r="J2055" s="55">
        <v>0</v>
      </c>
      <c r="K2055" s="1">
        <f t="shared" ref="K2055" si="2085">(IF(F2055="SELL",G2055-H2055,IF(F2055="BUY",H2055-G2055)))*E2055</f>
        <v>0</v>
      </c>
      <c r="L2055" s="51">
        <v>0</v>
      </c>
      <c r="M2055" s="52">
        <f t="shared" ref="M2055:M2060" si="2086">(IF(F2055="SELL",IF(J2055="",0,I2055-J2055),IF(F2055="BUY",IF(J2055="",0,(J2055-I2055)))))*E2055</f>
        <v>0</v>
      </c>
      <c r="N2055" s="2">
        <f t="shared" si="2038"/>
        <v>0</v>
      </c>
      <c r="O2055" s="2">
        <f t="shared" si="2063"/>
        <v>0</v>
      </c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</row>
    <row r="2056" spans="1:33" s="14" customFormat="1" ht="15" customHeight="1">
      <c r="A2056" s="10">
        <v>42872</v>
      </c>
      <c r="B2056" s="3" t="s">
        <v>70</v>
      </c>
      <c r="C2056" s="15" t="s">
        <v>47</v>
      </c>
      <c r="D2056" s="15">
        <v>220</v>
      </c>
      <c r="E2056" s="11">
        <v>6000</v>
      </c>
      <c r="F2056" s="3" t="s">
        <v>8</v>
      </c>
      <c r="G2056" s="46">
        <v>4.5</v>
      </c>
      <c r="H2056" s="3">
        <v>4.5</v>
      </c>
      <c r="I2056" s="46">
        <v>0</v>
      </c>
      <c r="J2056" s="55">
        <v>0</v>
      </c>
      <c r="K2056" s="1">
        <f t="shared" ref="K2056" si="2087">(IF(F2056="SELL",G2056-H2056,IF(F2056="BUY",H2056-G2056)))*E2056</f>
        <v>0</v>
      </c>
      <c r="L2056" s="51">
        <v>0</v>
      </c>
      <c r="M2056" s="52">
        <f t="shared" si="2086"/>
        <v>0</v>
      </c>
      <c r="N2056" s="2">
        <f t="shared" si="2038"/>
        <v>0</v>
      </c>
      <c r="O2056" s="2">
        <f t="shared" si="2063"/>
        <v>0</v>
      </c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</row>
    <row r="2057" spans="1:33" s="14" customFormat="1" ht="15" customHeight="1">
      <c r="A2057" s="10">
        <v>42872</v>
      </c>
      <c r="B2057" s="3" t="s">
        <v>25</v>
      </c>
      <c r="C2057" s="15" t="s">
        <v>47</v>
      </c>
      <c r="D2057" s="15">
        <v>175</v>
      </c>
      <c r="E2057" s="11">
        <v>5000</v>
      </c>
      <c r="F2057" s="3" t="s">
        <v>8</v>
      </c>
      <c r="G2057" s="46">
        <v>3</v>
      </c>
      <c r="H2057" s="3">
        <v>3</v>
      </c>
      <c r="I2057" s="46">
        <v>0</v>
      </c>
      <c r="J2057" s="55">
        <v>0</v>
      </c>
      <c r="K2057" s="1">
        <f t="shared" ref="K2057" si="2088">(IF(F2057="SELL",G2057-H2057,IF(F2057="BUY",H2057-G2057)))*E2057</f>
        <v>0</v>
      </c>
      <c r="L2057" s="51">
        <v>0</v>
      </c>
      <c r="M2057" s="52">
        <f t="shared" si="2086"/>
        <v>0</v>
      </c>
      <c r="N2057" s="2">
        <f t="shared" si="2038"/>
        <v>0</v>
      </c>
      <c r="O2057" s="2">
        <f t="shared" si="2063"/>
        <v>0</v>
      </c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</row>
    <row r="2058" spans="1:33" s="14" customFormat="1" ht="15" customHeight="1">
      <c r="A2058" s="10">
        <v>42872</v>
      </c>
      <c r="B2058" s="3" t="s">
        <v>113</v>
      </c>
      <c r="C2058" s="15" t="s">
        <v>47</v>
      </c>
      <c r="D2058" s="15">
        <v>500</v>
      </c>
      <c r="E2058" s="11">
        <v>2000</v>
      </c>
      <c r="F2058" s="3" t="s">
        <v>8</v>
      </c>
      <c r="G2058" s="46">
        <v>8</v>
      </c>
      <c r="H2058" s="3">
        <v>9.5</v>
      </c>
      <c r="I2058" s="46">
        <v>0</v>
      </c>
      <c r="J2058" s="55">
        <v>0</v>
      </c>
      <c r="K2058" s="1">
        <f t="shared" ref="K2058" si="2089">(IF(F2058="SELL",G2058-H2058,IF(F2058="BUY",H2058-G2058)))*E2058</f>
        <v>3000</v>
      </c>
      <c r="L2058" s="51">
        <v>0</v>
      </c>
      <c r="M2058" s="52">
        <f t="shared" si="2086"/>
        <v>0</v>
      </c>
      <c r="N2058" s="2">
        <f t="shared" si="2038"/>
        <v>1.5</v>
      </c>
      <c r="O2058" s="2">
        <f t="shared" si="2063"/>
        <v>3000</v>
      </c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</row>
    <row r="2059" spans="1:33" s="14" customFormat="1" ht="15" customHeight="1">
      <c r="A2059" s="10">
        <v>42872</v>
      </c>
      <c r="B2059" s="3" t="s">
        <v>83</v>
      </c>
      <c r="C2059" s="15" t="s">
        <v>47</v>
      </c>
      <c r="D2059" s="15">
        <v>23100</v>
      </c>
      <c r="E2059" s="11">
        <v>40</v>
      </c>
      <c r="F2059" s="3" t="s">
        <v>8</v>
      </c>
      <c r="G2059" s="46">
        <v>10</v>
      </c>
      <c r="H2059" s="3">
        <v>20</v>
      </c>
      <c r="I2059" s="46">
        <v>0</v>
      </c>
      <c r="J2059" s="55">
        <v>0</v>
      </c>
      <c r="K2059" s="1">
        <f t="shared" ref="K2059" si="2090">(IF(F2059="SELL",G2059-H2059,IF(F2059="BUY",H2059-G2059)))*E2059</f>
        <v>400</v>
      </c>
      <c r="L2059" s="51">
        <v>0</v>
      </c>
      <c r="M2059" s="52">
        <f t="shared" si="2086"/>
        <v>0</v>
      </c>
      <c r="N2059" s="2">
        <f t="shared" si="2038"/>
        <v>10</v>
      </c>
      <c r="O2059" s="2">
        <f t="shared" si="2063"/>
        <v>400</v>
      </c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</row>
    <row r="2060" spans="1:33" s="14" customFormat="1" ht="15" customHeight="1">
      <c r="A2060" s="10">
        <v>42872</v>
      </c>
      <c r="B2060" s="3" t="s">
        <v>83</v>
      </c>
      <c r="C2060" s="15" t="s">
        <v>47</v>
      </c>
      <c r="D2060" s="15">
        <v>22900</v>
      </c>
      <c r="E2060" s="11">
        <v>40</v>
      </c>
      <c r="F2060" s="3" t="s">
        <v>8</v>
      </c>
      <c r="G2060" s="46">
        <v>60</v>
      </c>
      <c r="H2060" s="3">
        <v>75</v>
      </c>
      <c r="I2060" s="46">
        <v>90</v>
      </c>
      <c r="J2060" s="55">
        <v>95</v>
      </c>
      <c r="K2060" s="1">
        <f t="shared" ref="K2060" si="2091">(IF(F2060="SELL",G2060-H2060,IF(F2060="BUY",H2060-G2060)))*E2060</f>
        <v>600</v>
      </c>
      <c r="L2060" s="51">
        <f t="shared" ref="L2060" si="2092">(IF(F2060="SELL",IF(I2060="",0,H2060-I2060),IF(F2060="BUY",IF(I2060="",0,I2060-H2060))))*E2060</f>
        <v>600</v>
      </c>
      <c r="M2060" s="52">
        <f t="shared" si="2086"/>
        <v>200</v>
      </c>
      <c r="N2060" s="2">
        <f t="shared" si="2038"/>
        <v>35</v>
      </c>
      <c r="O2060" s="2">
        <f t="shared" si="2063"/>
        <v>1400</v>
      </c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</row>
    <row r="2061" spans="1:33" s="14" customFormat="1" ht="15" customHeight="1">
      <c r="A2061" s="10">
        <v>42871</v>
      </c>
      <c r="B2061" s="3" t="s">
        <v>112</v>
      </c>
      <c r="C2061" s="15" t="s">
        <v>46</v>
      </c>
      <c r="D2061" s="15">
        <v>260</v>
      </c>
      <c r="E2061" s="11">
        <v>2100</v>
      </c>
      <c r="F2061" s="3" t="s">
        <v>8</v>
      </c>
      <c r="G2061" s="46">
        <v>28</v>
      </c>
      <c r="H2061" s="3">
        <v>3.5</v>
      </c>
      <c r="I2061" s="46">
        <v>0</v>
      </c>
      <c r="J2061" s="55">
        <v>0</v>
      </c>
      <c r="K2061" s="1">
        <v>0</v>
      </c>
      <c r="L2061" s="51">
        <v>0</v>
      </c>
      <c r="M2061" s="52">
        <v>0</v>
      </c>
      <c r="N2061" s="2">
        <f t="shared" si="2038"/>
        <v>0</v>
      </c>
      <c r="O2061" s="2">
        <f t="shared" si="2063"/>
        <v>0</v>
      </c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</row>
    <row r="2062" spans="1:33" s="14" customFormat="1" ht="15" customHeight="1">
      <c r="A2062" s="10">
        <v>42870</v>
      </c>
      <c r="B2062" s="3" t="s">
        <v>111</v>
      </c>
      <c r="C2062" s="15" t="s">
        <v>47</v>
      </c>
      <c r="D2062" s="15">
        <v>1200</v>
      </c>
      <c r="E2062" s="11">
        <v>550</v>
      </c>
      <c r="F2062" s="3" t="s">
        <v>8</v>
      </c>
      <c r="G2062" s="46">
        <v>28</v>
      </c>
      <c r="H2062" s="3">
        <v>28</v>
      </c>
      <c r="I2062" s="46">
        <v>0</v>
      </c>
      <c r="J2062" s="55">
        <v>0</v>
      </c>
      <c r="K2062" s="1">
        <f t="shared" ref="K2062" si="2093">(IF(F2062="SELL",G2062-H2062,IF(F2062="BUY",H2062-G2062)))*E2062</f>
        <v>0</v>
      </c>
      <c r="L2062" s="51">
        <v>0</v>
      </c>
      <c r="M2062" s="52">
        <v>0</v>
      </c>
      <c r="N2062" s="2">
        <f t="shared" si="2038"/>
        <v>0</v>
      </c>
      <c r="O2062" s="2">
        <f t="shared" si="2063"/>
        <v>0</v>
      </c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</row>
    <row r="2063" spans="1:33" s="14" customFormat="1" ht="15" customHeight="1">
      <c r="A2063" s="10">
        <v>42870</v>
      </c>
      <c r="B2063" s="3" t="s">
        <v>71</v>
      </c>
      <c r="C2063" s="15" t="s">
        <v>47</v>
      </c>
      <c r="D2063" s="15">
        <v>200</v>
      </c>
      <c r="E2063" s="11">
        <v>3000</v>
      </c>
      <c r="F2063" s="3" t="s">
        <v>8</v>
      </c>
      <c r="G2063" s="46">
        <v>8.5</v>
      </c>
      <c r="H2063" s="3">
        <v>8.5</v>
      </c>
      <c r="I2063" s="46">
        <v>0</v>
      </c>
      <c r="J2063" s="55">
        <v>0</v>
      </c>
      <c r="K2063" s="1">
        <f t="shared" ref="K2063" si="2094">(IF(F2063="SELL",G2063-H2063,IF(F2063="BUY",H2063-G2063)))*E2063</f>
        <v>0</v>
      </c>
      <c r="L2063" s="51">
        <v>0</v>
      </c>
      <c r="M2063" s="52">
        <v>0</v>
      </c>
      <c r="N2063" s="2">
        <f t="shared" si="2038"/>
        <v>0</v>
      </c>
      <c r="O2063" s="2">
        <f t="shared" si="2063"/>
        <v>0</v>
      </c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</row>
    <row r="2064" spans="1:33" s="14" customFormat="1" ht="15" customHeight="1">
      <c r="A2064" s="10">
        <v>42870</v>
      </c>
      <c r="B2064" s="3" t="s">
        <v>83</v>
      </c>
      <c r="C2064" s="15" t="s">
        <v>46</v>
      </c>
      <c r="D2064" s="15">
        <v>22700</v>
      </c>
      <c r="E2064" s="11">
        <v>40</v>
      </c>
      <c r="F2064" s="3" t="s">
        <v>8</v>
      </c>
      <c r="G2064" s="46">
        <v>75</v>
      </c>
      <c r="H2064" s="3">
        <v>75</v>
      </c>
      <c r="I2064" s="46">
        <v>0</v>
      </c>
      <c r="J2064" s="55">
        <v>0</v>
      </c>
      <c r="K2064" s="1">
        <f t="shared" ref="K2064" si="2095">(IF(F2064="SELL",G2064-H2064,IF(F2064="BUY",H2064-G2064)))*E2064</f>
        <v>0</v>
      </c>
      <c r="L2064" s="51">
        <v>0</v>
      </c>
      <c r="M2064" s="52">
        <v>0</v>
      </c>
      <c r="N2064" s="2">
        <f t="shared" si="2038"/>
        <v>0</v>
      </c>
      <c r="O2064" s="2">
        <f t="shared" si="2063"/>
        <v>0</v>
      </c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</row>
    <row r="2065" spans="1:33" s="14" customFormat="1" ht="15" customHeight="1">
      <c r="A2065" s="10">
        <v>42870</v>
      </c>
      <c r="B2065" s="3" t="s">
        <v>60</v>
      </c>
      <c r="C2065" s="15" t="s">
        <v>47</v>
      </c>
      <c r="D2065" s="15">
        <v>240</v>
      </c>
      <c r="E2065" s="11">
        <v>3500</v>
      </c>
      <c r="F2065" s="3" t="s">
        <v>8</v>
      </c>
      <c r="G2065" s="46">
        <v>7</v>
      </c>
      <c r="H2065" s="3">
        <v>7</v>
      </c>
      <c r="I2065" s="46">
        <v>0</v>
      </c>
      <c r="J2065" s="55">
        <v>0</v>
      </c>
      <c r="K2065" s="1">
        <f t="shared" ref="K2065" si="2096">(IF(F2065="SELL",G2065-H2065,IF(F2065="BUY",H2065-G2065)))*E2065</f>
        <v>0</v>
      </c>
      <c r="L2065" s="51">
        <v>0</v>
      </c>
      <c r="M2065" s="52">
        <v>0</v>
      </c>
      <c r="N2065" s="2">
        <f t="shared" si="2038"/>
        <v>0</v>
      </c>
      <c r="O2065" s="2">
        <f t="shared" si="2063"/>
        <v>0</v>
      </c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</row>
    <row r="2066" spans="1:33" s="14" customFormat="1" ht="15" customHeight="1">
      <c r="A2066" s="10">
        <v>42867</v>
      </c>
      <c r="B2066" s="3" t="s">
        <v>17</v>
      </c>
      <c r="C2066" s="15" t="s">
        <v>46</v>
      </c>
      <c r="D2066" s="15">
        <v>510</v>
      </c>
      <c r="E2066" s="11">
        <v>1200</v>
      </c>
      <c r="F2066" s="3" t="s">
        <v>8</v>
      </c>
      <c r="G2066" s="46">
        <v>9</v>
      </c>
      <c r="H2066" s="3">
        <v>10.25</v>
      </c>
      <c r="I2066" s="46">
        <v>12.5</v>
      </c>
      <c r="J2066" s="55">
        <v>0</v>
      </c>
      <c r="K2066" s="1">
        <f t="shared" ref="K2066" si="2097">(IF(F2066="SELL",G2066-H2066,IF(F2066="BUY",H2066-G2066)))*E2066</f>
        <v>1500</v>
      </c>
      <c r="L2066" s="51">
        <f t="shared" ref="L2066" si="2098">(IF(F2066="SELL",IF(I2066="",0,H2066-I2066),IF(F2066="BUY",IF(I2066="",0,I2066-H2066))))*E2066</f>
        <v>2700</v>
      </c>
      <c r="M2066" s="52">
        <v>0</v>
      </c>
      <c r="N2066" s="2">
        <f t="shared" si="2038"/>
        <v>3.5</v>
      </c>
      <c r="O2066" s="2">
        <f t="shared" si="2063"/>
        <v>4200</v>
      </c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</row>
    <row r="2067" spans="1:33" s="14" customFormat="1" ht="15" customHeight="1">
      <c r="A2067" s="10">
        <v>42867</v>
      </c>
      <c r="B2067" s="3" t="s">
        <v>71</v>
      </c>
      <c r="C2067" s="15" t="s">
        <v>47</v>
      </c>
      <c r="D2067" s="15">
        <v>200</v>
      </c>
      <c r="E2067" s="11">
        <v>3000</v>
      </c>
      <c r="F2067" s="3" t="s">
        <v>8</v>
      </c>
      <c r="G2067" s="46">
        <v>6.5</v>
      </c>
      <c r="H2067" s="3">
        <v>7</v>
      </c>
      <c r="I2067" s="46">
        <v>0</v>
      </c>
      <c r="J2067" s="55">
        <v>0</v>
      </c>
      <c r="K2067" s="1">
        <f t="shared" ref="K2067" si="2099">(IF(F2067="SELL",G2067-H2067,IF(F2067="BUY",H2067-G2067)))*E2067</f>
        <v>1500</v>
      </c>
      <c r="L2067" s="51">
        <v>0</v>
      </c>
      <c r="M2067" s="52">
        <f>(IF(F2067="SELL",IF(J2067="",0,I2067-J2067),IF(F2067="BUY",IF(J2067="",0,(J2067-I2067)))))*E2067</f>
        <v>0</v>
      </c>
      <c r="N2067" s="2">
        <f t="shared" si="2038"/>
        <v>0.5</v>
      </c>
      <c r="O2067" s="2">
        <f t="shared" si="2063"/>
        <v>1500</v>
      </c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</row>
    <row r="2068" spans="1:33" s="14" customFormat="1" ht="15" customHeight="1">
      <c r="A2068" s="10">
        <v>42867</v>
      </c>
      <c r="B2068" s="3" t="s">
        <v>76</v>
      </c>
      <c r="C2068" s="15" t="s">
        <v>46</v>
      </c>
      <c r="D2068" s="15">
        <v>9400</v>
      </c>
      <c r="E2068" s="11">
        <v>75</v>
      </c>
      <c r="F2068" s="3" t="s">
        <v>8</v>
      </c>
      <c r="G2068" s="46">
        <v>58</v>
      </c>
      <c r="H2068" s="3">
        <v>68</v>
      </c>
      <c r="I2068" s="46">
        <v>0</v>
      </c>
      <c r="J2068" s="55">
        <v>0</v>
      </c>
      <c r="K2068" s="1">
        <f t="shared" ref="K2068" si="2100">(IF(F2068="SELL",G2068-H2068,IF(F2068="BUY",H2068-G2068)))*E2068</f>
        <v>750</v>
      </c>
      <c r="L2068" s="51">
        <v>0</v>
      </c>
      <c r="M2068" s="52">
        <f>(IF(F2068="SELL",IF(J2068="",0,I2068-J2068),IF(F2068="BUY",IF(J2068="",0,(J2068-I2068)))))*E2068</f>
        <v>0</v>
      </c>
      <c r="N2068" s="2">
        <f t="shared" si="2038"/>
        <v>10</v>
      </c>
      <c r="O2068" s="2">
        <f t="shared" si="2063"/>
        <v>750</v>
      </c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</row>
    <row r="2069" spans="1:33" s="14" customFormat="1" ht="15" customHeight="1">
      <c r="A2069" s="10">
        <v>42867</v>
      </c>
      <c r="B2069" s="3" t="s">
        <v>83</v>
      </c>
      <c r="C2069" s="15" t="s">
        <v>46</v>
      </c>
      <c r="D2069" s="15">
        <v>22800</v>
      </c>
      <c r="E2069" s="11">
        <v>40</v>
      </c>
      <c r="F2069" s="3" t="s">
        <v>8</v>
      </c>
      <c r="G2069" s="46">
        <v>130</v>
      </c>
      <c r="H2069" s="3">
        <v>145</v>
      </c>
      <c r="I2069" s="46">
        <v>160</v>
      </c>
      <c r="J2069" s="55">
        <v>200</v>
      </c>
      <c r="K2069" s="1">
        <f t="shared" ref="K2069" si="2101">(IF(F2069="SELL",G2069-H2069,IF(F2069="BUY",H2069-G2069)))*E2069</f>
        <v>600</v>
      </c>
      <c r="L2069" s="51">
        <f t="shared" ref="L2069" si="2102">(IF(F2069="SELL",IF(I2069="",0,H2069-I2069),IF(F2069="BUY",IF(I2069="",0,I2069-H2069))))*E2069</f>
        <v>600</v>
      </c>
      <c r="M2069" s="52">
        <f>(IF(F2069="SELL",IF(J2069="",0,I2069-J2069),IF(F2069="BUY",IF(J2069="",0,(J2069-I2069)))))*E2069</f>
        <v>1600</v>
      </c>
      <c r="N2069" s="2">
        <f t="shared" si="2038"/>
        <v>70</v>
      </c>
      <c r="O2069" s="2">
        <f t="shared" si="2063"/>
        <v>2800</v>
      </c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</row>
    <row r="2070" spans="1:33" s="14" customFormat="1" ht="15" customHeight="1">
      <c r="A2070" s="10">
        <v>42867</v>
      </c>
      <c r="B2070" s="3" t="s">
        <v>110</v>
      </c>
      <c r="C2070" s="15" t="s">
        <v>47</v>
      </c>
      <c r="D2070" s="15">
        <v>1160</v>
      </c>
      <c r="E2070" s="11">
        <v>600</v>
      </c>
      <c r="F2070" s="3" t="s">
        <v>8</v>
      </c>
      <c r="G2070" s="46">
        <v>29</v>
      </c>
      <c r="H2070" s="3">
        <v>29</v>
      </c>
      <c r="I2070" s="46">
        <v>0</v>
      </c>
      <c r="J2070" s="55">
        <v>0</v>
      </c>
      <c r="K2070" s="1">
        <f t="shared" ref="K2070" si="2103">(IF(F2070="SELL",G2070-H2070,IF(F2070="BUY",H2070-G2070)))*E2070</f>
        <v>0</v>
      </c>
      <c r="L2070" s="51">
        <v>0</v>
      </c>
      <c r="M2070" s="52">
        <v>0</v>
      </c>
      <c r="N2070" s="2">
        <f t="shared" si="2038"/>
        <v>0</v>
      </c>
      <c r="O2070" s="2">
        <f t="shared" si="2063"/>
        <v>0</v>
      </c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</row>
    <row r="2071" spans="1:33" s="14" customFormat="1" ht="15" customHeight="1">
      <c r="A2071" s="10">
        <v>42866</v>
      </c>
      <c r="B2071" s="3" t="s">
        <v>30</v>
      </c>
      <c r="C2071" s="15" t="s">
        <v>47</v>
      </c>
      <c r="D2071" s="15">
        <v>300</v>
      </c>
      <c r="E2071" s="11">
        <v>2500</v>
      </c>
      <c r="F2071" s="3" t="s">
        <v>8</v>
      </c>
      <c r="G2071" s="46">
        <v>8.5</v>
      </c>
      <c r="H2071" s="3">
        <v>8.5</v>
      </c>
      <c r="I2071" s="46">
        <v>0</v>
      </c>
      <c r="J2071" s="55">
        <v>0</v>
      </c>
      <c r="K2071" s="1">
        <f t="shared" ref="K2071" si="2104">(IF(F2071="SELL",G2071-H2071,IF(F2071="BUY",H2071-G2071)))*E2071</f>
        <v>0</v>
      </c>
      <c r="L2071" s="51">
        <v>0</v>
      </c>
      <c r="M2071" s="52">
        <v>0</v>
      </c>
      <c r="N2071" s="2">
        <f t="shared" si="2038"/>
        <v>0</v>
      </c>
      <c r="O2071" s="2">
        <f t="shared" si="2063"/>
        <v>0</v>
      </c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</row>
    <row r="2072" spans="1:33" s="14" customFormat="1" ht="15" customHeight="1">
      <c r="A2072" s="10">
        <v>42866</v>
      </c>
      <c r="B2072" s="3" t="s">
        <v>21</v>
      </c>
      <c r="C2072" s="15" t="s">
        <v>47</v>
      </c>
      <c r="D2072" s="15">
        <v>300</v>
      </c>
      <c r="E2072" s="11">
        <v>3000</v>
      </c>
      <c r="F2072" s="3" t="s">
        <v>8</v>
      </c>
      <c r="G2072" s="46">
        <v>7</v>
      </c>
      <c r="H2072" s="3">
        <v>7.5</v>
      </c>
      <c r="I2072" s="46">
        <v>0</v>
      </c>
      <c r="J2072" s="55">
        <v>0</v>
      </c>
      <c r="K2072" s="1">
        <f t="shared" ref="K2072" si="2105">(IF(F2072="SELL",G2072-H2072,IF(F2072="BUY",H2072-G2072)))*E2072</f>
        <v>1500</v>
      </c>
      <c r="L2072" s="51">
        <v>0</v>
      </c>
      <c r="M2072" s="52">
        <v>0</v>
      </c>
      <c r="N2072" s="2">
        <f t="shared" si="2038"/>
        <v>0.5</v>
      </c>
      <c r="O2072" s="2">
        <f t="shared" si="2063"/>
        <v>1500</v>
      </c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</row>
    <row r="2073" spans="1:33" s="14" customFormat="1" ht="15" customHeight="1">
      <c r="A2073" s="10">
        <v>42866</v>
      </c>
      <c r="B2073" s="3" t="s">
        <v>102</v>
      </c>
      <c r="C2073" s="15" t="s">
        <v>47</v>
      </c>
      <c r="D2073" s="15">
        <v>380</v>
      </c>
      <c r="E2073" s="11">
        <v>500</v>
      </c>
      <c r="F2073" s="3" t="s">
        <v>8</v>
      </c>
      <c r="G2073" s="46">
        <v>7</v>
      </c>
      <c r="H2073" s="3">
        <v>7.5</v>
      </c>
      <c r="I2073" s="46">
        <v>8.5</v>
      </c>
      <c r="J2073" s="55">
        <v>0</v>
      </c>
      <c r="K2073" s="1">
        <f t="shared" ref="K2073" si="2106">(IF(F2073="SELL",G2073-H2073,IF(F2073="BUY",H2073-G2073)))*E2073</f>
        <v>250</v>
      </c>
      <c r="L2073" s="51">
        <f t="shared" ref="L2073" si="2107">(IF(F2073="SELL",IF(I2073="",0,H2073-I2073),IF(F2073="BUY",IF(I2073="",0,I2073-H2073))))*E2073</f>
        <v>500</v>
      </c>
      <c r="M2073" s="52">
        <v>0</v>
      </c>
      <c r="N2073" s="2">
        <f t="shared" si="2038"/>
        <v>1.5</v>
      </c>
      <c r="O2073" s="2">
        <f t="shared" si="2063"/>
        <v>750</v>
      </c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</row>
    <row r="2074" spans="1:33" s="14" customFormat="1" ht="15" customHeight="1">
      <c r="A2074" s="10">
        <v>42866</v>
      </c>
      <c r="B2074" s="3" t="s">
        <v>55</v>
      </c>
      <c r="C2074" s="15" t="s">
        <v>47</v>
      </c>
      <c r="D2074" s="15">
        <v>190</v>
      </c>
      <c r="E2074" s="11">
        <v>3500</v>
      </c>
      <c r="F2074" s="3" t="s">
        <v>8</v>
      </c>
      <c r="G2074" s="46">
        <v>6</v>
      </c>
      <c r="H2074" s="3">
        <v>6.4</v>
      </c>
      <c r="I2074" s="46">
        <v>0</v>
      </c>
      <c r="J2074" s="55">
        <v>0</v>
      </c>
      <c r="K2074" s="1">
        <f t="shared" ref="K2074" si="2108">(IF(F2074="SELL",G2074-H2074,IF(F2074="BUY",H2074-G2074)))*E2074</f>
        <v>1400.0000000000011</v>
      </c>
      <c r="L2074" s="51">
        <v>0</v>
      </c>
      <c r="M2074" s="52">
        <f t="shared" ref="M2074:M2083" si="2109">(IF(F2074="SELL",IF(J2074="",0,I2074-J2074),IF(F2074="BUY",IF(J2074="",0,(J2074-I2074)))))*E2074</f>
        <v>0</v>
      </c>
      <c r="N2074" s="2">
        <f t="shared" si="2038"/>
        <v>0.4000000000000003</v>
      </c>
      <c r="O2074" s="2">
        <f t="shared" si="2063"/>
        <v>1400.0000000000011</v>
      </c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</row>
    <row r="2075" spans="1:33" s="14" customFormat="1" ht="15" customHeight="1">
      <c r="A2075" s="10">
        <v>42866</v>
      </c>
      <c r="B2075" s="3" t="s">
        <v>17</v>
      </c>
      <c r="C2075" s="15" t="s">
        <v>47</v>
      </c>
      <c r="D2075" s="15">
        <v>530</v>
      </c>
      <c r="E2075" s="11">
        <v>1200</v>
      </c>
      <c r="F2075" s="3" t="s">
        <v>8</v>
      </c>
      <c r="G2075" s="46">
        <v>14.5</v>
      </c>
      <c r="H2075" s="3">
        <v>14.5</v>
      </c>
      <c r="I2075" s="46">
        <v>0</v>
      </c>
      <c r="J2075" s="55">
        <v>0</v>
      </c>
      <c r="K2075" s="1">
        <f t="shared" ref="K2075" si="2110">(IF(F2075="SELL",G2075-H2075,IF(F2075="BUY",H2075-G2075)))*E2075</f>
        <v>0</v>
      </c>
      <c r="L2075" s="51">
        <v>0</v>
      </c>
      <c r="M2075" s="52">
        <f t="shared" si="2109"/>
        <v>0</v>
      </c>
      <c r="N2075" s="2">
        <f t="shared" si="2038"/>
        <v>0</v>
      </c>
      <c r="O2075" s="2">
        <f t="shared" si="2063"/>
        <v>0</v>
      </c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</row>
    <row r="2076" spans="1:33" s="14" customFormat="1" ht="15" customHeight="1">
      <c r="A2076" s="10">
        <v>42866</v>
      </c>
      <c r="B2076" s="3" t="s">
        <v>83</v>
      </c>
      <c r="C2076" s="15" t="s">
        <v>47</v>
      </c>
      <c r="D2076" s="15">
        <v>22900</v>
      </c>
      <c r="E2076" s="11">
        <v>40</v>
      </c>
      <c r="F2076" s="3" t="s">
        <v>8</v>
      </c>
      <c r="G2076" s="46">
        <v>40</v>
      </c>
      <c r="H2076" s="3">
        <v>60</v>
      </c>
      <c r="I2076" s="46">
        <v>0</v>
      </c>
      <c r="J2076" s="55">
        <v>0</v>
      </c>
      <c r="K2076" s="1">
        <f t="shared" ref="K2076" si="2111">(IF(F2076="SELL",G2076-H2076,IF(F2076="BUY",H2076-G2076)))*E2076</f>
        <v>800</v>
      </c>
      <c r="L2076" s="51">
        <v>0</v>
      </c>
      <c r="M2076" s="52">
        <f t="shared" si="2109"/>
        <v>0</v>
      </c>
      <c r="N2076" s="2">
        <f t="shared" si="2038"/>
        <v>20</v>
      </c>
      <c r="O2076" s="2">
        <f t="shared" si="2063"/>
        <v>800</v>
      </c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</row>
    <row r="2077" spans="1:33" s="14" customFormat="1" ht="15" customHeight="1">
      <c r="A2077" s="10">
        <v>42866</v>
      </c>
      <c r="B2077" s="3" t="s">
        <v>83</v>
      </c>
      <c r="C2077" s="15" t="s">
        <v>47</v>
      </c>
      <c r="D2077" s="15">
        <v>22900</v>
      </c>
      <c r="E2077" s="11">
        <v>40</v>
      </c>
      <c r="F2077" s="3" t="s">
        <v>8</v>
      </c>
      <c r="G2077" s="46">
        <v>40</v>
      </c>
      <c r="H2077" s="3">
        <v>60</v>
      </c>
      <c r="I2077" s="46">
        <v>0</v>
      </c>
      <c r="J2077" s="55">
        <v>0</v>
      </c>
      <c r="K2077" s="1">
        <f t="shared" ref="K2077" si="2112">(IF(F2077="SELL",G2077-H2077,IF(F2077="BUY",H2077-G2077)))*E2077</f>
        <v>800</v>
      </c>
      <c r="L2077" s="51">
        <v>0</v>
      </c>
      <c r="M2077" s="52">
        <f t="shared" si="2109"/>
        <v>0</v>
      </c>
      <c r="N2077" s="2">
        <f t="shared" ref="N2077:N2140" si="2113">(L2077+K2077+M2077)/E2077</f>
        <v>20</v>
      </c>
      <c r="O2077" s="2">
        <f t="shared" si="2063"/>
        <v>800</v>
      </c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</row>
    <row r="2078" spans="1:33" s="14" customFormat="1" ht="15" customHeight="1">
      <c r="A2078" s="10">
        <v>42866</v>
      </c>
      <c r="B2078" s="3" t="s">
        <v>109</v>
      </c>
      <c r="C2078" s="15" t="s">
        <v>46</v>
      </c>
      <c r="D2078" s="15">
        <v>500</v>
      </c>
      <c r="E2078" s="11">
        <v>1200</v>
      </c>
      <c r="F2078" s="3" t="s">
        <v>8</v>
      </c>
      <c r="G2078" s="46">
        <v>5</v>
      </c>
      <c r="H2078" s="3">
        <v>30</v>
      </c>
      <c r="I2078" s="46">
        <v>0</v>
      </c>
      <c r="J2078" s="55">
        <v>0</v>
      </c>
      <c r="K2078" s="1">
        <f t="shared" ref="K2078" si="2114">(IF(F2078="SELL",G2078-H2078,IF(F2078="BUY",H2078-G2078)))*E2078</f>
        <v>30000</v>
      </c>
      <c r="L2078" s="51">
        <v>0</v>
      </c>
      <c r="M2078" s="52">
        <f t="shared" si="2109"/>
        <v>0</v>
      </c>
      <c r="N2078" s="2">
        <f t="shared" si="2113"/>
        <v>25</v>
      </c>
      <c r="O2078" s="2">
        <f t="shared" si="2063"/>
        <v>30000</v>
      </c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</row>
    <row r="2079" spans="1:33" s="14" customFormat="1" ht="15" customHeight="1">
      <c r="A2079" s="10">
        <v>42865</v>
      </c>
      <c r="B2079" s="3" t="s">
        <v>104</v>
      </c>
      <c r="C2079" s="15" t="s">
        <v>47</v>
      </c>
      <c r="D2079" s="15">
        <v>1680</v>
      </c>
      <c r="E2079" s="11">
        <v>400</v>
      </c>
      <c r="F2079" s="3" t="s">
        <v>8</v>
      </c>
      <c r="G2079" s="46">
        <v>30</v>
      </c>
      <c r="H2079" s="3">
        <v>30</v>
      </c>
      <c r="I2079" s="46">
        <v>0</v>
      </c>
      <c r="J2079" s="55">
        <v>0</v>
      </c>
      <c r="K2079" s="1">
        <f t="shared" ref="K2079" si="2115">(IF(F2079="SELL",G2079-H2079,IF(F2079="BUY",H2079-G2079)))*E2079</f>
        <v>0</v>
      </c>
      <c r="L2079" s="51">
        <v>0</v>
      </c>
      <c r="M2079" s="52">
        <f t="shared" si="2109"/>
        <v>0</v>
      </c>
      <c r="N2079" s="2">
        <f t="shared" si="2113"/>
        <v>0</v>
      </c>
      <c r="O2079" s="2">
        <f t="shared" si="2063"/>
        <v>0</v>
      </c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</row>
    <row r="2080" spans="1:33" s="14" customFormat="1" ht="15" customHeight="1">
      <c r="A2080" s="10">
        <v>42865</v>
      </c>
      <c r="B2080" s="3" t="s">
        <v>30</v>
      </c>
      <c r="C2080" s="15" t="s">
        <v>47</v>
      </c>
      <c r="D2080" s="15">
        <v>300</v>
      </c>
      <c r="E2080" s="11">
        <v>2500</v>
      </c>
      <c r="F2080" s="3" t="s">
        <v>8</v>
      </c>
      <c r="G2080" s="46">
        <v>9</v>
      </c>
      <c r="H2080" s="3">
        <v>9</v>
      </c>
      <c r="I2080" s="46">
        <v>0</v>
      </c>
      <c r="J2080" s="55">
        <v>0</v>
      </c>
      <c r="K2080" s="1">
        <f t="shared" ref="K2080" si="2116">(IF(F2080="SELL",G2080-H2080,IF(F2080="BUY",H2080-G2080)))*E2080</f>
        <v>0</v>
      </c>
      <c r="L2080" s="51">
        <v>0</v>
      </c>
      <c r="M2080" s="52">
        <f t="shared" si="2109"/>
        <v>0</v>
      </c>
      <c r="N2080" s="2">
        <f t="shared" si="2113"/>
        <v>0</v>
      </c>
      <c r="O2080" s="2">
        <f t="shared" si="2063"/>
        <v>0</v>
      </c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</row>
    <row r="2081" spans="1:33" s="14" customFormat="1" ht="15" customHeight="1">
      <c r="A2081" s="10">
        <v>42865</v>
      </c>
      <c r="B2081" s="3" t="s">
        <v>106</v>
      </c>
      <c r="C2081" s="15" t="s">
        <v>47</v>
      </c>
      <c r="D2081" s="15">
        <v>2600</v>
      </c>
      <c r="E2081" s="11">
        <v>500</v>
      </c>
      <c r="F2081" s="3" t="s">
        <v>8</v>
      </c>
      <c r="G2081" s="46">
        <v>75</v>
      </c>
      <c r="H2081" s="3">
        <v>75</v>
      </c>
      <c r="I2081" s="46">
        <v>0</v>
      </c>
      <c r="J2081" s="55">
        <v>0</v>
      </c>
      <c r="K2081" s="1">
        <f t="shared" ref="K2081" si="2117">(IF(F2081="SELL",G2081-H2081,IF(F2081="BUY",H2081-G2081)))*E2081</f>
        <v>0</v>
      </c>
      <c r="L2081" s="51">
        <v>0</v>
      </c>
      <c r="M2081" s="52">
        <f t="shared" si="2109"/>
        <v>0</v>
      </c>
      <c r="N2081" s="2">
        <f t="shared" si="2113"/>
        <v>0</v>
      </c>
      <c r="O2081" s="2">
        <f t="shared" si="2063"/>
        <v>0</v>
      </c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</row>
    <row r="2082" spans="1:33" s="14" customFormat="1" ht="15" customHeight="1">
      <c r="A2082" s="10">
        <v>42865</v>
      </c>
      <c r="B2082" s="3" t="s">
        <v>24</v>
      </c>
      <c r="C2082" s="15" t="s">
        <v>47</v>
      </c>
      <c r="D2082" s="15">
        <v>430</v>
      </c>
      <c r="E2082" s="11">
        <v>2000</v>
      </c>
      <c r="F2082" s="3" t="s">
        <v>8</v>
      </c>
      <c r="G2082" s="46">
        <v>12</v>
      </c>
      <c r="H2082" s="3">
        <v>12</v>
      </c>
      <c r="I2082" s="46">
        <v>0</v>
      </c>
      <c r="J2082" s="55">
        <v>0</v>
      </c>
      <c r="K2082" s="1">
        <f t="shared" ref="K2082" si="2118">(IF(F2082="SELL",G2082-H2082,IF(F2082="BUY",H2082-G2082)))*E2082</f>
        <v>0</v>
      </c>
      <c r="L2082" s="51">
        <v>0</v>
      </c>
      <c r="M2082" s="52">
        <f t="shared" si="2109"/>
        <v>0</v>
      </c>
      <c r="N2082" s="2">
        <f t="shared" si="2113"/>
        <v>0</v>
      </c>
      <c r="O2082" s="2">
        <f t="shared" si="2063"/>
        <v>0</v>
      </c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</row>
    <row r="2083" spans="1:33" s="14" customFormat="1" ht="15" customHeight="1">
      <c r="A2083" s="10">
        <v>42865</v>
      </c>
      <c r="B2083" s="3" t="s">
        <v>28</v>
      </c>
      <c r="C2083" s="15" t="s">
        <v>47</v>
      </c>
      <c r="D2083" s="15">
        <v>370</v>
      </c>
      <c r="E2083" s="11">
        <v>1700</v>
      </c>
      <c r="F2083" s="3" t="s">
        <v>8</v>
      </c>
      <c r="G2083" s="46">
        <v>3.6</v>
      </c>
      <c r="H2083" s="3">
        <v>4.5999999999999996</v>
      </c>
      <c r="I2083" s="46">
        <v>6</v>
      </c>
      <c r="J2083" s="55">
        <v>10</v>
      </c>
      <c r="K2083" s="1">
        <f t="shared" ref="K2083" si="2119">(IF(F2083="SELL",G2083-H2083,IF(F2083="BUY",H2083-G2083)))*E2083</f>
        <v>1699.9999999999993</v>
      </c>
      <c r="L2083" s="51">
        <f t="shared" ref="L2083" si="2120">(IF(F2083="SELL",IF(I2083="",0,H2083-I2083),IF(F2083="BUY",IF(I2083="",0,I2083-H2083))))*E2083</f>
        <v>2380.0000000000005</v>
      </c>
      <c r="M2083" s="52">
        <f t="shared" si="2109"/>
        <v>6800</v>
      </c>
      <c r="N2083" s="2">
        <f t="shared" si="2113"/>
        <v>6.4</v>
      </c>
      <c r="O2083" s="2">
        <f t="shared" si="2063"/>
        <v>10880</v>
      </c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</row>
    <row r="2084" spans="1:33" s="14" customFormat="1" ht="15" customHeight="1">
      <c r="A2084" s="10">
        <v>42865</v>
      </c>
      <c r="B2084" s="3" t="s">
        <v>83</v>
      </c>
      <c r="C2084" s="15" t="s">
        <v>47</v>
      </c>
      <c r="D2084" s="15">
        <v>22800</v>
      </c>
      <c r="E2084" s="11">
        <v>40</v>
      </c>
      <c r="F2084" s="3" t="s">
        <v>8</v>
      </c>
      <c r="G2084" s="46">
        <v>75</v>
      </c>
      <c r="H2084" s="3">
        <v>90</v>
      </c>
      <c r="I2084" s="46">
        <v>0</v>
      </c>
      <c r="J2084" s="55">
        <v>0</v>
      </c>
      <c r="K2084" s="1">
        <f t="shared" ref="K2084" si="2121">(IF(F2084="SELL",G2084-H2084,IF(F2084="BUY",H2084-G2084)))*E2084</f>
        <v>600</v>
      </c>
      <c r="L2084" s="51">
        <v>0</v>
      </c>
      <c r="M2084" s="52">
        <v>0</v>
      </c>
      <c r="N2084" s="2">
        <f t="shared" si="2113"/>
        <v>15</v>
      </c>
      <c r="O2084" s="2">
        <f t="shared" si="2063"/>
        <v>600</v>
      </c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</row>
    <row r="2085" spans="1:33" s="14" customFormat="1" ht="15" customHeight="1">
      <c r="A2085" s="10">
        <v>42865</v>
      </c>
      <c r="B2085" s="3" t="s">
        <v>14</v>
      </c>
      <c r="C2085" s="15" t="s">
        <v>47</v>
      </c>
      <c r="D2085" s="15">
        <v>420</v>
      </c>
      <c r="E2085" s="11">
        <v>1300</v>
      </c>
      <c r="F2085" s="3" t="s">
        <v>8</v>
      </c>
      <c r="G2085" s="46">
        <v>16</v>
      </c>
      <c r="H2085" s="3">
        <v>16.75</v>
      </c>
      <c r="I2085" s="46">
        <v>0</v>
      </c>
      <c r="J2085" s="55">
        <v>0</v>
      </c>
      <c r="K2085" s="1">
        <f t="shared" ref="K2085" si="2122">(IF(F2085="SELL",G2085-H2085,IF(F2085="BUY",H2085-G2085)))*E2085</f>
        <v>975</v>
      </c>
      <c r="L2085" s="51">
        <v>0</v>
      </c>
      <c r="M2085" s="52">
        <v>0</v>
      </c>
      <c r="N2085" s="2">
        <f t="shared" si="2113"/>
        <v>0.75</v>
      </c>
      <c r="O2085" s="2">
        <f t="shared" si="2063"/>
        <v>975</v>
      </c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</row>
    <row r="2086" spans="1:33" s="14" customFormat="1" ht="15" customHeight="1">
      <c r="A2086" s="10">
        <v>42864</v>
      </c>
      <c r="B2086" s="3" t="s">
        <v>23</v>
      </c>
      <c r="C2086" s="15" t="s">
        <v>47</v>
      </c>
      <c r="D2086" s="15">
        <v>600</v>
      </c>
      <c r="E2086" s="11">
        <v>1300</v>
      </c>
      <c r="F2086" s="3" t="s">
        <v>8</v>
      </c>
      <c r="G2086" s="46">
        <v>17</v>
      </c>
      <c r="H2086" s="3">
        <v>19</v>
      </c>
      <c r="I2086" s="46">
        <v>0</v>
      </c>
      <c r="J2086" s="55">
        <v>0</v>
      </c>
      <c r="K2086" s="1">
        <f t="shared" ref="K2086" si="2123">(IF(F2086="SELL",G2086-H2086,IF(F2086="BUY",H2086-G2086)))*E2086</f>
        <v>2600</v>
      </c>
      <c r="L2086" s="51">
        <v>0</v>
      </c>
      <c r="M2086" s="52">
        <v>0</v>
      </c>
      <c r="N2086" s="2">
        <f t="shared" si="2113"/>
        <v>2</v>
      </c>
      <c r="O2086" s="2">
        <f t="shared" si="2063"/>
        <v>2600</v>
      </c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</row>
    <row r="2087" spans="1:33" s="14" customFormat="1" ht="15" customHeight="1">
      <c r="A2087" s="10">
        <v>42864</v>
      </c>
      <c r="B2087" s="3" t="s">
        <v>25</v>
      </c>
      <c r="C2087" s="15" t="s">
        <v>47</v>
      </c>
      <c r="D2087" s="15">
        <v>180</v>
      </c>
      <c r="E2087" s="11">
        <v>5000</v>
      </c>
      <c r="F2087" s="3" t="s">
        <v>8</v>
      </c>
      <c r="G2087" s="46">
        <v>5</v>
      </c>
      <c r="H2087" s="3">
        <v>5.3</v>
      </c>
      <c r="I2087" s="46">
        <v>0</v>
      </c>
      <c r="J2087" s="55">
        <v>0</v>
      </c>
      <c r="K2087" s="1">
        <f t="shared" ref="K2087" si="2124">(IF(F2087="SELL",G2087-H2087,IF(F2087="BUY",H2087-G2087)))*E2087</f>
        <v>1499.9999999999991</v>
      </c>
      <c r="L2087" s="51">
        <v>0</v>
      </c>
      <c r="M2087" s="52">
        <v>0</v>
      </c>
      <c r="N2087" s="2">
        <f t="shared" si="2113"/>
        <v>0.29999999999999982</v>
      </c>
      <c r="O2087" s="2">
        <f t="shared" si="2063"/>
        <v>1499.9999999999991</v>
      </c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</row>
    <row r="2088" spans="1:33" s="14" customFormat="1" ht="15" customHeight="1">
      <c r="A2088" s="10">
        <v>42864</v>
      </c>
      <c r="B2088" s="3" t="s">
        <v>16</v>
      </c>
      <c r="C2088" s="15" t="s">
        <v>47</v>
      </c>
      <c r="D2088" s="15">
        <v>350</v>
      </c>
      <c r="E2088" s="11">
        <v>2500</v>
      </c>
      <c r="F2088" s="3" t="s">
        <v>8</v>
      </c>
      <c r="G2088" s="46">
        <v>9</v>
      </c>
      <c r="H2088" s="3">
        <v>9.6</v>
      </c>
      <c r="I2088" s="46">
        <v>0</v>
      </c>
      <c r="J2088" s="55">
        <v>0</v>
      </c>
      <c r="K2088" s="1">
        <f t="shared" ref="K2088:K2089" si="2125">(IF(F2088="SELL",G2088-H2088,IF(F2088="BUY",H2088-G2088)))*E2088</f>
        <v>1499.9999999999991</v>
      </c>
      <c r="L2088" s="51">
        <v>0</v>
      </c>
      <c r="M2088" s="52">
        <v>0</v>
      </c>
      <c r="N2088" s="2">
        <f t="shared" si="2113"/>
        <v>0.59999999999999964</v>
      </c>
      <c r="O2088" s="2">
        <f t="shared" si="2063"/>
        <v>1499.9999999999991</v>
      </c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</row>
    <row r="2089" spans="1:33" s="14" customFormat="1" ht="15" customHeight="1">
      <c r="A2089" s="10">
        <v>42864</v>
      </c>
      <c r="B2089" s="3" t="s">
        <v>56</v>
      </c>
      <c r="C2089" s="15" t="s">
        <v>47</v>
      </c>
      <c r="D2089" s="15">
        <v>22800</v>
      </c>
      <c r="E2089" s="11">
        <v>40</v>
      </c>
      <c r="F2089" s="3" t="s">
        <v>8</v>
      </c>
      <c r="G2089" s="46">
        <v>90</v>
      </c>
      <c r="H2089" s="3">
        <v>105</v>
      </c>
      <c r="I2089" s="46">
        <v>0</v>
      </c>
      <c r="J2089" s="55">
        <v>0</v>
      </c>
      <c r="K2089" s="1">
        <f t="shared" si="2125"/>
        <v>600</v>
      </c>
      <c r="L2089" s="51">
        <v>0</v>
      </c>
      <c r="M2089" s="52">
        <v>0</v>
      </c>
      <c r="N2089" s="2">
        <f t="shared" si="2113"/>
        <v>15</v>
      </c>
      <c r="O2089" s="2">
        <f t="shared" si="2063"/>
        <v>600</v>
      </c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</row>
    <row r="2090" spans="1:33" s="14" customFormat="1" ht="15" customHeight="1">
      <c r="A2090" s="10">
        <v>42864</v>
      </c>
      <c r="B2090" s="3" t="s">
        <v>108</v>
      </c>
      <c r="C2090" s="15" t="s">
        <v>46</v>
      </c>
      <c r="D2090" s="15">
        <v>240</v>
      </c>
      <c r="E2090" s="11">
        <v>3000</v>
      </c>
      <c r="F2090" s="3" t="s">
        <v>8</v>
      </c>
      <c r="G2090" s="46">
        <v>8</v>
      </c>
      <c r="H2090" s="3">
        <v>8.5</v>
      </c>
      <c r="I2090" s="46">
        <v>9.5</v>
      </c>
      <c r="J2090" s="55">
        <v>0</v>
      </c>
      <c r="K2090" s="1">
        <f t="shared" ref="K2090" si="2126">(IF(F2090="SELL",G2090-H2090,IF(F2090="BUY",H2090-G2090)))*E2090</f>
        <v>1500</v>
      </c>
      <c r="L2090" s="51">
        <f t="shared" ref="L2090" si="2127">(IF(F2090="SELL",IF(I2090="",0,H2090-I2090),IF(F2090="BUY",IF(I2090="",0,I2090-H2090))))*E2090</f>
        <v>3000</v>
      </c>
      <c r="M2090" s="52">
        <v>0</v>
      </c>
      <c r="N2090" s="2">
        <f t="shared" si="2113"/>
        <v>1.5</v>
      </c>
      <c r="O2090" s="2">
        <f t="shared" si="2063"/>
        <v>4500</v>
      </c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</row>
    <row r="2091" spans="1:33" s="14" customFormat="1" ht="15" customHeight="1">
      <c r="A2091" s="10">
        <v>42864</v>
      </c>
      <c r="B2091" s="3" t="s">
        <v>60</v>
      </c>
      <c r="C2091" s="15" t="s">
        <v>47</v>
      </c>
      <c r="D2091" s="15">
        <v>230</v>
      </c>
      <c r="E2091" s="11">
        <v>3500</v>
      </c>
      <c r="F2091" s="3" t="s">
        <v>8</v>
      </c>
      <c r="G2091" s="46">
        <v>8</v>
      </c>
      <c r="H2091" s="3">
        <v>8.4</v>
      </c>
      <c r="I2091" s="46">
        <v>0</v>
      </c>
      <c r="J2091" s="55">
        <v>0</v>
      </c>
      <c r="K2091" s="1">
        <f t="shared" ref="K2091" si="2128">(IF(F2091="SELL",G2091-H2091,IF(F2091="BUY",H2091-G2091)))*E2091</f>
        <v>1400.0000000000011</v>
      </c>
      <c r="L2091" s="51">
        <v>0</v>
      </c>
      <c r="M2091" s="52">
        <v>0</v>
      </c>
      <c r="N2091" s="2">
        <f t="shared" si="2113"/>
        <v>0.4000000000000003</v>
      </c>
      <c r="O2091" s="2">
        <f t="shared" si="2063"/>
        <v>1400.0000000000011</v>
      </c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</row>
    <row r="2092" spans="1:33" s="14" customFormat="1" ht="15" customHeight="1">
      <c r="A2092" s="10">
        <v>42864</v>
      </c>
      <c r="B2092" s="3" t="s">
        <v>34</v>
      </c>
      <c r="C2092" s="15" t="s">
        <v>47</v>
      </c>
      <c r="D2092" s="15">
        <v>185</v>
      </c>
      <c r="E2092" s="11">
        <v>3500</v>
      </c>
      <c r="F2092" s="3" t="s">
        <v>8</v>
      </c>
      <c r="G2092" s="46">
        <v>8</v>
      </c>
      <c r="H2092" s="3">
        <v>8.4</v>
      </c>
      <c r="I2092" s="46">
        <v>0</v>
      </c>
      <c r="J2092" s="55">
        <v>0</v>
      </c>
      <c r="K2092" s="1">
        <f t="shared" ref="K2092:K2093" si="2129">(IF(F2092="SELL",G2092-H2092,IF(F2092="BUY",H2092-G2092)))*E2092</f>
        <v>1400.0000000000011</v>
      </c>
      <c r="L2092" s="51">
        <v>0</v>
      </c>
      <c r="M2092" s="52">
        <v>0</v>
      </c>
      <c r="N2092" s="2">
        <f t="shared" si="2113"/>
        <v>0.4000000000000003</v>
      </c>
      <c r="O2092" s="2">
        <f t="shared" si="2063"/>
        <v>1400.0000000000011</v>
      </c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</row>
    <row r="2093" spans="1:33" s="14" customFormat="1" ht="15" customHeight="1">
      <c r="A2093" s="10">
        <v>42864</v>
      </c>
      <c r="B2093" s="3" t="s">
        <v>56</v>
      </c>
      <c r="C2093" s="15" t="s">
        <v>47</v>
      </c>
      <c r="D2093" s="15">
        <v>22700</v>
      </c>
      <c r="E2093" s="11">
        <v>40</v>
      </c>
      <c r="F2093" s="3" t="s">
        <v>8</v>
      </c>
      <c r="G2093" s="46">
        <v>95</v>
      </c>
      <c r="H2093" s="3">
        <v>110</v>
      </c>
      <c r="I2093" s="46">
        <v>125</v>
      </c>
      <c r="J2093" s="55">
        <v>150</v>
      </c>
      <c r="K2093" s="1">
        <f t="shared" si="2129"/>
        <v>600</v>
      </c>
      <c r="L2093" s="51">
        <f t="shared" ref="L2093" si="2130">(IF(F2093="SELL",IF(I2093="",0,H2093-I2093),IF(F2093="BUY",IF(I2093="",0,I2093-H2093))))*E2093</f>
        <v>600</v>
      </c>
      <c r="M2093" s="52">
        <f>(IF(F2093="SELL",IF(J2093="",0,I2093-J2093),IF(F2093="BUY",IF(J2093="",0,(J2093-I2093)))))*E2093</f>
        <v>1000</v>
      </c>
      <c r="N2093" s="2">
        <f t="shared" si="2113"/>
        <v>55</v>
      </c>
      <c r="O2093" s="2">
        <f t="shared" si="2063"/>
        <v>2200</v>
      </c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</row>
    <row r="2094" spans="1:33" s="14" customFormat="1" ht="15" customHeight="1">
      <c r="A2094" s="10">
        <v>42863</v>
      </c>
      <c r="B2094" s="3" t="s">
        <v>35</v>
      </c>
      <c r="C2094" s="15" t="s">
        <v>46</v>
      </c>
      <c r="D2094" s="15">
        <v>700</v>
      </c>
      <c r="E2094" s="11">
        <v>1100</v>
      </c>
      <c r="F2094" s="3" t="s">
        <v>8</v>
      </c>
      <c r="G2094" s="46">
        <v>8.5</v>
      </c>
      <c r="H2094" s="3">
        <v>9.6999999999999993</v>
      </c>
      <c r="I2094" s="46">
        <v>11</v>
      </c>
      <c r="J2094" s="55">
        <v>0</v>
      </c>
      <c r="K2094" s="1">
        <f t="shared" ref="K2094" si="2131">(IF(F2094="SELL",G2094-H2094,IF(F2094="BUY",H2094-G2094)))*E2094</f>
        <v>1319.9999999999993</v>
      </c>
      <c r="L2094" s="51">
        <v>0</v>
      </c>
      <c r="M2094" s="52">
        <v>0</v>
      </c>
      <c r="N2094" s="2">
        <f t="shared" si="2113"/>
        <v>1.1999999999999993</v>
      </c>
      <c r="O2094" s="2">
        <f t="shared" si="2063"/>
        <v>1319.9999999999993</v>
      </c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</row>
    <row r="2095" spans="1:33" s="14" customFormat="1" ht="15" customHeight="1">
      <c r="A2095" s="10">
        <v>42863</v>
      </c>
      <c r="B2095" s="3" t="s">
        <v>107</v>
      </c>
      <c r="C2095" s="15" t="s">
        <v>47</v>
      </c>
      <c r="D2095" s="15">
        <v>640</v>
      </c>
      <c r="E2095" s="11">
        <v>700</v>
      </c>
      <c r="F2095" s="3" t="s">
        <v>8</v>
      </c>
      <c r="G2095" s="46">
        <v>12.5</v>
      </c>
      <c r="H2095" s="3">
        <v>14.5</v>
      </c>
      <c r="I2095" s="46">
        <v>0</v>
      </c>
      <c r="J2095" s="55">
        <v>0</v>
      </c>
      <c r="K2095" s="1">
        <f t="shared" ref="K2095" si="2132">(IF(F2095="SELL",G2095-H2095,IF(F2095="BUY",H2095-G2095)))*E2095</f>
        <v>1400</v>
      </c>
      <c r="L2095" s="51">
        <v>0</v>
      </c>
      <c r="M2095" s="52">
        <f t="shared" ref="M2095:M2104" si="2133">(IF(F2095="SELL",IF(J2095="",0,I2095-J2095),IF(F2095="BUY",IF(J2095="",0,(J2095-I2095)))))*E2095</f>
        <v>0</v>
      </c>
      <c r="N2095" s="2">
        <f t="shared" si="2113"/>
        <v>2</v>
      </c>
      <c r="O2095" s="2">
        <f t="shared" si="2063"/>
        <v>1400</v>
      </c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</row>
    <row r="2096" spans="1:33" s="14" customFormat="1" ht="15" customHeight="1">
      <c r="A2096" s="10">
        <v>42863</v>
      </c>
      <c r="B2096" s="3" t="s">
        <v>93</v>
      </c>
      <c r="C2096" s="15" t="s">
        <v>47</v>
      </c>
      <c r="D2096" s="15">
        <v>170</v>
      </c>
      <c r="E2096" s="11">
        <v>7000</v>
      </c>
      <c r="F2096" s="3" t="s">
        <v>8</v>
      </c>
      <c r="G2096" s="46">
        <v>5</v>
      </c>
      <c r="H2096" s="3">
        <v>5</v>
      </c>
      <c r="I2096" s="46">
        <v>0</v>
      </c>
      <c r="J2096" s="55">
        <v>0</v>
      </c>
      <c r="K2096" s="1">
        <f t="shared" ref="K2096" si="2134">(IF(F2096="SELL",G2096-H2096,IF(F2096="BUY",H2096-G2096)))*E2096</f>
        <v>0</v>
      </c>
      <c r="L2096" s="51">
        <v>0</v>
      </c>
      <c r="M2096" s="52">
        <f t="shared" si="2133"/>
        <v>0</v>
      </c>
      <c r="N2096" s="2">
        <f t="shared" si="2113"/>
        <v>0</v>
      </c>
      <c r="O2096" s="2">
        <f t="shared" si="2063"/>
        <v>0</v>
      </c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</row>
    <row r="2097" spans="1:33" s="14" customFormat="1" ht="15" customHeight="1">
      <c r="A2097" s="10">
        <v>42863</v>
      </c>
      <c r="B2097" s="3" t="s">
        <v>30</v>
      </c>
      <c r="C2097" s="15" t="s">
        <v>47</v>
      </c>
      <c r="D2097" s="15">
        <v>305</v>
      </c>
      <c r="E2097" s="11">
        <v>2500</v>
      </c>
      <c r="F2097" s="3" t="s">
        <v>8</v>
      </c>
      <c r="G2097" s="46">
        <v>9.4</v>
      </c>
      <c r="H2097" s="3">
        <v>10</v>
      </c>
      <c r="I2097" s="46">
        <v>0</v>
      </c>
      <c r="J2097" s="55">
        <v>0</v>
      </c>
      <c r="K2097" s="1">
        <f t="shared" ref="K2097" si="2135">(IF(F2097="SELL",G2097-H2097,IF(F2097="BUY",H2097-G2097)))*E2097</f>
        <v>1499.9999999999991</v>
      </c>
      <c r="L2097" s="51">
        <v>0</v>
      </c>
      <c r="M2097" s="52">
        <f t="shared" si="2133"/>
        <v>0</v>
      </c>
      <c r="N2097" s="2">
        <f t="shared" si="2113"/>
        <v>0.59999999999999964</v>
      </c>
      <c r="O2097" s="2">
        <f t="shared" ref="O2097:O2160" si="2136">N2097*E2097</f>
        <v>1499.9999999999991</v>
      </c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</row>
    <row r="2098" spans="1:33" s="14" customFormat="1" ht="15" customHeight="1">
      <c r="A2098" s="10">
        <v>42863</v>
      </c>
      <c r="B2098" s="3" t="s">
        <v>83</v>
      </c>
      <c r="C2098" s="15" t="s">
        <v>46</v>
      </c>
      <c r="D2098" s="15">
        <v>22600</v>
      </c>
      <c r="E2098" s="11">
        <v>40</v>
      </c>
      <c r="F2098" s="3" t="s">
        <v>8</v>
      </c>
      <c r="G2098" s="46">
        <v>105</v>
      </c>
      <c r="H2098" s="3">
        <v>120</v>
      </c>
      <c r="I2098" s="46">
        <v>135</v>
      </c>
      <c r="J2098" s="55">
        <v>150</v>
      </c>
      <c r="K2098" s="1">
        <f t="shared" ref="K2098" si="2137">(IF(F2098="SELL",G2098-H2098,IF(F2098="BUY",H2098-G2098)))*E2098</f>
        <v>600</v>
      </c>
      <c r="L2098" s="51">
        <f t="shared" ref="L2098" si="2138">(IF(F2098="SELL",IF(I2098="",0,H2098-I2098),IF(F2098="BUY",IF(I2098="",0,I2098-H2098))))*E2098</f>
        <v>600</v>
      </c>
      <c r="M2098" s="52">
        <f t="shared" si="2133"/>
        <v>600</v>
      </c>
      <c r="N2098" s="2">
        <f t="shared" si="2113"/>
        <v>45</v>
      </c>
      <c r="O2098" s="2">
        <f t="shared" si="2136"/>
        <v>1800</v>
      </c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</row>
    <row r="2099" spans="1:33" s="14" customFormat="1" ht="15" customHeight="1">
      <c r="A2099" s="10">
        <v>42860</v>
      </c>
      <c r="B2099" s="3" t="s">
        <v>22</v>
      </c>
      <c r="C2099" s="15" t="s">
        <v>47</v>
      </c>
      <c r="D2099" s="15">
        <v>190</v>
      </c>
      <c r="E2099" s="11">
        <v>5000</v>
      </c>
      <c r="F2099" s="3" t="s">
        <v>8</v>
      </c>
      <c r="G2099" s="46">
        <v>8</v>
      </c>
      <c r="H2099" s="3">
        <v>8.3000000000000007</v>
      </c>
      <c r="I2099" s="46">
        <v>0</v>
      </c>
      <c r="J2099" s="55">
        <v>0</v>
      </c>
      <c r="K2099" s="1">
        <f t="shared" ref="K2099" si="2139">(IF(F2099="SELL",G2099-H2099,IF(F2099="BUY",H2099-G2099)))*E2099</f>
        <v>1500.0000000000036</v>
      </c>
      <c r="L2099" s="51">
        <v>0</v>
      </c>
      <c r="M2099" s="52">
        <f t="shared" si="2133"/>
        <v>0</v>
      </c>
      <c r="N2099" s="2">
        <f t="shared" si="2113"/>
        <v>0.30000000000000071</v>
      </c>
      <c r="O2099" s="2">
        <f t="shared" si="2136"/>
        <v>1500.0000000000036</v>
      </c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</row>
    <row r="2100" spans="1:33" s="14" customFormat="1" ht="15" customHeight="1">
      <c r="A2100" s="10">
        <v>42860</v>
      </c>
      <c r="B2100" s="3" t="s">
        <v>106</v>
      </c>
      <c r="C2100" s="15" t="s">
        <v>47</v>
      </c>
      <c r="D2100" s="15">
        <v>200</v>
      </c>
      <c r="E2100" s="11">
        <v>500</v>
      </c>
      <c r="F2100" s="3" t="s">
        <v>8</v>
      </c>
      <c r="G2100" s="46">
        <v>60</v>
      </c>
      <c r="H2100" s="3">
        <v>55</v>
      </c>
      <c r="I2100" s="46">
        <v>0</v>
      </c>
      <c r="J2100" s="55">
        <v>0</v>
      </c>
      <c r="K2100" s="1">
        <f t="shared" ref="K2100" si="2140">(IF(F2100="SELL",G2100-H2100,IF(F2100="BUY",H2100-G2100)))*E2100</f>
        <v>-2500</v>
      </c>
      <c r="L2100" s="51">
        <v>0</v>
      </c>
      <c r="M2100" s="52">
        <f t="shared" si="2133"/>
        <v>0</v>
      </c>
      <c r="N2100" s="2">
        <f t="shared" si="2113"/>
        <v>-5</v>
      </c>
      <c r="O2100" s="2">
        <f t="shared" si="2136"/>
        <v>-2500</v>
      </c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</row>
    <row r="2101" spans="1:33" s="14" customFormat="1" ht="15" customHeight="1">
      <c r="A2101" s="10">
        <v>42860</v>
      </c>
      <c r="B2101" s="3" t="s">
        <v>86</v>
      </c>
      <c r="C2101" s="15" t="s">
        <v>47</v>
      </c>
      <c r="D2101" s="15">
        <v>1350</v>
      </c>
      <c r="E2101" s="11">
        <v>500</v>
      </c>
      <c r="F2101" s="3" t="s">
        <v>8</v>
      </c>
      <c r="G2101" s="46">
        <v>22</v>
      </c>
      <c r="H2101" s="3">
        <v>22</v>
      </c>
      <c r="I2101" s="46">
        <v>0</v>
      </c>
      <c r="J2101" s="55">
        <v>0</v>
      </c>
      <c r="K2101" s="1">
        <f t="shared" ref="K2101" si="2141">(IF(F2101="SELL",G2101-H2101,IF(F2101="BUY",H2101-G2101)))*E2101</f>
        <v>0</v>
      </c>
      <c r="L2101" s="51">
        <v>0</v>
      </c>
      <c r="M2101" s="52">
        <f t="shared" si="2133"/>
        <v>0</v>
      </c>
      <c r="N2101" s="2">
        <f t="shared" si="2113"/>
        <v>0</v>
      </c>
      <c r="O2101" s="2">
        <f t="shared" si="2136"/>
        <v>0</v>
      </c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</row>
    <row r="2102" spans="1:33" s="14" customFormat="1" ht="15" customHeight="1">
      <c r="A2102" s="10">
        <v>42860</v>
      </c>
      <c r="B2102" s="3" t="s">
        <v>105</v>
      </c>
      <c r="C2102" s="15" t="s">
        <v>47</v>
      </c>
      <c r="D2102" s="15">
        <v>270</v>
      </c>
      <c r="E2102" s="11">
        <v>2200</v>
      </c>
      <c r="F2102" s="3" t="s">
        <v>8</v>
      </c>
      <c r="G2102" s="46">
        <v>9.1999999999999993</v>
      </c>
      <c r="H2102" s="3">
        <v>9.9</v>
      </c>
      <c r="I2102" s="46">
        <v>0</v>
      </c>
      <c r="J2102" s="55">
        <v>0</v>
      </c>
      <c r="K2102" s="1">
        <f t="shared" ref="K2102" si="2142">(IF(F2102="SELL",G2102-H2102,IF(F2102="BUY",H2102-G2102)))*E2102</f>
        <v>1540.0000000000023</v>
      </c>
      <c r="L2102" s="51">
        <v>0</v>
      </c>
      <c r="M2102" s="52">
        <f t="shared" si="2133"/>
        <v>0</v>
      </c>
      <c r="N2102" s="2">
        <f t="shared" si="2113"/>
        <v>0.70000000000000107</v>
      </c>
      <c r="O2102" s="2">
        <f t="shared" si="2136"/>
        <v>1540.0000000000023</v>
      </c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</row>
    <row r="2103" spans="1:33" s="14" customFormat="1" ht="15" customHeight="1">
      <c r="A2103" s="10">
        <v>42860</v>
      </c>
      <c r="B2103" s="3" t="s">
        <v>63</v>
      </c>
      <c r="C2103" s="15" t="s">
        <v>46</v>
      </c>
      <c r="D2103" s="15">
        <v>530</v>
      </c>
      <c r="E2103" s="11">
        <v>1050</v>
      </c>
      <c r="F2103" s="3" t="s">
        <v>8</v>
      </c>
      <c r="G2103" s="46">
        <v>14.5</v>
      </c>
      <c r="H2103" s="3">
        <v>16.399999999999999</v>
      </c>
      <c r="I2103" s="46">
        <v>0</v>
      </c>
      <c r="J2103" s="55">
        <v>0</v>
      </c>
      <c r="K2103" s="1">
        <f t="shared" ref="K2103" si="2143">(IF(F2103="SELL",G2103-H2103,IF(F2103="BUY",H2103-G2103)))*E2103</f>
        <v>1994.9999999999984</v>
      </c>
      <c r="L2103" s="51">
        <v>0</v>
      </c>
      <c r="M2103" s="52">
        <f t="shared" si="2133"/>
        <v>0</v>
      </c>
      <c r="N2103" s="2">
        <f t="shared" si="2113"/>
        <v>1.8999999999999986</v>
      </c>
      <c r="O2103" s="2">
        <f t="shared" si="2136"/>
        <v>1994.9999999999984</v>
      </c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</row>
    <row r="2104" spans="1:33" s="14" customFormat="1" ht="15" customHeight="1">
      <c r="A2104" s="10">
        <v>42859</v>
      </c>
      <c r="B2104" s="3" t="s">
        <v>83</v>
      </c>
      <c r="C2104" s="15" t="s">
        <v>47</v>
      </c>
      <c r="D2104" s="15">
        <v>22600</v>
      </c>
      <c r="E2104" s="11">
        <v>40</v>
      </c>
      <c r="F2104" s="3" t="s">
        <v>8</v>
      </c>
      <c r="G2104" s="46">
        <v>15</v>
      </c>
      <c r="H2104" s="3">
        <v>25</v>
      </c>
      <c r="I2104" s="46">
        <v>35</v>
      </c>
      <c r="J2104" s="55">
        <v>85</v>
      </c>
      <c r="K2104" s="1">
        <f t="shared" ref="K2104" si="2144">(IF(F2104="SELL",G2104-H2104,IF(F2104="BUY",H2104-G2104)))*E2104</f>
        <v>400</v>
      </c>
      <c r="L2104" s="51">
        <f t="shared" ref="L2104" si="2145">(IF(F2104="SELL",IF(I2104="",0,H2104-I2104),IF(F2104="BUY",IF(I2104="",0,I2104-H2104))))*E2104</f>
        <v>400</v>
      </c>
      <c r="M2104" s="52">
        <f t="shared" si="2133"/>
        <v>2000</v>
      </c>
      <c r="N2104" s="2">
        <f t="shared" si="2113"/>
        <v>70</v>
      </c>
      <c r="O2104" s="2">
        <f t="shared" si="2136"/>
        <v>2800</v>
      </c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</row>
    <row r="2105" spans="1:33" s="14" customFormat="1" ht="15" customHeight="1">
      <c r="A2105" s="10">
        <v>42859</v>
      </c>
      <c r="B2105" s="3" t="s">
        <v>104</v>
      </c>
      <c r="C2105" s="15" t="s">
        <v>46</v>
      </c>
      <c r="D2105" s="15">
        <v>1300</v>
      </c>
      <c r="E2105" s="11">
        <v>400</v>
      </c>
      <c r="F2105" s="3" t="s">
        <v>8</v>
      </c>
      <c r="G2105" s="46">
        <v>32</v>
      </c>
      <c r="H2105" s="3">
        <v>32</v>
      </c>
      <c r="I2105" s="46">
        <v>0</v>
      </c>
      <c r="J2105" s="55">
        <v>0</v>
      </c>
      <c r="K2105" s="1">
        <f t="shared" ref="K2105" si="2146">(IF(F2105="SELL",G2105-H2105,IF(F2105="BUY",H2105-G2105)))*E2105</f>
        <v>0</v>
      </c>
      <c r="L2105" s="51">
        <v>0</v>
      </c>
      <c r="M2105" s="52">
        <v>0</v>
      </c>
      <c r="N2105" s="2">
        <f t="shared" si="2113"/>
        <v>0</v>
      </c>
      <c r="O2105" s="2">
        <f t="shared" si="2136"/>
        <v>0</v>
      </c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</row>
    <row r="2106" spans="1:33" s="14" customFormat="1" ht="15" customHeight="1">
      <c r="A2106" s="10">
        <v>42859</v>
      </c>
      <c r="B2106" s="3" t="s">
        <v>22</v>
      </c>
      <c r="C2106" s="15" t="s">
        <v>46</v>
      </c>
      <c r="D2106" s="15">
        <v>175</v>
      </c>
      <c r="E2106" s="11">
        <v>5000</v>
      </c>
      <c r="F2106" s="3" t="s">
        <v>8</v>
      </c>
      <c r="G2106" s="46">
        <v>4</v>
      </c>
      <c r="H2106" s="3">
        <v>4</v>
      </c>
      <c r="I2106" s="46">
        <v>0</v>
      </c>
      <c r="J2106" s="55">
        <v>0</v>
      </c>
      <c r="K2106" s="1">
        <f t="shared" ref="K2106" si="2147">(IF(F2106="SELL",G2106-H2106,IF(F2106="BUY",H2106-G2106)))*E2106</f>
        <v>0</v>
      </c>
      <c r="L2106" s="51">
        <v>0</v>
      </c>
      <c r="M2106" s="52">
        <v>0</v>
      </c>
      <c r="N2106" s="2">
        <f t="shared" si="2113"/>
        <v>0</v>
      </c>
      <c r="O2106" s="2">
        <f t="shared" si="2136"/>
        <v>0</v>
      </c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</row>
    <row r="2107" spans="1:33" s="14" customFormat="1" ht="15" customHeight="1">
      <c r="A2107" s="10">
        <v>42859</v>
      </c>
      <c r="B2107" s="3" t="s">
        <v>103</v>
      </c>
      <c r="C2107" s="15" t="s">
        <v>47</v>
      </c>
      <c r="D2107" s="15">
        <v>85</v>
      </c>
      <c r="E2107" s="11">
        <v>7000</v>
      </c>
      <c r="F2107" s="3" t="s">
        <v>8</v>
      </c>
      <c r="G2107" s="46">
        <v>2.7</v>
      </c>
      <c r="H2107" s="3">
        <v>2.7</v>
      </c>
      <c r="I2107" s="46">
        <v>0</v>
      </c>
      <c r="J2107" s="55">
        <v>0</v>
      </c>
      <c r="K2107" s="1">
        <f t="shared" ref="K2107" si="2148">(IF(F2107="SELL",G2107-H2107,IF(F2107="BUY",H2107-G2107)))*E2107</f>
        <v>0</v>
      </c>
      <c r="L2107" s="51">
        <v>0</v>
      </c>
      <c r="M2107" s="52">
        <v>0</v>
      </c>
      <c r="N2107" s="2">
        <f t="shared" si="2113"/>
        <v>0</v>
      </c>
      <c r="O2107" s="2">
        <f t="shared" si="2136"/>
        <v>0</v>
      </c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</row>
    <row r="2108" spans="1:33" s="14" customFormat="1" ht="15" customHeight="1">
      <c r="A2108" s="10">
        <v>42859</v>
      </c>
      <c r="B2108" s="3" t="s">
        <v>55</v>
      </c>
      <c r="C2108" s="15" t="s">
        <v>47</v>
      </c>
      <c r="D2108" s="15">
        <v>200</v>
      </c>
      <c r="E2108" s="11">
        <v>3500</v>
      </c>
      <c r="F2108" s="3" t="s">
        <v>8</v>
      </c>
      <c r="G2108" s="46">
        <v>5.7</v>
      </c>
      <c r="H2108" s="3">
        <v>6.1</v>
      </c>
      <c r="I2108" s="46">
        <v>6.9</v>
      </c>
      <c r="J2108" s="55">
        <v>0</v>
      </c>
      <c r="K2108" s="1">
        <f t="shared" ref="K2108" si="2149">(IF(F2108="SELL",G2108-H2108,IF(F2108="BUY",H2108-G2108)))*E2108</f>
        <v>1399.9999999999982</v>
      </c>
      <c r="L2108" s="51">
        <f t="shared" ref="L2108" si="2150">(IF(F2108="SELL",IF(I2108="",0,H2108-I2108),IF(F2108="BUY",IF(I2108="",0,I2108-H2108))))*E2108</f>
        <v>2800.0000000000023</v>
      </c>
      <c r="M2108" s="52">
        <v>0</v>
      </c>
      <c r="N2108" s="2">
        <f t="shared" si="2113"/>
        <v>1.2</v>
      </c>
      <c r="O2108" s="2">
        <f t="shared" si="2136"/>
        <v>4200</v>
      </c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</row>
    <row r="2109" spans="1:33" s="14" customFormat="1" ht="15" customHeight="1">
      <c r="A2109" s="10">
        <v>42859</v>
      </c>
      <c r="B2109" s="3" t="s">
        <v>30</v>
      </c>
      <c r="C2109" s="15" t="s">
        <v>47</v>
      </c>
      <c r="D2109" s="15">
        <v>300</v>
      </c>
      <c r="E2109" s="11">
        <v>2500</v>
      </c>
      <c r="F2109" s="3" t="s">
        <v>8</v>
      </c>
      <c r="G2109" s="46">
        <v>6</v>
      </c>
      <c r="H2109" s="3">
        <v>6.6</v>
      </c>
      <c r="I2109" s="46">
        <v>7.8</v>
      </c>
      <c r="J2109" s="55">
        <v>0</v>
      </c>
      <c r="K2109" s="1">
        <f t="shared" ref="K2109" si="2151">(IF(F2109="SELL",G2109-H2109,IF(F2109="BUY",H2109-G2109)))*E2109</f>
        <v>1499.9999999999991</v>
      </c>
      <c r="L2109" s="51">
        <f t="shared" ref="L2109" si="2152">(IF(F2109="SELL",IF(I2109="",0,H2109-I2109),IF(F2109="BUY",IF(I2109="",0,I2109-H2109))))*E2109</f>
        <v>3000.0000000000005</v>
      </c>
      <c r="M2109" s="52">
        <v>0</v>
      </c>
      <c r="N2109" s="2">
        <f t="shared" si="2113"/>
        <v>1.8</v>
      </c>
      <c r="O2109" s="2">
        <f t="shared" si="2136"/>
        <v>4500</v>
      </c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</row>
    <row r="2110" spans="1:33" s="14" customFormat="1" ht="15" customHeight="1">
      <c r="A2110" s="10">
        <v>42859</v>
      </c>
      <c r="B2110" s="3" t="s">
        <v>61</v>
      </c>
      <c r="C2110" s="15" t="s">
        <v>47</v>
      </c>
      <c r="D2110" s="15">
        <v>175</v>
      </c>
      <c r="E2110" s="11">
        <v>4000</v>
      </c>
      <c r="F2110" s="3" t="s">
        <v>8</v>
      </c>
      <c r="G2110" s="46">
        <v>6.5</v>
      </c>
      <c r="H2110" s="3">
        <v>6.75</v>
      </c>
      <c r="I2110" s="46">
        <v>7.25</v>
      </c>
      <c r="J2110" s="55">
        <v>8.1</v>
      </c>
      <c r="K2110" s="1">
        <f t="shared" ref="K2110" si="2153">(IF(F2110="SELL",G2110-H2110,IF(F2110="BUY",H2110-G2110)))*E2110</f>
        <v>1000</v>
      </c>
      <c r="L2110" s="51">
        <f t="shared" ref="L2110" si="2154">(IF(F2110="SELL",IF(I2110="",0,H2110-I2110),IF(F2110="BUY",IF(I2110="",0,I2110-H2110))))*E2110</f>
        <v>2000</v>
      </c>
      <c r="M2110" s="52">
        <f>(IF(F2110="SELL",IF(J2110="",0,I2110-J2110),IF(F2110="BUY",IF(J2110="",0,(J2110-I2110)))))*E2110</f>
        <v>3399.9999999999986</v>
      </c>
      <c r="N2110" s="2">
        <f t="shared" si="2113"/>
        <v>1.5999999999999996</v>
      </c>
      <c r="O2110" s="2">
        <f t="shared" si="2136"/>
        <v>6399.9999999999982</v>
      </c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</row>
    <row r="2111" spans="1:33" s="14" customFormat="1" ht="15" customHeight="1">
      <c r="A2111" s="10">
        <v>42858</v>
      </c>
      <c r="B2111" s="3" t="s">
        <v>72</v>
      </c>
      <c r="C2111" s="15" t="s">
        <v>46</v>
      </c>
      <c r="D2111" s="15">
        <v>740</v>
      </c>
      <c r="E2111" s="11">
        <v>1200</v>
      </c>
      <c r="F2111" s="3" t="s">
        <v>8</v>
      </c>
      <c r="G2111" s="46">
        <v>21</v>
      </c>
      <c r="H2111" s="3">
        <v>22.25</v>
      </c>
      <c r="I2111" s="46">
        <v>0</v>
      </c>
      <c r="J2111" s="55">
        <v>0</v>
      </c>
      <c r="K2111" s="1">
        <f t="shared" ref="K2111" si="2155">(IF(F2111="SELL",G2111-H2111,IF(F2111="BUY",H2111-G2111)))*E2111</f>
        <v>1500</v>
      </c>
      <c r="L2111" s="51">
        <v>0</v>
      </c>
      <c r="M2111" s="52">
        <v>0</v>
      </c>
      <c r="N2111" s="2">
        <f t="shared" si="2113"/>
        <v>1.25</v>
      </c>
      <c r="O2111" s="2">
        <f t="shared" si="2136"/>
        <v>1500</v>
      </c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</row>
    <row r="2112" spans="1:33" s="14" customFormat="1" ht="15" customHeight="1">
      <c r="A2112" s="10">
        <v>42858</v>
      </c>
      <c r="B2112" s="3" t="s">
        <v>9</v>
      </c>
      <c r="C2112" s="15" t="s">
        <v>47</v>
      </c>
      <c r="D2112" s="15">
        <v>1180</v>
      </c>
      <c r="E2112" s="11">
        <v>600</v>
      </c>
      <c r="F2112" s="3" t="s">
        <v>8</v>
      </c>
      <c r="G2112" s="46">
        <v>36</v>
      </c>
      <c r="H2112" s="3">
        <v>32.5</v>
      </c>
      <c r="I2112" s="46">
        <v>0</v>
      </c>
      <c r="J2112" s="55">
        <v>0</v>
      </c>
      <c r="K2112" s="1">
        <f t="shared" ref="K2112" si="2156">(IF(F2112="SELL",G2112-H2112,IF(F2112="BUY",H2112-G2112)))*E2112</f>
        <v>-2100</v>
      </c>
      <c r="L2112" s="51">
        <v>0</v>
      </c>
      <c r="M2112" s="52">
        <v>0</v>
      </c>
      <c r="N2112" s="2">
        <f t="shared" si="2113"/>
        <v>-3.5</v>
      </c>
      <c r="O2112" s="2">
        <f t="shared" si="2136"/>
        <v>-2100</v>
      </c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</row>
    <row r="2113" spans="1:33" s="14" customFormat="1" ht="15" customHeight="1">
      <c r="A2113" s="10">
        <v>42858</v>
      </c>
      <c r="B2113" s="3" t="s">
        <v>30</v>
      </c>
      <c r="C2113" s="15" t="s">
        <v>47</v>
      </c>
      <c r="D2113" s="15">
        <v>275</v>
      </c>
      <c r="E2113" s="11">
        <v>2500</v>
      </c>
      <c r="F2113" s="3" t="s">
        <v>8</v>
      </c>
      <c r="G2113" s="46">
        <v>9</v>
      </c>
      <c r="H2113" s="3">
        <v>9.6</v>
      </c>
      <c r="I2113" s="46">
        <v>0</v>
      </c>
      <c r="J2113" s="55">
        <v>0</v>
      </c>
      <c r="K2113" s="1">
        <f t="shared" ref="K2113" si="2157">(IF(F2113="SELL",G2113-H2113,IF(F2113="BUY",H2113-G2113)))*E2113</f>
        <v>1499.9999999999991</v>
      </c>
      <c r="L2113" s="51">
        <v>0</v>
      </c>
      <c r="M2113" s="52">
        <v>0</v>
      </c>
      <c r="N2113" s="2">
        <f t="shared" si="2113"/>
        <v>0.59999999999999964</v>
      </c>
      <c r="O2113" s="2">
        <f t="shared" si="2136"/>
        <v>1499.9999999999991</v>
      </c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</row>
    <row r="2114" spans="1:33" s="14" customFormat="1" ht="15" customHeight="1">
      <c r="A2114" s="10">
        <v>42858</v>
      </c>
      <c r="B2114" s="3" t="s">
        <v>55</v>
      </c>
      <c r="C2114" s="15" t="s">
        <v>47</v>
      </c>
      <c r="D2114" s="15">
        <v>190</v>
      </c>
      <c r="E2114" s="11">
        <v>3500</v>
      </c>
      <c r="F2114" s="3" t="s">
        <v>8</v>
      </c>
      <c r="G2114" s="46">
        <v>8</v>
      </c>
      <c r="H2114" s="3">
        <v>8</v>
      </c>
      <c r="I2114" s="46">
        <v>0</v>
      </c>
      <c r="J2114" s="55">
        <v>0</v>
      </c>
      <c r="K2114" s="1">
        <f t="shared" ref="K2114" si="2158">(IF(F2114="SELL",G2114-H2114,IF(F2114="BUY",H2114-G2114)))*E2114</f>
        <v>0</v>
      </c>
      <c r="L2114" s="51">
        <v>0</v>
      </c>
      <c r="M2114" s="52">
        <v>0</v>
      </c>
      <c r="N2114" s="2">
        <f t="shared" si="2113"/>
        <v>0</v>
      </c>
      <c r="O2114" s="2">
        <f t="shared" si="2136"/>
        <v>0</v>
      </c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</row>
    <row r="2115" spans="1:33" s="14" customFormat="1" ht="15" customHeight="1">
      <c r="A2115" s="10">
        <v>42857</v>
      </c>
      <c r="B2115" s="3" t="s">
        <v>17</v>
      </c>
      <c r="C2115" s="15" t="s">
        <v>46</v>
      </c>
      <c r="D2115" s="15">
        <v>500</v>
      </c>
      <c r="E2115" s="11">
        <v>1200</v>
      </c>
      <c r="F2115" s="3" t="s">
        <v>8</v>
      </c>
      <c r="G2115" s="46">
        <v>12</v>
      </c>
      <c r="H2115" s="3">
        <v>12</v>
      </c>
      <c r="I2115" s="46">
        <v>0</v>
      </c>
      <c r="J2115" s="55">
        <v>0</v>
      </c>
      <c r="K2115" s="1">
        <f t="shared" ref="K2115" si="2159">(IF(F2115="SELL",G2115-H2115,IF(F2115="BUY",H2115-G2115)))*E2115</f>
        <v>0</v>
      </c>
      <c r="L2115" s="51">
        <v>0</v>
      </c>
      <c r="M2115" s="52">
        <v>0</v>
      </c>
      <c r="N2115" s="2">
        <f t="shared" si="2113"/>
        <v>0</v>
      </c>
      <c r="O2115" s="2">
        <f t="shared" si="2136"/>
        <v>0</v>
      </c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</row>
    <row r="2116" spans="1:33" s="14" customFormat="1" ht="15" customHeight="1">
      <c r="A2116" s="10">
        <v>42857</v>
      </c>
      <c r="B2116" s="3" t="s">
        <v>14</v>
      </c>
      <c r="C2116" s="15" t="s">
        <v>47</v>
      </c>
      <c r="D2116" s="15">
        <v>410</v>
      </c>
      <c r="E2116" s="11">
        <v>2000</v>
      </c>
      <c r="F2116" s="3" t="s">
        <v>8</v>
      </c>
      <c r="G2116" s="46">
        <v>12</v>
      </c>
      <c r="H2116" s="3">
        <v>12.75</v>
      </c>
      <c r="I2116" s="46">
        <v>0</v>
      </c>
      <c r="J2116" s="55">
        <v>0</v>
      </c>
      <c r="K2116" s="1">
        <f t="shared" ref="K2116" si="2160">(IF(F2116="SELL",G2116-H2116,IF(F2116="BUY",H2116-G2116)))*E2116</f>
        <v>1500</v>
      </c>
      <c r="L2116" s="51">
        <v>0</v>
      </c>
      <c r="M2116" s="52">
        <v>0</v>
      </c>
      <c r="N2116" s="2">
        <f t="shared" si="2113"/>
        <v>0.75</v>
      </c>
      <c r="O2116" s="2">
        <f t="shared" si="2136"/>
        <v>1500</v>
      </c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</row>
    <row r="2117" spans="1:33" s="14" customFormat="1" ht="15" customHeight="1">
      <c r="A2117" s="10">
        <v>42857</v>
      </c>
      <c r="B2117" s="3" t="s">
        <v>102</v>
      </c>
      <c r="C2117" s="15" t="s">
        <v>47</v>
      </c>
      <c r="D2117" s="15">
        <v>340</v>
      </c>
      <c r="E2117" s="11">
        <v>500</v>
      </c>
      <c r="F2117" s="3" t="s">
        <v>8</v>
      </c>
      <c r="G2117" s="46">
        <v>11.5</v>
      </c>
      <c r="H2117" s="3">
        <v>11.5</v>
      </c>
      <c r="I2117" s="46">
        <v>0</v>
      </c>
      <c r="J2117" s="55">
        <v>0</v>
      </c>
      <c r="K2117" s="1">
        <f t="shared" ref="K2117" si="2161">(IF(F2117="SELL",G2117-H2117,IF(F2117="BUY",H2117-G2117)))*E2117</f>
        <v>0</v>
      </c>
      <c r="L2117" s="51">
        <v>0</v>
      </c>
      <c r="M2117" s="52">
        <v>0</v>
      </c>
      <c r="N2117" s="2">
        <f t="shared" si="2113"/>
        <v>0</v>
      </c>
      <c r="O2117" s="2">
        <f t="shared" si="2136"/>
        <v>0</v>
      </c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</row>
    <row r="2118" spans="1:33" s="14" customFormat="1" ht="15" customHeight="1">
      <c r="A2118" s="10">
        <v>42853</v>
      </c>
      <c r="B2118" s="3" t="s">
        <v>101</v>
      </c>
      <c r="C2118" s="15" t="s">
        <v>46</v>
      </c>
      <c r="D2118" s="15">
        <v>900</v>
      </c>
      <c r="E2118" s="11">
        <v>500</v>
      </c>
      <c r="F2118" s="3" t="s">
        <v>8</v>
      </c>
      <c r="G2118" s="46">
        <v>18</v>
      </c>
      <c r="H2118" s="3">
        <v>18</v>
      </c>
      <c r="I2118" s="46">
        <v>0</v>
      </c>
      <c r="J2118" s="55">
        <v>0</v>
      </c>
      <c r="K2118" s="1">
        <f t="shared" ref="K2118" si="2162">(IF(F2118="SELL",G2118-H2118,IF(F2118="BUY",H2118-G2118)))*E2118</f>
        <v>0</v>
      </c>
      <c r="L2118" s="51">
        <v>0</v>
      </c>
      <c r="M2118" s="52">
        <v>0</v>
      </c>
      <c r="N2118" s="2">
        <f t="shared" si="2113"/>
        <v>0</v>
      </c>
      <c r="O2118" s="2">
        <f t="shared" si="2136"/>
        <v>0</v>
      </c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</row>
    <row r="2119" spans="1:33" s="14" customFormat="1" ht="15" customHeight="1">
      <c r="A2119" s="10">
        <v>42853</v>
      </c>
      <c r="B2119" s="3" t="s">
        <v>59</v>
      </c>
      <c r="C2119" s="15" t="s">
        <v>47</v>
      </c>
      <c r="D2119" s="15">
        <v>170</v>
      </c>
      <c r="E2119" s="11">
        <v>500</v>
      </c>
      <c r="F2119" s="3" t="s">
        <v>8</v>
      </c>
      <c r="G2119" s="46">
        <v>7</v>
      </c>
      <c r="H2119" s="3">
        <v>7</v>
      </c>
      <c r="I2119" s="46">
        <v>0</v>
      </c>
      <c r="J2119" s="55">
        <v>0</v>
      </c>
      <c r="K2119" s="1">
        <f t="shared" ref="K2119" si="2163">(IF(F2119="SELL",G2119-H2119,IF(F2119="BUY",H2119-G2119)))*E2119</f>
        <v>0</v>
      </c>
      <c r="L2119" s="51">
        <v>0</v>
      </c>
      <c r="M2119" s="52">
        <v>0</v>
      </c>
      <c r="N2119" s="2">
        <f t="shared" si="2113"/>
        <v>0</v>
      </c>
      <c r="O2119" s="2">
        <f t="shared" si="2136"/>
        <v>0</v>
      </c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</row>
    <row r="2120" spans="1:33" s="14" customFormat="1" ht="15" customHeight="1">
      <c r="A2120" s="10">
        <v>42853</v>
      </c>
      <c r="B2120" s="3" t="s">
        <v>31</v>
      </c>
      <c r="C2120" s="15" t="s">
        <v>47</v>
      </c>
      <c r="D2120" s="15">
        <v>260</v>
      </c>
      <c r="E2120" s="11">
        <v>500</v>
      </c>
      <c r="F2120" s="3" t="s">
        <v>8</v>
      </c>
      <c r="G2120" s="46">
        <v>14</v>
      </c>
      <c r="H2120" s="3">
        <v>14.6</v>
      </c>
      <c r="I2120" s="46">
        <v>15.5</v>
      </c>
      <c r="J2120" s="55">
        <v>0</v>
      </c>
      <c r="K2120" s="1">
        <f t="shared" ref="K2120" si="2164">(IF(F2120="SELL",G2120-H2120,IF(F2120="BUY",H2120-G2120)))*E2120</f>
        <v>299.99999999999983</v>
      </c>
      <c r="L2120" s="51">
        <f t="shared" ref="L2120" si="2165">(IF(F2120="SELL",IF(I2120="",0,H2120-I2120),IF(F2120="BUY",IF(I2120="",0,I2120-H2120))))*E2120</f>
        <v>450.00000000000017</v>
      </c>
      <c r="M2120" s="52">
        <v>0</v>
      </c>
      <c r="N2120" s="2">
        <f t="shared" si="2113"/>
        <v>1.5</v>
      </c>
      <c r="O2120" s="2">
        <f t="shared" si="2136"/>
        <v>750</v>
      </c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</row>
    <row r="2121" spans="1:33" s="14" customFormat="1" ht="15" customHeight="1">
      <c r="A2121" s="10">
        <v>42853</v>
      </c>
      <c r="B2121" s="3" t="s">
        <v>100</v>
      </c>
      <c r="C2121" s="15" t="s">
        <v>47</v>
      </c>
      <c r="D2121" s="15">
        <v>1800</v>
      </c>
      <c r="E2121" s="11">
        <v>500</v>
      </c>
      <c r="F2121" s="3" t="s">
        <v>8</v>
      </c>
      <c r="G2121" s="46">
        <v>17</v>
      </c>
      <c r="H2121" s="3">
        <v>19</v>
      </c>
      <c r="I2121" s="46">
        <v>0</v>
      </c>
      <c r="J2121" s="55">
        <v>0</v>
      </c>
      <c r="K2121" s="1">
        <f t="shared" ref="K2121" si="2166">(IF(F2121="SELL",G2121-H2121,IF(F2121="BUY",H2121-G2121)))*E2121</f>
        <v>1000</v>
      </c>
      <c r="L2121" s="51">
        <v>0</v>
      </c>
      <c r="M2121" s="52">
        <v>0</v>
      </c>
      <c r="N2121" s="2">
        <f t="shared" si="2113"/>
        <v>2</v>
      </c>
      <c r="O2121" s="2">
        <f t="shared" si="2136"/>
        <v>1000</v>
      </c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</row>
    <row r="2122" spans="1:33" s="14" customFormat="1" ht="15" customHeight="1">
      <c r="A2122" s="10">
        <v>42852</v>
      </c>
      <c r="B2122" s="3" t="s">
        <v>54</v>
      </c>
      <c r="C2122" s="15" t="s">
        <v>46</v>
      </c>
      <c r="D2122" s="15">
        <v>100</v>
      </c>
      <c r="E2122" s="11">
        <v>2000</v>
      </c>
      <c r="F2122" s="3" t="s">
        <v>8</v>
      </c>
      <c r="G2122" s="46">
        <v>4.3</v>
      </c>
      <c r="H2122" s="3">
        <v>4.3</v>
      </c>
      <c r="I2122" s="46">
        <v>0</v>
      </c>
      <c r="J2122" s="55">
        <v>0</v>
      </c>
      <c r="K2122" s="1">
        <f t="shared" ref="K2122" si="2167">(IF(F2122="SELL",G2122-H2122,IF(F2122="BUY",H2122-G2122)))*E2122</f>
        <v>0</v>
      </c>
      <c r="L2122" s="51">
        <v>0</v>
      </c>
      <c r="M2122" s="52">
        <v>0</v>
      </c>
      <c r="N2122" s="2">
        <f t="shared" si="2113"/>
        <v>0</v>
      </c>
      <c r="O2122" s="2">
        <f t="shared" si="2136"/>
        <v>0</v>
      </c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</row>
    <row r="2123" spans="1:33" s="14" customFormat="1" ht="15" customHeight="1">
      <c r="A2123" s="10">
        <v>42852</v>
      </c>
      <c r="B2123" s="3" t="s">
        <v>25</v>
      </c>
      <c r="C2123" s="15" t="s">
        <v>46</v>
      </c>
      <c r="D2123" s="15">
        <v>430</v>
      </c>
      <c r="E2123" s="11">
        <v>5000</v>
      </c>
      <c r="F2123" s="3" t="s">
        <v>8</v>
      </c>
      <c r="G2123" s="46">
        <v>6.5</v>
      </c>
      <c r="H2123" s="3">
        <v>6.9</v>
      </c>
      <c r="I2123" s="46">
        <v>7.4</v>
      </c>
      <c r="J2123" s="55">
        <v>0</v>
      </c>
      <c r="K2123" s="1">
        <f t="shared" ref="K2123" si="2168">(IF(F2123="SELL",G2123-H2123,IF(F2123="BUY",H2123-G2123)))*E2123</f>
        <v>2000.0000000000018</v>
      </c>
      <c r="L2123" s="51">
        <f t="shared" ref="L2123:L2125" si="2169">(IF(F2123="SELL",IF(I2123="",0,H2123-I2123),IF(F2123="BUY",IF(I2123="",0,I2123-H2123))))*E2123</f>
        <v>2500</v>
      </c>
      <c r="M2123" s="52">
        <v>0</v>
      </c>
      <c r="N2123" s="2">
        <f t="shared" si="2113"/>
        <v>0.90000000000000036</v>
      </c>
      <c r="O2123" s="2">
        <f t="shared" si="2136"/>
        <v>4500.0000000000018</v>
      </c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</row>
    <row r="2124" spans="1:33" s="14" customFormat="1" ht="15" customHeight="1">
      <c r="A2124" s="10">
        <v>42852</v>
      </c>
      <c r="B2124" s="3" t="s">
        <v>54</v>
      </c>
      <c r="C2124" s="15" t="s">
        <v>47</v>
      </c>
      <c r="D2124" s="15">
        <v>920</v>
      </c>
      <c r="E2124" s="11">
        <v>2000</v>
      </c>
      <c r="F2124" s="3" t="s">
        <v>8</v>
      </c>
      <c r="G2124" s="46">
        <v>9.5</v>
      </c>
      <c r="H2124" s="3">
        <v>10</v>
      </c>
      <c r="I2124" s="46">
        <v>0</v>
      </c>
      <c r="J2124" s="55">
        <v>0</v>
      </c>
      <c r="K2124" s="1">
        <f t="shared" ref="K2124" si="2170">(IF(F2124="SELL",G2124-H2124,IF(F2124="BUY",H2124-G2124)))*E2124</f>
        <v>1000</v>
      </c>
      <c r="L2124" s="51">
        <v>0</v>
      </c>
      <c r="M2124" s="52">
        <v>0</v>
      </c>
      <c r="N2124" s="2">
        <f t="shared" si="2113"/>
        <v>0.5</v>
      </c>
      <c r="O2124" s="2">
        <f t="shared" si="2136"/>
        <v>1000</v>
      </c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</row>
    <row r="2125" spans="1:33" s="14" customFormat="1" ht="15" customHeight="1">
      <c r="A2125" s="10">
        <v>42852</v>
      </c>
      <c r="B2125" s="3" t="s">
        <v>82</v>
      </c>
      <c r="C2125" s="15" t="s">
        <v>47</v>
      </c>
      <c r="D2125" s="15">
        <v>140</v>
      </c>
      <c r="E2125" s="11">
        <v>7000</v>
      </c>
      <c r="F2125" s="3" t="s">
        <v>8</v>
      </c>
      <c r="G2125" s="46">
        <v>4.8</v>
      </c>
      <c r="H2125" s="3">
        <v>5</v>
      </c>
      <c r="I2125" s="46">
        <v>5.3</v>
      </c>
      <c r="J2125" s="55">
        <v>0</v>
      </c>
      <c r="K2125" s="1">
        <f t="shared" ref="K2125" si="2171">(IF(F2125="SELL",G2125-H2125,IF(F2125="BUY",H2125-G2125)))*E2125</f>
        <v>1400.0000000000011</v>
      </c>
      <c r="L2125" s="51">
        <f t="shared" si="2169"/>
        <v>2099.9999999999986</v>
      </c>
      <c r="M2125" s="52">
        <v>0</v>
      </c>
      <c r="N2125" s="2">
        <f t="shared" si="2113"/>
        <v>0.5</v>
      </c>
      <c r="O2125" s="2">
        <f t="shared" si="2136"/>
        <v>3500</v>
      </c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</row>
    <row r="2126" spans="1:33" s="14" customFormat="1" ht="15" customHeight="1">
      <c r="A2126" s="10">
        <v>42852</v>
      </c>
      <c r="B2126" s="3" t="s">
        <v>54</v>
      </c>
      <c r="C2126" s="15" t="s">
        <v>47</v>
      </c>
      <c r="D2126" s="15">
        <v>920</v>
      </c>
      <c r="E2126" s="11">
        <v>2000</v>
      </c>
      <c r="F2126" s="3" t="s">
        <v>8</v>
      </c>
      <c r="G2126" s="46">
        <v>16</v>
      </c>
      <c r="H2126" s="3">
        <v>16.5</v>
      </c>
      <c r="I2126" s="46">
        <v>17.2</v>
      </c>
      <c r="J2126" s="55">
        <v>20</v>
      </c>
      <c r="K2126" s="1">
        <f t="shared" ref="K2126" si="2172">(IF(F2126="SELL",G2126-H2126,IF(F2126="BUY",H2126-G2126)))*E2126</f>
        <v>1000</v>
      </c>
      <c r="L2126" s="51">
        <f t="shared" ref="L2126" si="2173">(IF(F2126="SELL",IF(I2126="",0,H2126-I2126),IF(F2126="BUY",IF(I2126="",0,I2126-H2126))))*E2126</f>
        <v>1399.9999999999986</v>
      </c>
      <c r="M2126" s="52">
        <f>(IF(F2126="SELL",IF(J2126="",0,I2126-J2126),IF(F2126="BUY",IF(J2126="",0,(J2126-I2126)))))*E2126</f>
        <v>5600.0000000000018</v>
      </c>
      <c r="N2126" s="2">
        <f t="shared" si="2113"/>
        <v>4</v>
      </c>
      <c r="O2126" s="2">
        <f t="shared" si="2136"/>
        <v>8000</v>
      </c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</row>
    <row r="2127" spans="1:33" s="14" customFormat="1" ht="15" customHeight="1">
      <c r="A2127" s="10">
        <v>42851</v>
      </c>
      <c r="B2127" s="3" t="s">
        <v>34</v>
      </c>
      <c r="C2127" s="15" t="s">
        <v>47</v>
      </c>
      <c r="D2127" s="15">
        <v>200</v>
      </c>
      <c r="E2127" s="11">
        <v>3500</v>
      </c>
      <c r="F2127" s="3" t="s">
        <v>8</v>
      </c>
      <c r="G2127" s="46">
        <v>3.3</v>
      </c>
      <c r="H2127" s="3">
        <v>3.3</v>
      </c>
      <c r="I2127" s="46">
        <v>0</v>
      </c>
      <c r="J2127" s="55">
        <v>0</v>
      </c>
      <c r="K2127" s="1">
        <f t="shared" ref="K2127" si="2174">(IF(F2127="SELL",G2127-H2127,IF(F2127="BUY",H2127-G2127)))*E2127</f>
        <v>0</v>
      </c>
      <c r="L2127" s="51">
        <v>0</v>
      </c>
      <c r="M2127" s="52">
        <f>(IF(F2127="SELL",IF(J2127="",0,I2127-J2127),IF(F2127="BUY",IF(J2127="",0,(J2127-I2127)))))*E2127</f>
        <v>0</v>
      </c>
      <c r="N2127" s="2">
        <f t="shared" si="2113"/>
        <v>0</v>
      </c>
      <c r="O2127" s="2">
        <f t="shared" si="2136"/>
        <v>0</v>
      </c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</row>
    <row r="2128" spans="1:33" s="14" customFormat="1" ht="15" customHeight="1">
      <c r="A2128" s="10">
        <v>42851</v>
      </c>
      <c r="B2128" s="3" t="s">
        <v>79</v>
      </c>
      <c r="C2128" s="15" t="s">
        <v>47</v>
      </c>
      <c r="D2128" s="15">
        <v>200</v>
      </c>
      <c r="E2128" s="11">
        <v>3500</v>
      </c>
      <c r="F2128" s="3" t="s">
        <v>8</v>
      </c>
      <c r="G2128" s="46">
        <v>11</v>
      </c>
      <c r="H2128" s="3">
        <v>11.3</v>
      </c>
      <c r="I2128" s="46">
        <v>11.7</v>
      </c>
      <c r="J2128" s="55">
        <v>13</v>
      </c>
      <c r="K2128" s="1">
        <f t="shared" ref="K2128" si="2175">(IF(F2128="SELL",G2128-H2128,IF(F2128="BUY",H2128-G2128)))*E2128</f>
        <v>1050.0000000000025</v>
      </c>
      <c r="L2128" s="51">
        <f t="shared" ref="L2128" si="2176">(IF(F2128="SELL",IF(I2128="",0,H2128-I2128),IF(F2128="BUY",IF(I2128="",0,I2128-H2128))))*E2128</f>
        <v>1399.999999999995</v>
      </c>
      <c r="M2128" s="52">
        <f>(IF(F2128="SELL",IF(J2128="",0,I2128-J2128),IF(F2128="BUY",IF(J2128="",0,(J2128-I2128)))))*E2128</f>
        <v>4550.0000000000027</v>
      </c>
      <c r="N2128" s="2">
        <f t="shared" si="2113"/>
        <v>2</v>
      </c>
      <c r="O2128" s="2">
        <f t="shared" si="2136"/>
        <v>7000</v>
      </c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</row>
    <row r="2129" spans="1:33" s="14" customFormat="1" ht="15" customHeight="1">
      <c r="A2129" s="10">
        <v>42851</v>
      </c>
      <c r="B2129" s="3" t="s">
        <v>83</v>
      </c>
      <c r="C2129" s="15" t="s">
        <v>47</v>
      </c>
      <c r="D2129" s="15">
        <v>2200</v>
      </c>
      <c r="E2129" s="11">
        <v>40</v>
      </c>
      <c r="F2129" s="3" t="s">
        <v>8</v>
      </c>
      <c r="G2129" s="46">
        <v>170</v>
      </c>
      <c r="H2129" s="3">
        <v>185</v>
      </c>
      <c r="I2129" s="46">
        <v>210</v>
      </c>
      <c r="J2129" s="55">
        <v>0</v>
      </c>
      <c r="K2129" s="1">
        <f t="shared" ref="K2129" si="2177">(IF(F2129="SELL",G2129-H2129,IF(F2129="BUY",H2129-G2129)))*E2129</f>
        <v>600</v>
      </c>
      <c r="L2129" s="51">
        <f t="shared" ref="L2129" si="2178">(IF(F2129="SELL",IF(I2129="",0,H2129-I2129),IF(F2129="BUY",IF(I2129="",0,I2129-H2129))))*E2129</f>
        <v>1000</v>
      </c>
      <c r="M2129" s="52">
        <v>0</v>
      </c>
      <c r="N2129" s="2">
        <f t="shared" si="2113"/>
        <v>40</v>
      </c>
      <c r="O2129" s="2">
        <f t="shared" si="2136"/>
        <v>1600</v>
      </c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</row>
    <row r="2130" spans="1:33" s="14" customFormat="1" ht="15" customHeight="1">
      <c r="A2130" s="10">
        <v>42851</v>
      </c>
      <c r="B2130" s="3" t="s">
        <v>99</v>
      </c>
      <c r="C2130" s="15" t="s">
        <v>47</v>
      </c>
      <c r="D2130" s="15">
        <v>430</v>
      </c>
      <c r="E2130" s="11">
        <v>3000</v>
      </c>
      <c r="F2130" s="3" t="s">
        <v>8</v>
      </c>
      <c r="G2130" s="46">
        <v>6.8</v>
      </c>
      <c r="H2130" s="3">
        <v>7.2</v>
      </c>
      <c r="I2130" s="46">
        <v>7.5</v>
      </c>
      <c r="J2130" s="55">
        <v>9</v>
      </c>
      <c r="K2130" s="1">
        <f t="shared" ref="K2130" si="2179">(IF(F2130="SELL",G2130-H2130,IF(F2130="BUY",H2130-G2130)))*E2130</f>
        <v>1200.0000000000011</v>
      </c>
      <c r="L2130" s="51">
        <f t="shared" ref="L2130" si="2180">(IF(F2130="SELL",IF(I2130="",0,H2130-I2130),IF(F2130="BUY",IF(I2130="",0,I2130-H2130))))*E2130</f>
        <v>899.99999999999943</v>
      </c>
      <c r="M2130" s="52">
        <f>(IF(F2130="SELL",IF(J2130="",0,I2130-J2130),IF(F2130="BUY",IF(J2130="",0,(J2130-I2130)))))*E2130</f>
        <v>4500</v>
      </c>
      <c r="N2130" s="2">
        <f t="shared" si="2113"/>
        <v>2.2000000000000002</v>
      </c>
      <c r="O2130" s="2">
        <f t="shared" si="2136"/>
        <v>6600.0000000000009</v>
      </c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</row>
    <row r="2131" spans="1:33" s="14" customFormat="1" ht="15" customHeight="1">
      <c r="A2131" s="10">
        <v>42851</v>
      </c>
      <c r="B2131" s="3" t="s">
        <v>57</v>
      </c>
      <c r="C2131" s="15" t="s">
        <v>47</v>
      </c>
      <c r="D2131" s="15">
        <v>150</v>
      </c>
      <c r="E2131" s="11">
        <v>6000</v>
      </c>
      <c r="F2131" s="3" t="s">
        <v>8</v>
      </c>
      <c r="G2131" s="46">
        <v>5</v>
      </c>
      <c r="H2131" s="3">
        <v>5.2</v>
      </c>
      <c r="I2131" s="46">
        <v>5.5</v>
      </c>
      <c r="J2131" s="55">
        <v>6.3</v>
      </c>
      <c r="K2131" s="1">
        <f t="shared" ref="K2131" si="2181">(IF(F2131="SELL",G2131-H2131,IF(F2131="BUY",H2131-G2131)))*E2131</f>
        <v>1200.0000000000011</v>
      </c>
      <c r="L2131" s="51">
        <f t="shared" ref="L2131" si="2182">(IF(F2131="SELL",IF(I2131="",0,H2131-I2131),IF(F2131="BUY",IF(I2131="",0,I2131-H2131))))*E2131</f>
        <v>1799.9999999999989</v>
      </c>
      <c r="M2131" s="52">
        <f>(IF(F2131="SELL",IF(J2131="",0,I2131-J2131),IF(F2131="BUY",IF(J2131="",0,(J2131-I2131)))))*E2131</f>
        <v>4799.9999999999991</v>
      </c>
      <c r="N2131" s="2">
        <f t="shared" si="2113"/>
        <v>1.2999999999999998</v>
      </c>
      <c r="O2131" s="2">
        <f t="shared" si="2136"/>
        <v>7799.9999999999991</v>
      </c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</row>
    <row r="2132" spans="1:33" s="14" customFormat="1" ht="15" customHeight="1">
      <c r="A2132" s="10">
        <v>42850</v>
      </c>
      <c r="B2132" s="3" t="s">
        <v>76</v>
      </c>
      <c r="C2132" s="15" t="s">
        <v>47</v>
      </c>
      <c r="D2132" s="15">
        <v>9100</v>
      </c>
      <c r="E2132" s="11">
        <v>75</v>
      </c>
      <c r="F2132" s="3" t="s">
        <v>8</v>
      </c>
      <c r="G2132" s="46">
        <v>157</v>
      </c>
      <c r="H2132" s="3">
        <v>165</v>
      </c>
      <c r="I2132" s="46">
        <v>175</v>
      </c>
      <c r="J2132" s="55">
        <v>0</v>
      </c>
      <c r="K2132" s="1">
        <f t="shared" ref="K2132" si="2183">(IF(F2132="SELL",G2132-H2132,IF(F2132="BUY",H2132-G2132)))*E2132</f>
        <v>600</v>
      </c>
      <c r="L2132" s="51">
        <f t="shared" ref="L2132" si="2184">(IF(F2132="SELL",IF(I2132="",0,H2132-I2132),IF(F2132="BUY",IF(I2132="",0,I2132-H2132))))*E2132</f>
        <v>750</v>
      </c>
      <c r="M2132" s="52">
        <v>0</v>
      </c>
      <c r="N2132" s="2">
        <f t="shared" si="2113"/>
        <v>18</v>
      </c>
      <c r="O2132" s="2">
        <f t="shared" si="2136"/>
        <v>1350</v>
      </c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</row>
    <row r="2133" spans="1:33" s="14" customFormat="1" ht="15" customHeight="1">
      <c r="A2133" s="10">
        <v>42850</v>
      </c>
      <c r="B2133" s="3" t="s">
        <v>82</v>
      </c>
      <c r="C2133" s="15" t="s">
        <v>47</v>
      </c>
      <c r="D2133" s="15">
        <v>150</v>
      </c>
      <c r="E2133" s="11">
        <v>7000</v>
      </c>
      <c r="F2133" s="3" t="s">
        <v>8</v>
      </c>
      <c r="G2133" s="46">
        <v>6.8</v>
      </c>
      <c r="H2133" s="3">
        <v>7</v>
      </c>
      <c r="I2133" s="46">
        <v>7.2</v>
      </c>
      <c r="J2133" s="55">
        <v>8.1999999999999993</v>
      </c>
      <c r="K2133" s="1">
        <f t="shared" ref="K2133" si="2185">(IF(F2133="SELL",G2133-H2133,IF(F2133="BUY",H2133-G2133)))*E2133</f>
        <v>1400.0000000000011</v>
      </c>
      <c r="L2133" s="51">
        <f t="shared" ref="L2133" si="2186">(IF(F2133="SELL",IF(I2133="",0,H2133-I2133),IF(F2133="BUY",IF(I2133="",0,I2133-H2133))))*E2133</f>
        <v>1400.0000000000011</v>
      </c>
      <c r="M2133" s="52">
        <f>(IF(F2133="SELL",IF(J2133="",0,I2133-J2133),IF(F2133="BUY",IF(J2133="",0,(J2133-I2133)))))*E2133</f>
        <v>6999.9999999999936</v>
      </c>
      <c r="N2133" s="2">
        <f t="shared" si="2113"/>
        <v>1.3999999999999995</v>
      </c>
      <c r="O2133" s="2">
        <f t="shared" si="2136"/>
        <v>9799.9999999999964</v>
      </c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</row>
    <row r="2134" spans="1:33" s="14" customFormat="1" ht="15" customHeight="1">
      <c r="A2134" s="10">
        <v>42850</v>
      </c>
      <c r="B2134" s="3" t="s">
        <v>98</v>
      </c>
      <c r="C2134" s="15" t="s">
        <v>47</v>
      </c>
      <c r="D2134" s="15">
        <v>1120</v>
      </c>
      <c r="E2134" s="11">
        <v>600</v>
      </c>
      <c r="F2134" s="3" t="s">
        <v>8</v>
      </c>
      <c r="G2134" s="46">
        <v>30</v>
      </c>
      <c r="H2134" s="3">
        <v>32</v>
      </c>
      <c r="I2134" s="46">
        <v>34</v>
      </c>
      <c r="J2134" s="55">
        <v>45</v>
      </c>
      <c r="K2134" s="1">
        <f t="shared" ref="K2134" si="2187">(IF(F2134="SELL",G2134-H2134,IF(F2134="BUY",H2134-G2134)))*E2134</f>
        <v>1200</v>
      </c>
      <c r="L2134" s="51">
        <f t="shared" ref="L2134" si="2188">(IF(F2134="SELL",IF(I2134="",0,H2134-I2134),IF(F2134="BUY",IF(I2134="",0,I2134-H2134))))*E2134</f>
        <v>1200</v>
      </c>
      <c r="M2134" s="52">
        <f>(IF(F2134="SELL",IF(J2134="",0,I2134-J2134),IF(F2134="BUY",IF(J2134="",0,(J2134-I2134)))))*E2134</f>
        <v>6600</v>
      </c>
      <c r="N2134" s="2">
        <f t="shared" si="2113"/>
        <v>15</v>
      </c>
      <c r="O2134" s="2">
        <f t="shared" si="2136"/>
        <v>9000</v>
      </c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</row>
    <row r="2135" spans="1:33" s="14" customFormat="1" ht="15" customHeight="1">
      <c r="A2135" s="10">
        <v>42850</v>
      </c>
      <c r="B2135" s="3" t="s">
        <v>93</v>
      </c>
      <c r="C2135" s="15" t="s">
        <v>47</v>
      </c>
      <c r="D2135" s="15">
        <v>170</v>
      </c>
      <c r="E2135" s="11">
        <v>7000</v>
      </c>
      <c r="F2135" s="3" t="s">
        <v>8</v>
      </c>
      <c r="G2135" s="46">
        <v>4.7</v>
      </c>
      <c r="H2135" s="3">
        <v>4.9000000000000004</v>
      </c>
      <c r="I2135" s="46">
        <v>5.15</v>
      </c>
      <c r="J2135" s="55">
        <v>0</v>
      </c>
      <c r="K2135" s="1">
        <f t="shared" ref="K2135:K2147" si="2189">(IF(F2135="SELL",G2135-H2135,IF(F2135="BUY",H2135-G2135)))*E2135</f>
        <v>1400.0000000000011</v>
      </c>
      <c r="L2135" s="51">
        <f t="shared" ref="L2135" si="2190">(IF(F2135="SELL",IF(I2135="",0,H2135-I2135),IF(F2135="BUY",IF(I2135="",0,I2135-H2135))))*E2135</f>
        <v>1750</v>
      </c>
      <c r="M2135" s="52">
        <v>0</v>
      </c>
      <c r="N2135" s="2">
        <f t="shared" si="2113"/>
        <v>0.45000000000000012</v>
      </c>
      <c r="O2135" s="2">
        <f t="shared" si="2136"/>
        <v>3150.0000000000009</v>
      </c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</row>
    <row r="2136" spans="1:33" s="14" customFormat="1" ht="15" customHeight="1">
      <c r="A2136" s="10">
        <v>42849</v>
      </c>
      <c r="B2136" s="3" t="s">
        <v>97</v>
      </c>
      <c r="C2136" s="15" t="s">
        <v>47</v>
      </c>
      <c r="D2136" s="15">
        <v>205</v>
      </c>
      <c r="E2136" s="11">
        <v>6000</v>
      </c>
      <c r="F2136" s="3" t="s">
        <v>8</v>
      </c>
      <c r="G2136" s="46">
        <v>4.0999999999999996</v>
      </c>
      <c r="H2136" s="3">
        <v>4.3</v>
      </c>
      <c r="I2136" s="46">
        <v>0</v>
      </c>
      <c r="J2136" s="55">
        <v>0</v>
      </c>
      <c r="K2136" s="1">
        <f t="shared" si="2189"/>
        <v>1200.0000000000011</v>
      </c>
      <c r="L2136" s="51">
        <v>0</v>
      </c>
      <c r="M2136" s="52">
        <v>0</v>
      </c>
      <c r="N2136" s="2">
        <f t="shared" si="2113"/>
        <v>0.20000000000000018</v>
      </c>
      <c r="O2136" s="2">
        <f t="shared" si="2136"/>
        <v>1200.0000000000011</v>
      </c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</row>
    <row r="2137" spans="1:33" s="14" customFormat="1" ht="15" customHeight="1">
      <c r="A2137" s="10">
        <v>42849</v>
      </c>
      <c r="B2137" s="3" t="s">
        <v>66</v>
      </c>
      <c r="C2137" s="15" t="s">
        <v>47</v>
      </c>
      <c r="D2137" s="15">
        <v>510</v>
      </c>
      <c r="E2137" s="11">
        <v>1000</v>
      </c>
      <c r="F2137" s="3" t="s">
        <v>8</v>
      </c>
      <c r="G2137" s="46">
        <v>12.5</v>
      </c>
      <c r="H2137" s="3">
        <v>14</v>
      </c>
      <c r="I2137" s="46">
        <v>0</v>
      </c>
      <c r="J2137" s="55">
        <v>0</v>
      </c>
      <c r="K2137" s="1">
        <f t="shared" si="2189"/>
        <v>1500</v>
      </c>
      <c r="L2137" s="51">
        <v>0</v>
      </c>
      <c r="M2137" s="52">
        <v>0</v>
      </c>
      <c r="N2137" s="2">
        <f t="shared" si="2113"/>
        <v>1.5</v>
      </c>
      <c r="O2137" s="2">
        <f t="shared" si="2136"/>
        <v>1500</v>
      </c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</row>
    <row r="2138" spans="1:33" s="14" customFormat="1" ht="15" customHeight="1">
      <c r="A2138" s="10">
        <v>42849</v>
      </c>
      <c r="B2138" s="3" t="s">
        <v>94</v>
      </c>
      <c r="C2138" s="15" t="s">
        <v>47</v>
      </c>
      <c r="D2138" s="15">
        <v>2300</v>
      </c>
      <c r="E2138" s="11">
        <v>300</v>
      </c>
      <c r="F2138" s="3" t="s">
        <v>8</v>
      </c>
      <c r="G2138" s="46">
        <v>82</v>
      </c>
      <c r="H2138" s="3">
        <v>85.5</v>
      </c>
      <c r="I2138" s="46">
        <v>90</v>
      </c>
      <c r="J2138" s="55">
        <v>0</v>
      </c>
      <c r="K2138" s="1">
        <f t="shared" si="2189"/>
        <v>1050</v>
      </c>
      <c r="L2138" s="51">
        <f t="shared" ref="L2138" si="2191">(IF(F2138="SELL",IF(I2138="",0,H2138-I2138),IF(F2138="BUY",IF(I2138="",0,I2138-H2138))))*E2138</f>
        <v>1350</v>
      </c>
      <c r="M2138" s="52">
        <v>0</v>
      </c>
      <c r="N2138" s="2">
        <f t="shared" si="2113"/>
        <v>8</v>
      </c>
      <c r="O2138" s="2">
        <f t="shared" si="2136"/>
        <v>2400</v>
      </c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</row>
    <row r="2139" spans="1:33" s="14" customFormat="1" ht="15" customHeight="1">
      <c r="A2139" s="10">
        <v>42846</v>
      </c>
      <c r="B2139" s="3" t="s">
        <v>82</v>
      </c>
      <c r="C2139" s="15" t="s">
        <v>47</v>
      </c>
      <c r="D2139" s="15">
        <v>150</v>
      </c>
      <c r="E2139" s="11">
        <v>7000</v>
      </c>
      <c r="F2139" s="3" t="s">
        <v>8</v>
      </c>
      <c r="G2139" s="46">
        <v>5.8</v>
      </c>
      <c r="H2139" s="3">
        <v>6</v>
      </c>
      <c r="I2139" s="46">
        <v>6.3</v>
      </c>
      <c r="J2139" s="55">
        <v>0</v>
      </c>
      <c r="K2139" s="1">
        <f t="shared" si="2189"/>
        <v>1400.0000000000011</v>
      </c>
      <c r="L2139" s="51">
        <f t="shared" ref="L2139" si="2192">(IF(F2139="SELL",IF(I2139="",0,H2139-I2139),IF(F2139="BUY",IF(I2139="",0,I2139-H2139))))*E2139</f>
        <v>2099.9999999999986</v>
      </c>
      <c r="M2139" s="52">
        <v>0</v>
      </c>
      <c r="N2139" s="2">
        <f t="shared" si="2113"/>
        <v>0.5</v>
      </c>
      <c r="O2139" s="2">
        <f t="shared" si="2136"/>
        <v>3500</v>
      </c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</row>
    <row r="2140" spans="1:33" s="14" customFormat="1" ht="15" customHeight="1">
      <c r="A2140" s="10">
        <v>42846</v>
      </c>
      <c r="B2140" s="3" t="s">
        <v>83</v>
      </c>
      <c r="C2140" s="15" t="s">
        <v>47</v>
      </c>
      <c r="D2140" s="15">
        <v>21500</v>
      </c>
      <c r="E2140" s="11">
        <v>40</v>
      </c>
      <c r="F2140" s="3" t="s">
        <v>8</v>
      </c>
      <c r="G2140" s="46">
        <v>175</v>
      </c>
      <c r="H2140" s="3">
        <v>190</v>
      </c>
      <c r="I2140" s="46">
        <v>0</v>
      </c>
      <c r="J2140" s="55">
        <v>0</v>
      </c>
      <c r="K2140" s="1">
        <f t="shared" si="2189"/>
        <v>600</v>
      </c>
      <c r="L2140" s="51">
        <v>0</v>
      </c>
      <c r="M2140" s="52">
        <v>0</v>
      </c>
      <c r="N2140" s="2">
        <f t="shared" si="2113"/>
        <v>15</v>
      </c>
      <c r="O2140" s="2">
        <f t="shared" si="2136"/>
        <v>600</v>
      </c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</row>
    <row r="2141" spans="1:33" s="14" customFormat="1" ht="15" customHeight="1">
      <c r="A2141" s="10">
        <v>42846</v>
      </c>
      <c r="B2141" s="3" t="s">
        <v>77</v>
      </c>
      <c r="C2141" s="15" t="s">
        <v>47</v>
      </c>
      <c r="D2141" s="15">
        <v>400</v>
      </c>
      <c r="E2141" s="11">
        <v>2000</v>
      </c>
      <c r="F2141" s="3" t="s">
        <v>8</v>
      </c>
      <c r="G2141" s="46">
        <v>11.7</v>
      </c>
      <c r="H2141" s="3">
        <v>12.2</v>
      </c>
      <c r="I2141" s="46">
        <v>12.9</v>
      </c>
      <c r="J2141" s="55">
        <v>0</v>
      </c>
      <c r="K2141" s="1">
        <f t="shared" si="2189"/>
        <v>1000</v>
      </c>
      <c r="L2141" s="51">
        <f t="shared" ref="L2141" si="2193">(IF(F2141="SELL",IF(I2141="",0,H2141-I2141),IF(F2141="BUY",IF(I2141="",0,I2141-H2141))))*E2141</f>
        <v>1400.000000000002</v>
      </c>
      <c r="M2141" s="52">
        <v>0</v>
      </c>
      <c r="N2141" s="2">
        <f t="shared" ref="N2141:N2204" si="2194">(L2141+K2141+M2141)/E2141</f>
        <v>1.2000000000000008</v>
      </c>
      <c r="O2141" s="2">
        <f t="shared" si="2136"/>
        <v>2400.0000000000018</v>
      </c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</row>
    <row r="2142" spans="1:33" s="14" customFormat="1" ht="15" customHeight="1">
      <c r="A2142" s="10">
        <v>42846</v>
      </c>
      <c r="B2142" s="3" t="s">
        <v>96</v>
      </c>
      <c r="C2142" s="15" t="s">
        <v>47</v>
      </c>
      <c r="D2142" s="15">
        <v>340</v>
      </c>
      <c r="E2142" s="11">
        <v>2500</v>
      </c>
      <c r="F2142" s="3" t="s">
        <v>8</v>
      </c>
      <c r="G2142" s="46">
        <v>4.5999999999999996</v>
      </c>
      <c r="H2142" s="3">
        <v>5</v>
      </c>
      <c r="I2142" s="46">
        <v>0</v>
      </c>
      <c r="J2142" s="55">
        <v>0</v>
      </c>
      <c r="K2142" s="1">
        <f t="shared" si="2189"/>
        <v>1000.0000000000009</v>
      </c>
      <c r="L2142" s="51">
        <v>0</v>
      </c>
      <c r="M2142" s="52">
        <v>0</v>
      </c>
      <c r="N2142" s="2">
        <f t="shared" si="2194"/>
        <v>0.40000000000000036</v>
      </c>
      <c r="O2142" s="2">
        <f t="shared" si="2136"/>
        <v>1000.0000000000009</v>
      </c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</row>
    <row r="2143" spans="1:33" s="14" customFormat="1" ht="15" customHeight="1">
      <c r="A2143" s="10">
        <v>42846</v>
      </c>
      <c r="B2143" s="3" t="s">
        <v>77</v>
      </c>
      <c r="C2143" s="15" t="s">
        <v>47</v>
      </c>
      <c r="D2143" s="15">
        <v>400</v>
      </c>
      <c r="E2143" s="11">
        <v>2000</v>
      </c>
      <c r="F2143" s="3" t="s">
        <v>8</v>
      </c>
      <c r="G2143" s="46">
        <v>14</v>
      </c>
      <c r="H2143" s="3">
        <v>14.5</v>
      </c>
      <c r="I2143" s="46">
        <v>0</v>
      </c>
      <c r="J2143" s="55">
        <v>0</v>
      </c>
      <c r="K2143" s="1">
        <f t="shared" si="2189"/>
        <v>1000</v>
      </c>
      <c r="L2143" s="51">
        <v>0</v>
      </c>
      <c r="M2143" s="52">
        <v>0</v>
      </c>
      <c r="N2143" s="2">
        <f t="shared" si="2194"/>
        <v>0.5</v>
      </c>
      <c r="O2143" s="2">
        <f t="shared" si="2136"/>
        <v>1000</v>
      </c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</row>
    <row r="2144" spans="1:33" s="14" customFormat="1" ht="15" customHeight="1">
      <c r="A2144" s="10">
        <v>42845</v>
      </c>
      <c r="B2144" s="3" t="s">
        <v>57</v>
      </c>
      <c r="C2144" s="15" t="s">
        <v>47</v>
      </c>
      <c r="D2144" s="15">
        <v>150</v>
      </c>
      <c r="E2144" s="11">
        <v>6000</v>
      </c>
      <c r="F2144" s="3" t="s">
        <v>8</v>
      </c>
      <c r="G2144" s="46">
        <v>3.6</v>
      </c>
      <c r="H2144" s="3">
        <v>3.6</v>
      </c>
      <c r="I2144" s="46">
        <v>0</v>
      </c>
      <c r="J2144" s="55">
        <v>0</v>
      </c>
      <c r="K2144" s="1">
        <v>0</v>
      </c>
      <c r="L2144" s="51">
        <v>0</v>
      </c>
      <c r="M2144" s="52">
        <v>0</v>
      </c>
      <c r="N2144" s="2">
        <f t="shared" si="2194"/>
        <v>0</v>
      </c>
      <c r="O2144" s="2">
        <f t="shared" si="2136"/>
        <v>0</v>
      </c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</row>
    <row r="2145" spans="1:33" s="14" customFormat="1" ht="15" customHeight="1">
      <c r="A2145" s="10">
        <v>42845</v>
      </c>
      <c r="B2145" s="3" t="s">
        <v>83</v>
      </c>
      <c r="C2145" s="15" t="s">
        <v>47</v>
      </c>
      <c r="D2145" s="15">
        <v>21500</v>
      </c>
      <c r="E2145" s="11">
        <v>40</v>
      </c>
      <c r="F2145" s="3" t="s">
        <v>8</v>
      </c>
      <c r="G2145" s="46">
        <v>190</v>
      </c>
      <c r="H2145" s="3">
        <v>195</v>
      </c>
      <c r="I2145" s="46">
        <v>220</v>
      </c>
      <c r="J2145" s="55">
        <v>0</v>
      </c>
      <c r="K2145" s="1">
        <f t="shared" si="2189"/>
        <v>200</v>
      </c>
      <c r="L2145" s="51">
        <f t="shared" ref="L2145:L2147" si="2195">(IF(F2145="SELL",IF(I2145="",0,H2145-I2145),IF(F2145="BUY",IF(I2145="",0,I2145-H2145))))*E2145</f>
        <v>1000</v>
      </c>
      <c r="M2145" s="52">
        <v>0</v>
      </c>
      <c r="N2145" s="2">
        <f t="shared" si="2194"/>
        <v>30</v>
      </c>
      <c r="O2145" s="2">
        <f t="shared" si="2136"/>
        <v>1200</v>
      </c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</row>
    <row r="2146" spans="1:33" s="14" customFormat="1" ht="15" customHeight="1">
      <c r="A2146" s="10">
        <v>42845</v>
      </c>
      <c r="B2146" s="3" t="s">
        <v>55</v>
      </c>
      <c r="C2146" s="15" t="s">
        <v>47</v>
      </c>
      <c r="D2146" s="15">
        <v>170</v>
      </c>
      <c r="E2146" s="11">
        <v>3500</v>
      </c>
      <c r="F2146" s="3" t="s">
        <v>8</v>
      </c>
      <c r="G2146" s="46">
        <v>7.1</v>
      </c>
      <c r="H2146" s="3">
        <v>7.1</v>
      </c>
      <c r="I2146" s="46">
        <v>0</v>
      </c>
      <c r="J2146" s="55">
        <v>0</v>
      </c>
      <c r="K2146" s="1">
        <v>0</v>
      </c>
      <c r="L2146" s="51">
        <v>0</v>
      </c>
      <c r="M2146" s="52">
        <v>0</v>
      </c>
      <c r="N2146" s="2">
        <f t="shared" si="2194"/>
        <v>0</v>
      </c>
      <c r="O2146" s="2">
        <f t="shared" si="2136"/>
        <v>0</v>
      </c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</row>
    <row r="2147" spans="1:33" s="14" customFormat="1" ht="15" customHeight="1">
      <c r="A2147" s="10">
        <v>42845</v>
      </c>
      <c r="B2147" s="3" t="s">
        <v>79</v>
      </c>
      <c r="C2147" s="15" t="s">
        <v>47</v>
      </c>
      <c r="D2147" s="15">
        <v>180</v>
      </c>
      <c r="E2147" s="11">
        <v>3500</v>
      </c>
      <c r="F2147" s="3" t="s">
        <v>8</v>
      </c>
      <c r="G2147" s="46">
        <v>8.4</v>
      </c>
      <c r="H2147" s="3">
        <v>8.6999999999999993</v>
      </c>
      <c r="I2147" s="46">
        <v>9.1</v>
      </c>
      <c r="J2147" s="55">
        <v>10</v>
      </c>
      <c r="K2147" s="1">
        <f t="shared" si="2189"/>
        <v>1049.9999999999964</v>
      </c>
      <c r="L2147" s="51">
        <f t="shared" si="2195"/>
        <v>1400.0000000000011</v>
      </c>
      <c r="M2147" s="52">
        <f>(IF(F2147="SELL",IF(J2147="",0,I2147-J2147),IF(F2147="BUY",IF(J2147="",0,(J2147-I2147)))))*E2147</f>
        <v>3150.0000000000014</v>
      </c>
      <c r="N2147" s="2">
        <f t="shared" si="2194"/>
        <v>1.5999999999999994</v>
      </c>
      <c r="O2147" s="2">
        <f t="shared" si="2136"/>
        <v>5599.9999999999982</v>
      </c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</row>
    <row r="2148" spans="1:33" s="14" customFormat="1" ht="15" customHeight="1">
      <c r="A2148" s="10">
        <v>42845</v>
      </c>
      <c r="B2148" s="3" t="s">
        <v>62</v>
      </c>
      <c r="C2148" s="15" t="s">
        <v>47</v>
      </c>
      <c r="D2148" s="15">
        <v>160</v>
      </c>
      <c r="E2148" s="11">
        <v>6000</v>
      </c>
      <c r="F2148" s="3" t="s">
        <v>8</v>
      </c>
      <c r="G2148" s="46">
        <v>2.8</v>
      </c>
      <c r="H2148" s="3">
        <v>3</v>
      </c>
      <c r="I2148" s="46">
        <v>3.3</v>
      </c>
      <c r="J2148" s="55">
        <v>0</v>
      </c>
      <c r="K2148" s="1">
        <f t="shared" ref="K2148" si="2196">(IF(F2148="SELL",G2148-H2148,IF(F2148="BUY",H2148-G2148)))*E2148</f>
        <v>1200.0000000000011</v>
      </c>
      <c r="L2148" s="51">
        <f t="shared" ref="L2148:L2149" si="2197">(IF(F2148="SELL",IF(I2148="",0,H2148-I2148),IF(F2148="BUY",IF(I2148="",0,I2148-H2148))))*E2148</f>
        <v>1799.9999999999989</v>
      </c>
      <c r="M2148" s="52">
        <v>0</v>
      </c>
      <c r="N2148" s="2">
        <f t="shared" si="2194"/>
        <v>0.5</v>
      </c>
      <c r="O2148" s="2">
        <f t="shared" si="2136"/>
        <v>3000</v>
      </c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</row>
    <row r="2149" spans="1:33" s="14" customFormat="1" ht="15" customHeight="1">
      <c r="A2149" s="10">
        <v>42844</v>
      </c>
      <c r="B2149" s="3" t="s">
        <v>55</v>
      </c>
      <c r="C2149" s="15" t="s">
        <v>47</v>
      </c>
      <c r="D2149" s="15">
        <v>170</v>
      </c>
      <c r="E2149" s="11">
        <v>3500</v>
      </c>
      <c r="F2149" s="3" t="s">
        <v>8</v>
      </c>
      <c r="G2149" s="46">
        <v>6.7</v>
      </c>
      <c r="H2149" s="3">
        <v>7</v>
      </c>
      <c r="I2149" s="46">
        <v>8.5</v>
      </c>
      <c r="J2149" s="55">
        <v>0</v>
      </c>
      <c r="K2149" s="1">
        <f t="shared" ref="K2149:K2157" si="2198">(IF(F2149="SELL",G2149-H2149,IF(F2149="BUY",H2149-G2149)))*E2149</f>
        <v>1049.9999999999993</v>
      </c>
      <c r="L2149" s="51">
        <f t="shared" si="2197"/>
        <v>5250</v>
      </c>
      <c r="M2149" s="51">
        <v>0</v>
      </c>
      <c r="N2149" s="2">
        <f t="shared" si="2194"/>
        <v>1.7999999999999998</v>
      </c>
      <c r="O2149" s="2">
        <f t="shared" si="2136"/>
        <v>6299.9999999999991</v>
      </c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</row>
    <row r="2150" spans="1:33" s="14" customFormat="1" ht="15" customHeight="1">
      <c r="A2150" s="10">
        <v>42844</v>
      </c>
      <c r="B2150" s="3" t="s">
        <v>76</v>
      </c>
      <c r="C2150" s="15" t="s">
        <v>46</v>
      </c>
      <c r="D2150" s="15">
        <v>9200</v>
      </c>
      <c r="E2150" s="11">
        <v>75</v>
      </c>
      <c r="F2150" s="3" t="s">
        <v>8</v>
      </c>
      <c r="G2150" s="46">
        <v>120</v>
      </c>
      <c r="H2150" s="3">
        <v>120</v>
      </c>
      <c r="I2150" s="46">
        <v>0</v>
      </c>
      <c r="J2150" s="55">
        <v>0</v>
      </c>
      <c r="K2150" s="1">
        <f t="shared" si="2198"/>
        <v>0</v>
      </c>
      <c r="L2150" s="51">
        <v>0</v>
      </c>
      <c r="M2150" s="51">
        <v>0</v>
      </c>
      <c r="N2150" s="2">
        <f t="shared" si="2194"/>
        <v>0</v>
      </c>
      <c r="O2150" s="2">
        <f t="shared" si="2136"/>
        <v>0</v>
      </c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</row>
    <row r="2151" spans="1:33" s="14" customFormat="1" ht="15" customHeight="1">
      <c r="A2151" s="10">
        <v>42844</v>
      </c>
      <c r="B2151" s="3" t="s">
        <v>95</v>
      </c>
      <c r="C2151" s="15" t="s">
        <v>47</v>
      </c>
      <c r="D2151" s="15">
        <v>180</v>
      </c>
      <c r="E2151" s="11">
        <v>4500</v>
      </c>
      <c r="F2151" s="3" t="s">
        <v>8</v>
      </c>
      <c r="G2151" s="46">
        <v>5.5</v>
      </c>
      <c r="H2151" s="3">
        <v>5.8</v>
      </c>
      <c r="I2151" s="46">
        <v>6.2</v>
      </c>
      <c r="J2151" s="55">
        <v>0</v>
      </c>
      <c r="K2151" s="1">
        <f t="shared" si="2198"/>
        <v>1349.9999999999991</v>
      </c>
      <c r="L2151" s="51">
        <v>0</v>
      </c>
      <c r="M2151" s="51">
        <v>0</v>
      </c>
      <c r="N2151" s="2">
        <f t="shared" si="2194"/>
        <v>0.29999999999999982</v>
      </c>
      <c r="O2151" s="2">
        <f t="shared" si="2136"/>
        <v>1349.9999999999991</v>
      </c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</row>
    <row r="2152" spans="1:33" s="14" customFormat="1" ht="15" customHeight="1">
      <c r="A2152" s="10">
        <v>42843</v>
      </c>
      <c r="B2152" s="3" t="s">
        <v>57</v>
      </c>
      <c r="C2152" s="15" t="s">
        <v>47</v>
      </c>
      <c r="D2152" s="15">
        <v>145</v>
      </c>
      <c r="E2152" s="11">
        <v>6000</v>
      </c>
      <c r="F2152" s="3" t="s">
        <v>8</v>
      </c>
      <c r="G2152" s="46">
        <v>4.9000000000000004</v>
      </c>
      <c r="H2152" s="3">
        <v>5.0999999999999996</v>
      </c>
      <c r="I2152" s="47">
        <v>0</v>
      </c>
      <c r="J2152" s="55">
        <v>0</v>
      </c>
      <c r="K2152" s="1">
        <f t="shared" si="2198"/>
        <v>1199.9999999999957</v>
      </c>
      <c r="L2152" s="51">
        <v>0</v>
      </c>
      <c r="M2152" s="51">
        <v>0</v>
      </c>
      <c r="N2152" s="2">
        <f t="shared" si="2194"/>
        <v>0.19999999999999929</v>
      </c>
      <c r="O2152" s="2">
        <f t="shared" si="2136"/>
        <v>1199.9999999999957</v>
      </c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</row>
    <row r="2153" spans="1:33" s="14" customFormat="1" ht="15" customHeight="1">
      <c r="A2153" s="10">
        <v>42842</v>
      </c>
      <c r="B2153" s="3" t="s">
        <v>83</v>
      </c>
      <c r="C2153" s="15" t="s">
        <v>47</v>
      </c>
      <c r="D2153" s="15">
        <v>21600</v>
      </c>
      <c r="E2153" s="11">
        <v>40</v>
      </c>
      <c r="F2153" s="3" t="s">
        <v>8</v>
      </c>
      <c r="G2153" s="46">
        <v>245</v>
      </c>
      <c r="H2153" s="3">
        <v>260</v>
      </c>
      <c r="I2153" s="46">
        <v>0</v>
      </c>
      <c r="J2153" s="55">
        <v>0</v>
      </c>
      <c r="K2153" s="1">
        <f t="shared" si="2198"/>
        <v>600</v>
      </c>
      <c r="L2153" s="51">
        <v>0</v>
      </c>
      <c r="M2153" s="51">
        <v>0</v>
      </c>
      <c r="N2153" s="2">
        <f t="shared" si="2194"/>
        <v>15</v>
      </c>
      <c r="O2153" s="2">
        <f t="shared" si="2136"/>
        <v>600</v>
      </c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</row>
    <row r="2154" spans="1:33" s="14" customFormat="1" ht="15" customHeight="1">
      <c r="A2154" s="10">
        <v>42842</v>
      </c>
      <c r="B2154" s="3" t="s">
        <v>76</v>
      </c>
      <c r="C2154" s="15" t="s">
        <v>47</v>
      </c>
      <c r="D2154" s="15">
        <v>9100</v>
      </c>
      <c r="E2154" s="11">
        <v>75</v>
      </c>
      <c r="F2154" s="3" t="s">
        <v>8</v>
      </c>
      <c r="G2154" s="46">
        <v>100</v>
      </c>
      <c r="H2154" s="3">
        <v>108</v>
      </c>
      <c r="I2154" s="46">
        <v>0</v>
      </c>
      <c r="J2154" s="55">
        <v>0</v>
      </c>
      <c r="K2154" s="1">
        <f t="shared" si="2198"/>
        <v>600</v>
      </c>
      <c r="L2154" s="51">
        <v>0</v>
      </c>
      <c r="M2154" s="51">
        <v>0</v>
      </c>
      <c r="N2154" s="2">
        <f t="shared" si="2194"/>
        <v>8</v>
      </c>
      <c r="O2154" s="2">
        <f t="shared" si="2136"/>
        <v>600</v>
      </c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</row>
    <row r="2155" spans="1:33" s="14" customFormat="1" ht="15" customHeight="1">
      <c r="A2155" s="10">
        <v>42842</v>
      </c>
      <c r="B2155" s="3" t="s">
        <v>94</v>
      </c>
      <c r="C2155" s="15" t="s">
        <v>47</v>
      </c>
      <c r="D2155" s="15">
        <v>2300</v>
      </c>
      <c r="E2155" s="11">
        <v>300</v>
      </c>
      <c r="F2155" s="3" t="s">
        <v>8</v>
      </c>
      <c r="G2155" s="46">
        <v>70</v>
      </c>
      <c r="H2155" s="3">
        <v>73.5</v>
      </c>
      <c r="I2155" s="46">
        <v>78</v>
      </c>
      <c r="J2155" s="55">
        <v>0</v>
      </c>
      <c r="K2155" s="1">
        <f t="shared" si="2198"/>
        <v>1050</v>
      </c>
      <c r="L2155" s="51">
        <f t="shared" ref="L2155" si="2199">(IF(F2155="SELL",IF(I2155="",0,H2155-I2155),IF(F2155="BUY",IF(I2155="",0,I2155-H2155))))*E2155</f>
        <v>1350</v>
      </c>
      <c r="M2155" s="51">
        <v>0</v>
      </c>
      <c r="N2155" s="2">
        <f t="shared" si="2194"/>
        <v>8</v>
      </c>
      <c r="O2155" s="2">
        <f t="shared" si="2136"/>
        <v>2400</v>
      </c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</row>
    <row r="2156" spans="1:33" s="14" customFormat="1" ht="15" customHeight="1">
      <c r="A2156" s="10">
        <v>42842</v>
      </c>
      <c r="B2156" s="3" t="s">
        <v>22</v>
      </c>
      <c r="C2156" s="15" t="s">
        <v>47</v>
      </c>
      <c r="D2156" s="15">
        <v>155</v>
      </c>
      <c r="E2156" s="11">
        <v>5000</v>
      </c>
      <c r="F2156" s="3" t="s">
        <v>8</v>
      </c>
      <c r="G2156" s="46">
        <v>7</v>
      </c>
      <c r="H2156" s="3">
        <v>7.2</v>
      </c>
      <c r="I2156" s="46">
        <v>7.5</v>
      </c>
      <c r="J2156" s="55">
        <v>8.5</v>
      </c>
      <c r="K2156" s="1">
        <f t="shared" si="2198"/>
        <v>1000.0000000000009</v>
      </c>
      <c r="L2156" s="51">
        <f>(IF(F2156="SELL",IF(I2156="",0,H2156-I2156),IF(F2156="BUY",IF(I2156="",0,I2156-H2156))))*E2156</f>
        <v>1499.9999999999991</v>
      </c>
      <c r="M2156" s="52">
        <f>(IF(F2156="SELL",IF(J2156="",0,I2156-J2156),IF(F2156="BUY",IF(J2156="",0,(J2156-I2156)))))*E2156</f>
        <v>5000</v>
      </c>
      <c r="N2156" s="2">
        <f t="shared" si="2194"/>
        <v>1.5</v>
      </c>
      <c r="O2156" s="2">
        <f t="shared" si="2136"/>
        <v>7500</v>
      </c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</row>
    <row r="2157" spans="1:33" s="14" customFormat="1" ht="15" customHeight="1">
      <c r="A2157" s="10">
        <v>42842</v>
      </c>
      <c r="B2157" s="3" t="s">
        <v>55</v>
      </c>
      <c r="C2157" s="15" t="s">
        <v>47</v>
      </c>
      <c r="D2157" s="15">
        <v>170</v>
      </c>
      <c r="E2157" s="11">
        <v>3500</v>
      </c>
      <c r="F2157" s="3" t="s">
        <v>8</v>
      </c>
      <c r="G2157" s="46">
        <v>9.3000000000000007</v>
      </c>
      <c r="H2157" s="3">
        <v>9.3000000000000007</v>
      </c>
      <c r="I2157" s="46">
        <v>0</v>
      </c>
      <c r="J2157" s="55">
        <v>0</v>
      </c>
      <c r="K2157" s="1">
        <f t="shared" si="2198"/>
        <v>0</v>
      </c>
      <c r="L2157" s="51">
        <v>0</v>
      </c>
      <c r="M2157" s="51">
        <v>0</v>
      </c>
      <c r="N2157" s="2">
        <f t="shared" si="2194"/>
        <v>0</v>
      </c>
      <c r="O2157" s="2">
        <f t="shared" si="2136"/>
        <v>0</v>
      </c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</row>
    <row r="2158" spans="1:33" s="14" customFormat="1" ht="15" customHeight="1">
      <c r="A2158" s="10">
        <v>42842</v>
      </c>
      <c r="B2158" s="3" t="s">
        <v>63</v>
      </c>
      <c r="C2158" s="15" t="s">
        <v>47</v>
      </c>
      <c r="D2158" s="15">
        <v>540</v>
      </c>
      <c r="E2158" s="11">
        <v>2100</v>
      </c>
      <c r="F2158" s="3" t="s">
        <v>8</v>
      </c>
      <c r="G2158" s="46">
        <v>18.5</v>
      </c>
      <c r="H2158" s="3">
        <v>19</v>
      </c>
      <c r="I2158" s="46">
        <v>19.7</v>
      </c>
      <c r="J2158" s="55">
        <v>23</v>
      </c>
      <c r="K2158" s="1">
        <f t="shared" ref="K2158:K2162" si="2200">(IF(F2158="SELL",G2158-H2158,IF(F2158="BUY",H2158-G2158)))*E2158</f>
        <v>1050</v>
      </c>
      <c r="L2158" s="51">
        <f t="shared" ref="L2158:L2162" si="2201">(IF(F2158="SELL",IF(I2158="",0,H2158-I2158),IF(F2158="BUY",IF(I2158="",0,I2158-H2158))))*E2158</f>
        <v>1469.9999999999984</v>
      </c>
      <c r="M2158" s="52">
        <f>(IF(F2158="SELL",IF(J2158="",0,I2158-J2158),IF(F2158="BUY",IF(J2158="",0,(J2158-I2158)))))*E2158</f>
        <v>6930.0000000000018</v>
      </c>
      <c r="N2158" s="2">
        <f t="shared" si="2194"/>
        <v>4.5</v>
      </c>
      <c r="O2158" s="2">
        <f t="shared" si="2136"/>
        <v>9450</v>
      </c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</row>
    <row r="2159" spans="1:33" s="14" customFormat="1" ht="15" customHeight="1">
      <c r="A2159" s="10">
        <v>42838</v>
      </c>
      <c r="B2159" s="3" t="s">
        <v>22</v>
      </c>
      <c r="C2159" s="15" t="s">
        <v>47</v>
      </c>
      <c r="D2159" s="15">
        <v>155</v>
      </c>
      <c r="E2159" s="11">
        <v>5000</v>
      </c>
      <c r="F2159" s="3" t="s">
        <v>8</v>
      </c>
      <c r="G2159" s="46">
        <v>8.6</v>
      </c>
      <c r="H2159" s="3">
        <v>8.8000000000000007</v>
      </c>
      <c r="I2159" s="46">
        <v>9.1</v>
      </c>
      <c r="J2159" s="55">
        <v>0</v>
      </c>
      <c r="K2159" s="1">
        <f t="shared" si="2200"/>
        <v>1000.0000000000053</v>
      </c>
      <c r="L2159" s="51">
        <f t="shared" si="2201"/>
        <v>1499.9999999999948</v>
      </c>
      <c r="M2159" s="51">
        <v>0</v>
      </c>
      <c r="N2159" s="2">
        <f t="shared" si="2194"/>
        <v>0.5</v>
      </c>
      <c r="O2159" s="2">
        <f t="shared" si="2136"/>
        <v>2500</v>
      </c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</row>
    <row r="2160" spans="1:33" s="14" customFormat="1" ht="15" customHeight="1">
      <c r="A2160" s="10">
        <v>42838</v>
      </c>
      <c r="B2160" s="3" t="s">
        <v>83</v>
      </c>
      <c r="C2160" s="15" t="s">
        <v>47</v>
      </c>
      <c r="D2160" s="15">
        <v>21600</v>
      </c>
      <c r="E2160" s="11">
        <v>40</v>
      </c>
      <c r="F2160" s="3" t="s">
        <v>8</v>
      </c>
      <c r="G2160" s="46">
        <v>315</v>
      </c>
      <c r="H2160" s="3">
        <v>330</v>
      </c>
      <c r="I2160" s="46">
        <v>0</v>
      </c>
      <c r="J2160" s="55">
        <v>0</v>
      </c>
      <c r="K2160" s="1">
        <f t="shared" si="2200"/>
        <v>600</v>
      </c>
      <c r="L2160" s="51">
        <v>0</v>
      </c>
      <c r="M2160" s="51">
        <v>0</v>
      </c>
      <c r="N2160" s="2">
        <f t="shared" si="2194"/>
        <v>15</v>
      </c>
      <c r="O2160" s="2">
        <f t="shared" si="2136"/>
        <v>600</v>
      </c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</row>
    <row r="2161" spans="1:33" s="14" customFormat="1" ht="15" customHeight="1">
      <c r="A2161" s="10">
        <v>42838</v>
      </c>
      <c r="B2161" s="3" t="s">
        <v>90</v>
      </c>
      <c r="C2161" s="15" t="s">
        <v>47</v>
      </c>
      <c r="D2161" s="15">
        <v>250</v>
      </c>
      <c r="E2161" s="11">
        <v>6000</v>
      </c>
      <c r="F2161" s="3" t="s">
        <v>8</v>
      </c>
      <c r="G2161" s="46">
        <v>8.5</v>
      </c>
      <c r="H2161" s="3">
        <v>0</v>
      </c>
      <c r="I2161" s="46">
        <v>0</v>
      </c>
      <c r="J2161" s="55">
        <v>0</v>
      </c>
      <c r="K2161" s="1">
        <v>0</v>
      </c>
      <c r="L2161" s="51">
        <f t="shared" si="2201"/>
        <v>0</v>
      </c>
      <c r="M2161" s="51">
        <v>0</v>
      </c>
      <c r="N2161" s="2">
        <f t="shared" si="2194"/>
        <v>0</v>
      </c>
      <c r="O2161" s="2">
        <f t="shared" ref="O2161:O2224" si="2202">N2161*E2161</f>
        <v>0</v>
      </c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</row>
    <row r="2162" spans="1:33" s="14" customFormat="1" ht="15" customHeight="1">
      <c r="A2162" s="10">
        <v>42838</v>
      </c>
      <c r="B2162" s="3" t="s">
        <v>93</v>
      </c>
      <c r="C2162" s="15" t="s">
        <v>47</v>
      </c>
      <c r="D2162" s="15">
        <v>155</v>
      </c>
      <c r="E2162" s="11">
        <v>7000</v>
      </c>
      <c r="F2162" s="3" t="s">
        <v>8</v>
      </c>
      <c r="G2162" s="46">
        <v>4.4000000000000004</v>
      </c>
      <c r="H2162" s="3">
        <v>4.5999999999999996</v>
      </c>
      <c r="I2162" s="46">
        <v>4.9000000000000004</v>
      </c>
      <c r="J2162" s="55">
        <v>0</v>
      </c>
      <c r="K2162" s="1">
        <f t="shared" si="2200"/>
        <v>1399.999999999995</v>
      </c>
      <c r="L2162" s="51">
        <f t="shared" si="2201"/>
        <v>2100.000000000005</v>
      </c>
      <c r="M2162" s="51">
        <v>0</v>
      </c>
      <c r="N2162" s="2">
        <f t="shared" si="2194"/>
        <v>0.5</v>
      </c>
      <c r="O2162" s="2">
        <f t="shared" si="2202"/>
        <v>3500</v>
      </c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</row>
    <row r="2163" spans="1:33" s="14" customFormat="1" ht="15" customHeight="1">
      <c r="A2163" s="10">
        <v>42838</v>
      </c>
      <c r="B2163" s="3" t="s">
        <v>92</v>
      </c>
      <c r="C2163" s="15" t="s">
        <v>47</v>
      </c>
      <c r="D2163" s="15">
        <v>1950</v>
      </c>
      <c r="E2163" s="11">
        <v>250</v>
      </c>
      <c r="F2163" s="3" t="s">
        <v>8</v>
      </c>
      <c r="G2163" s="46">
        <v>38</v>
      </c>
      <c r="H2163" s="3">
        <v>38</v>
      </c>
      <c r="I2163" s="46">
        <v>0</v>
      </c>
      <c r="J2163" s="55">
        <v>0</v>
      </c>
      <c r="K2163" s="1">
        <f t="shared" ref="K2163:K2175" si="2203">(IF(F2163="SELL",G2163-H2163,IF(F2163="BUY",H2163-G2163)))*E2163</f>
        <v>0</v>
      </c>
      <c r="L2163" s="51">
        <v>0</v>
      </c>
      <c r="M2163" s="51">
        <v>0</v>
      </c>
      <c r="N2163" s="2">
        <f t="shared" si="2194"/>
        <v>0</v>
      </c>
      <c r="O2163" s="2">
        <f t="shared" si="2202"/>
        <v>0</v>
      </c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</row>
    <row r="2164" spans="1:33" s="14" customFormat="1" ht="15" customHeight="1">
      <c r="A2164" s="10">
        <v>42837</v>
      </c>
      <c r="B2164" s="3" t="s">
        <v>76</v>
      </c>
      <c r="C2164" s="15" t="s">
        <v>47</v>
      </c>
      <c r="D2164" s="15">
        <v>9100</v>
      </c>
      <c r="E2164" s="11">
        <v>75</v>
      </c>
      <c r="F2164" s="3" t="s">
        <v>8</v>
      </c>
      <c r="G2164" s="46">
        <v>142</v>
      </c>
      <c r="H2164" s="3">
        <v>150</v>
      </c>
      <c r="I2164" s="46">
        <v>160</v>
      </c>
      <c r="J2164" s="55">
        <v>0</v>
      </c>
      <c r="K2164" s="1">
        <f t="shared" si="2203"/>
        <v>600</v>
      </c>
      <c r="L2164" s="51">
        <f t="shared" ref="L2164:L2174" si="2204">(IF(F2164="SELL",IF(I2164="",0,H2164-I2164),IF(F2164="BUY",IF(I2164="",0,I2164-H2164))))*E2164</f>
        <v>750</v>
      </c>
      <c r="M2164" s="51">
        <v>0</v>
      </c>
      <c r="N2164" s="2">
        <f t="shared" si="2194"/>
        <v>18</v>
      </c>
      <c r="O2164" s="2">
        <f t="shared" si="2202"/>
        <v>1350</v>
      </c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</row>
    <row r="2165" spans="1:33" s="14" customFormat="1" ht="15" customHeight="1">
      <c r="A2165" s="10">
        <v>42837</v>
      </c>
      <c r="B2165" s="3" t="s">
        <v>83</v>
      </c>
      <c r="C2165" s="15" t="s">
        <v>47</v>
      </c>
      <c r="D2165" s="15">
        <v>21500</v>
      </c>
      <c r="E2165" s="11">
        <v>40</v>
      </c>
      <c r="F2165" s="3" t="s">
        <v>8</v>
      </c>
      <c r="G2165" s="46">
        <v>305</v>
      </c>
      <c r="H2165" s="3">
        <v>320</v>
      </c>
      <c r="I2165" s="46">
        <v>420</v>
      </c>
      <c r="J2165" s="55">
        <v>0</v>
      </c>
      <c r="K2165" s="1">
        <f t="shared" si="2203"/>
        <v>600</v>
      </c>
      <c r="L2165" s="51">
        <f t="shared" si="2204"/>
        <v>4000</v>
      </c>
      <c r="M2165" s="51">
        <v>0</v>
      </c>
      <c r="N2165" s="2">
        <f t="shared" si="2194"/>
        <v>115</v>
      </c>
      <c r="O2165" s="2">
        <f t="shared" si="2202"/>
        <v>4600</v>
      </c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</row>
    <row r="2166" spans="1:33" s="14" customFormat="1" ht="15" customHeight="1">
      <c r="A2166" s="10">
        <v>42837</v>
      </c>
      <c r="B2166" s="3" t="s">
        <v>57</v>
      </c>
      <c r="C2166" s="15" t="s">
        <v>47</v>
      </c>
      <c r="D2166" s="15">
        <v>140</v>
      </c>
      <c r="E2166" s="11">
        <v>6000</v>
      </c>
      <c r="F2166" s="3" t="s">
        <v>8</v>
      </c>
      <c r="G2166" s="46">
        <v>6.4</v>
      </c>
      <c r="H2166" s="3">
        <v>6.6</v>
      </c>
      <c r="I2166" s="46">
        <v>6.9</v>
      </c>
      <c r="J2166" s="55">
        <v>0</v>
      </c>
      <c r="K2166" s="1">
        <f t="shared" si="2203"/>
        <v>1199.9999999999957</v>
      </c>
      <c r="L2166" s="51">
        <f t="shared" si="2204"/>
        <v>1800.0000000000043</v>
      </c>
      <c r="M2166" s="51">
        <v>0</v>
      </c>
      <c r="N2166" s="2">
        <f t="shared" si="2194"/>
        <v>0.5</v>
      </c>
      <c r="O2166" s="2">
        <f t="shared" si="2202"/>
        <v>3000</v>
      </c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</row>
    <row r="2167" spans="1:33" s="14" customFormat="1" ht="15" customHeight="1">
      <c r="A2167" s="10">
        <v>42837</v>
      </c>
      <c r="B2167" s="3" t="s">
        <v>15</v>
      </c>
      <c r="C2167" s="15" t="s">
        <v>47</v>
      </c>
      <c r="D2167" s="15">
        <v>460</v>
      </c>
      <c r="E2167" s="11">
        <v>2000</v>
      </c>
      <c r="F2167" s="3" t="s">
        <v>8</v>
      </c>
      <c r="G2167" s="46">
        <v>9.6999999999999993</v>
      </c>
      <c r="H2167" s="3">
        <v>10.199999999999999</v>
      </c>
      <c r="I2167" s="46">
        <v>0</v>
      </c>
      <c r="J2167" s="55">
        <v>0</v>
      </c>
      <c r="K2167" s="1">
        <f t="shared" si="2203"/>
        <v>1000</v>
      </c>
      <c r="L2167" s="51">
        <v>0</v>
      </c>
      <c r="M2167" s="51">
        <v>0</v>
      </c>
      <c r="N2167" s="2">
        <f t="shared" si="2194"/>
        <v>0.5</v>
      </c>
      <c r="O2167" s="2">
        <f t="shared" si="2202"/>
        <v>1000</v>
      </c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</row>
    <row r="2168" spans="1:33" s="14" customFormat="1" ht="15" customHeight="1">
      <c r="A2168" s="10">
        <v>42837</v>
      </c>
      <c r="B2168" s="3" t="s">
        <v>76</v>
      </c>
      <c r="C2168" s="15" t="s">
        <v>46</v>
      </c>
      <c r="D2168" s="15">
        <v>9200</v>
      </c>
      <c r="E2168" s="11">
        <v>75</v>
      </c>
      <c r="F2168" s="3" t="s">
        <v>8</v>
      </c>
      <c r="G2168" s="46">
        <v>65</v>
      </c>
      <c r="H2168" s="3">
        <v>75</v>
      </c>
      <c r="I2168" s="46">
        <v>85</v>
      </c>
      <c r="J2168" s="55">
        <v>0</v>
      </c>
      <c r="K2168" s="1">
        <f t="shared" si="2203"/>
        <v>750</v>
      </c>
      <c r="L2168" s="51">
        <f t="shared" si="2204"/>
        <v>750</v>
      </c>
      <c r="M2168" s="51">
        <v>0</v>
      </c>
      <c r="N2168" s="2">
        <f t="shared" si="2194"/>
        <v>20</v>
      </c>
      <c r="O2168" s="2">
        <f t="shared" si="2202"/>
        <v>1500</v>
      </c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</row>
    <row r="2169" spans="1:33" s="14" customFormat="1" ht="15" customHeight="1">
      <c r="A2169" s="10">
        <v>42837</v>
      </c>
      <c r="B2169" s="3" t="s">
        <v>62</v>
      </c>
      <c r="C2169" s="15" t="s">
        <v>47</v>
      </c>
      <c r="D2169" s="15">
        <v>165</v>
      </c>
      <c r="E2169" s="11">
        <v>6000</v>
      </c>
      <c r="F2169" s="3" t="s">
        <v>8</v>
      </c>
      <c r="G2169" s="46">
        <v>6</v>
      </c>
      <c r="H2169" s="3">
        <v>6</v>
      </c>
      <c r="I2169" s="46">
        <v>0</v>
      </c>
      <c r="J2169" s="55">
        <v>0</v>
      </c>
      <c r="K2169" s="1">
        <f t="shared" si="2203"/>
        <v>0</v>
      </c>
      <c r="L2169" s="51">
        <v>0</v>
      </c>
      <c r="M2169" s="51">
        <v>0</v>
      </c>
      <c r="N2169" s="2">
        <f t="shared" si="2194"/>
        <v>0</v>
      </c>
      <c r="O2169" s="2">
        <f t="shared" si="2202"/>
        <v>0</v>
      </c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</row>
    <row r="2170" spans="1:33" s="14" customFormat="1" ht="15" customHeight="1">
      <c r="A2170" s="10">
        <v>42837</v>
      </c>
      <c r="B2170" s="3" t="s">
        <v>85</v>
      </c>
      <c r="C2170" s="15" t="s">
        <v>47</v>
      </c>
      <c r="D2170" s="15">
        <v>600</v>
      </c>
      <c r="E2170" s="11">
        <v>1000</v>
      </c>
      <c r="F2170" s="3" t="s">
        <v>8</v>
      </c>
      <c r="G2170" s="46">
        <v>17</v>
      </c>
      <c r="H2170" s="3">
        <v>18</v>
      </c>
      <c r="I2170" s="46">
        <v>19.2</v>
      </c>
      <c r="J2170" s="55">
        <v>23</v>
      </c>
      <c r="K2170" s="1">
        <f t="shared" si="2203"/>
        <v>1000</v>
      </c>
      <c r="L2170" s="51">
        <f t="shared" si="2204"/>
        <v>1199.9999999999993</v>
      </c>
      <c r="M2170" s="52">
        <f>(IF(F2170="SELL",IF(J2170="",0,I2170-J2170),IF(F2170="BUY",IF(J2170="",0,(J2170-I2170)))))*E2170</f>
        <v>3800.0000000000009</v>
      </c>
      <c r="N2170" s="2">
        <f t="shared" si="2194"/>
        <v>6</v>
      </c>
      <c r="O2170" s="2">
        <f t="shared" si="2202"/>
        <v>6000</v>
      </c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</row>
    <row r="2171" spans="1:33" s="14" customFormat="1" ht="15" customHeight="1">
      <c r="A2171" s="10">
        <v>42837</v>
      </c>
      <c r="B2171" s="3" t="s">
        <v>91</v>
      </c>
      <c r="C2171" s="15" t="s">
        <v>47</v>
      </c>
      <c r="D2171" s="15">
        <v>420</v>
      </c>
      <c r="E2171" s="11">
        <v>1500</v>
      </c>
      <c r="F2171" s="3" t="s">
        <v>8</v>
      </c>
      <c r="G2171" s="46">
        <v>13.6</v>
      </c>
      <c r="H2171" s="3">
        <v>14.3</v>
      </c>
      <c r="I2171" s="46">
        <v>0</v>
      </c>
      <c r="J2171" s="55">
        <v>0</v>
      </c>
      <c r="K2171" s="1">
        <f t="shared" si="2203"/>
        <v>1050.0000000000016</v>
      </c>
      <c r="L2171" s="51">
        <v>0</v>
      </c>
      <c r="M2171" s="51">
        <v>0</v>
      </c>
      <c r="N2171" s="2">
        <f t="shared" si="2194"/>
        <v>0.70000000000000107</v>
      </c>
      <c r="O2171" s="2">
        <f t="shared" si="2202"/>
        <v>1050.0000000000016</v>
      </c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</row>
    <row r="2172" spans="1:33" s="14" customFormat="1" ht="15" customHeight="1">
      <c r="A2172" s="10">
        <v>42836</v>
      </c>
      <c r="B2172" s="3" t="s">
        <v>57</v>
      </c>
      <c r="C2172" s="15" t="s">
        <v>47</v>
      </c>
      <c r="D2172" s="15">
        <v>140</v>
      </c>
      <c r="E2172" s="11">
        <v>6000</v>
      </c>
      <c r="F2172" s="3" t="s">
        <v>8</v>
      </c>
      <c r="G2172" s="46">
        <v>8.1999999999999993</v>
      </c>
      <c r="H2172" s="3">
        <v>8.4</v>
      </c>
      <c r="I2172" s="46">
        <v>8.6999999999999993</v>
      </c>
      <c r="J2172" s="55">
        <v>0</v>
      </c>
      <c r="K2172" s="1">
        <f t="shared" si="2203"/>
        <v>1200.0000000000064</v>
      </c>
      <c r="L2172" s="51">
        <f t="shared" si="2204"/>
        <v>1799.9999999999936</v>
      </c>
      <c r="M2172" s="51">
        <v>0</v>
      </c>
      <c r="N2172" s="2">
        <f t="shared" si="2194"/>
        <v>0.5</v>
      </c>
      <c r="O2172" s="2">
        <f t="shared" si="2202"/>
        <v>3000</v>
      </c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</row>
    <row r="2173" spans="1:33" s="14" customFormat="1" ht="15" customHeight="1">
      <c r="A2173" s="10">
        <v>42836</v>
      </c>
      <c r="B2173" s="3" t="s">
        <v>83</v>
      </c>
      <c r="C2173" s="15" t="s">
        <v>47</v>
      </c>
      <c r="D2173" s="15">
        <v>21500</v>
      </c>
      <c r="E2173" s="11">
        <v>40</v>
      </c>
      <c r="F2173" s="3" t="s">
        <v>8</v>
      </c>
      <c r="G2173" s="46">
        <v>285</v>
      </c>
      <c r="H2173" s="3">
        <v>300</v>
      </c>
      <c r="I2173" s="46">
        <v>330</v>
      </c>
      <c r="J2173" s="55">
        <v>380</v>
      </c>
      <c r="K2173" s="1">
        <f t="shared" si="2203"/>
        <v>600</v>
      </c>
      <c r="L2173" s="51">
        <f t="shared" si="2204"/>
        <v>1200</v>
      </c>
      <c r="M2173" s="52">
        <f>(IF(F2173="SELL",IF(J2173="",0,I2173-J2173),IF(F2173="BUY",IF(J2173="",0,(J2173-I2173)))))*E2173</f>
        <v>2000</v>
      </c>
      <c r="N2173" s="2">
        <f t="shared" si="2194"/>
        <v>95</v>
      </c>
      <c r="O2173" s="2">
        <f t="shared" si="2202"/>
        <v>3800</v>
      </c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</row>
    <row r="2174" spans="1:33" ht="15" customHeight="1">
      <c r="A2174" s="10">
        <v>42836</v>
      </c>
      <c r="B2174" s="3" t="s">
        <v>90</v>
      </c>
      <c r="C2174" s="15" t="s">
        <v>47</v>
      </c>
      <c r="D2174" s="15">
        <v>185</v>
      </c>
      <c r="E2174" s="11">
        <v>6000</v>
      </c>
      <c r="F2174" s="3" t="s">
        <v>8</v>
      </c>
      <c r="G2174" s="46">
        <v>7.7</v>
      </c>
      <c r="H2174" s="3">
        <v>7.9</v>
      </c>
      <c r="I2174" s="46">
        <v>8.1999999999999993</v>
      </c>
      <c r="J2174" s="55">
        <v>9</v>
      </c>
      <c r="K2174" s="1">
        <f t="shared" si="2203"/>
        <v>1200.0000000000011</v>
      </c>
      <c r="L2174" s="51">
        <f t="shared" si="2204"/>
        <v>1799.9999999999936</v>
      </c>
      <c r="M2174" s="52">
        <f>(IF(F2174="SELL",IF(J2174="",0,I2174-J2174),IF(F2174="BUY",IF(J2174="",0,(J2174-I2174)))))*E2174</f>
        <v>4800.0000000000045</v>
      </c>
      <c r="N2174" s="2">
        <f t="shared" si="2194"/>
        <v>1.2999999999999998</v>
      </c>
      <c r="O2174" s="2">
        <f t="shared" si="2202"/>
        <v>7799.9999999999991</v>
      </c>
      <c r="P2174" s="24"/>
      <c r="Q2174" s="24"/>
      <c r="R2174" s="24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  <c r="AF2174" s="24"/>
      <c r="AG2174" s="24"/>
    </row>
    <row r="2175" spans="1:33" ht="15" customHeight="1">
      <c r="A2175" s="10">
        <v>42836</v>
      </c>
      <c r="B2175" s="3" t="s">
        <v>89</v>
      </c>
      <c r="C2175" s="15" t="s">
        <v>47</v>
      </c>
      <c r="D2175" s="15">
        <v>540</v>
      </c>
      <c r="E2175" s="11">
        <v>1100</v>
      </c>
      <c r="F2175" s="3" t="s">
        <v>8</v>
      </c>
      <c r="G2175" s="46">
        <v>29</v>
      </c>
      <c r="H2175" s="3">
        <v>29</v>
      </c>
      <c r="I2175" s="46">
        <v>0</v>
      </c>
      <c r="J2175" s="55">
        <v>0</v>
      </c>
      <c r="K2175" s="1">
        <f t="shared" si="2203"/>
        <v>0</v>
      </c>
      <c r="L2175" s="51">
        <v>0</v>
      </c>
      <c r="M2175" s="52">
        <f>(IF(F2175="SELL",IF(J2175="",0,I2175-J2175),IF(F2175="BUY",IF(J2175="",0,(J2175-I2175)))))*E2175</f>
        <v>0</v>
      </c>
      <c r="N2175" s="2">
        <f t="shared" si="2194"/>
        <v>0</v>
      </c>
      <c r="O2175" s="2">
        <f t="shared" si="2202"/>
        <v>0</v>
      </c>
      <c r="P2175" s="24"/>
      <c r="Q2175" s="24"/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</row>
    <row r="2176" spans="1:33" ht="15" customHeight="1">
      <c r="A2176" s="10">
        <v>42836</v>
      </c>
      <c r="B2176" s="3" t="s">
        <v>76</v>
      </c>
      <c r="C2176" s="15" t="s">
        <v>46</v>
      </c>
      <c r="D2176" s="15">
        <v>9200</v>
      </c>
      <c r="E2176" s="11">
        <v>75</v>
      </c>
      <c r="F2176" s="3" t="s">
        <v>8</v>
      </c>
      <c r="G2176" s="46">
        <v>80</v>
      </c>
      <c r="H2176" s="3">
        <v>65</v>
      </c>
      <c r="I2176" s="46">
        <v>0</v>
      </c>
      <c r="J2176" s="55">
        <v>0</v>
      </c>
      <c r="K2176" s="1">
        <f t="shared" ref="K2176" si="2205">(IF(F2176="SELL",G2176-H2176,IF(F2176="BUY",H2176-G2176)))*E2176</f>
        <v>-1125</v>
      </c>
      <c r="L2176" s="51">
        <v>0</v>
      </c>
      <c r="M2176" s="52">
        <f>(IF(F2176="SELL",IF(J2176="",0,I2176-J2176),IF(F2176="BUY",IF(J2176="",0,(J2176-I2176)))))*E2176</f>
        <v>0</v>
      </c>
      <c r="N2176" s="2">
        <f t="shared" si="2194"/>
        <v>-15</v>
      </c>
      <c r="O2176" s="2">
        <f t="shared" si="2202"/>
        <v>-1125</v>
      </c>
      <c r="P2176" s="24"/>
      <c r="Q2176" s="24"/>
      <c r="R2176" s="24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  <c r="AF2176" s="24"/>
      <c r="AG2176" s="24"/>
    </row>
    <row r="2177" spans="1:33" ht="15" customHeight="1">
      <c r="A2177" s="10">
        <v>42836</v>
      </c>
      <c r="B2177" s="3" t="s">
        <v>89</v>
      </c>
      <c r="C2177" s="15" t="s">
        <v>47</v>
      </c>
      <c r="D2177" s="15">
        <v>540</v>
      </c>
      <c r="E2177" s="11">
        <v>1100</v>
      </c>
      <c r="F2177" s="3" t="s">
        <v>8</v>
      </c>
      <c r="G2177" s="46">
        <v>18</v>
      </c>
      <c r="H2177" s="3">
        <v>19</v>
      </c>
      <c r="I2177" s="46">
        <v>20.2</v>
      </c>
      <c r="J2177" s="55">
        <v>0</v>
      </c>
      <c r="K2177" s="1">
        <f>(IF(F2177="SELL",G2177-H2177,IF(F2177="BUY",H2177-G2177)))*E2177</f>
        <v>1100</v>
      </c>
      <c r="L2177" s="51">
        <f t="shared" ref="L2177:L2179" si="2206">(IF(F2177="SELL",IF(I2177="",0,H2177-I2177),IF(F2177="BUY",IF(I2177="",0,I2177-H2177))))*E2177</f>
        <v>1319.9999999999993</v>
      </c>
      <c r="M2177" s="52">
        <v>0</v>
      </c>
      <c r="N2177" s="2">
        <f t="shared" si="2194"/>
        <v>2.1999999999999993</v>
      </c>
      <c r="O2177" s="2">
        <f t="shared" si="2202"/>
        <v>2419.9999999999991</v>
      </c>
      <c r="P2177" s="24"/>
      <c r="Q2177" s="24"/>
      <c r="R2177" s="24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  <c r="AF2177" s="24"/>
      <c r="AG2177" s="24"/>
    </row>
    <row r="2178" spans="1:33" ht="15" customHeight="1">
      <c r="A2178" s="10">
        <v>42835</v>
      </c>
      <c r="B2178" s="3" t="s">
        <v>15</v>
      </c>
      <c r="C2178" s="15" t="s">
        <v>47</v>
      </c>
      <c r="D2178" s="15">
        <v>460</v>
      </c>
      <c r="E2178" s="11">
        <v>2000</v>
      </c>
      <c r="F2178" s="3" t="s">
        <v>8</v>
      </c>
      <c r="G2178" s="46">
        <v>15</v>
      </c>
      <c r="H2178" s="3">
        <v>13.8</v>
      </c>
      <c r="I2178" s="46">
        <v>0</v>
      </c>
      <c r="J2178" s="55">
        <v>0</v>
      </c>
      <c r="K2178" s="1">
        <f>(IF(F2178="SELL",G2178-H2178,IF(F2178="BUY",H2178-G2178)))*E2178</f>
        <v>-2399.9999999999986</v>
      </c>
      <c r="L2178" s="51">
        <v>0</v>
      </c>
      <c r="M2178" s="52">
        <f>(IF(F2178="SELL",IF(J2178="",0,I2178-J2178),IF(F2178="BUY",IF(J2178="",0,(J2178-I2178)))))*E2178</f>
        <v>0</v>
      </c>
      <c r="N2178" s="2">
        <f t="shared" si="2194"/>
        <v>-1.1999999999999993</v>
      </c>
      <c r="O2178" s="2">
        <f t="shared" si="2202"/>
        <v>-2399.9999999999986</v>
      </c>
      <c r="P2178" s="24"/>
      <c r="Q2178" s="24"/>
      <c r="R2178" s="24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  <c r="AF2178" s="24"/>
      <c r="AG2178" s="24"/>
    </row>
    <row r="2179" spans="1:33" ht="15" customHeight="1">
      <c r="A2179" s="10">
        <v>42835</v>
      </c>
      <c r="B2179" s="3" t="s">
        <v>83</v>
      </c>
      <c r="C2179" s="15" t="s">
        <v>47</v>
      </c>
      <c r="D2179" s="15">
        <v>21400</v>
      </c>
      <c r="E2179" s="11">
        <v>40</v>
      </c>
      <c r="F2179" s="3" t="s">
        <v>8</v>
      </c>
      <c r="G2179" s="46">
        <v>275</v>
      </c>
      <c r="H2179" s="3">
        <v>290</v>
      </c>
      <c r="I2179" s="46">
        <v>320</v>
      </c>
      <c r="J2179" s="55">
        <v>0</v>
      </c>
      <c r="K2179" s="1">
        <f>(IF(F2179="SELL",G2179-H2179,IF(F2179="BUY",H2179-G2179)))*E2179</f>
        <v>600</v>
      </c>
      <c r="L2179" s="51">
        <f t="shared" si="2206"/>
        <v>1200</v>
      </c>
      <c r="M2179" s="52">
        <v>0</v>
      </c>
      <c r="N2179" s="2">
        <f t="shared" si="2194"/>
        <v>45</v>
      </c>
      <c r="O2179" s="2">
        <f t="shared" si="2202"/>
        <v>1800</v>
      </c>
      <c r="P2179" s="24"/>
      <c r="Q2179" s="24"/>
      <c r="R2179" s="24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  <c r="AF2179" s="24"/>
      <c r="AG2179" s="24"/>
    </row>
    <row r="2180" spans="1:33" ht="15" customHeight="1">
      <c r="A2180" s="10">
        <v>42835</v>
      </c>
      <c r="B2180" s="3" t="s">
        <v>72</v>
      </c>
      <c r="C2180" s="15" t="s">
        <v>47</v>
      </c>
      <c r="D2180" s="15">
        <v>700</v>
      </c>
      <c r="E2180" s="11">
        <v>1200</v>
      </c>
      <c r="F2180" s="3" t="s">
        <v>8</v>
      </c>
      <c r="G2180" s="46">
        <v>15</v>
      </c>
      <c r="H2180" s="3">
        <v>16</v>
      </c>
      <c r="I2180" s="46">
        <v>0</v>
      </c>
      <c r="J2180" s="55">
        <v>0</v>
      </c>
      <c r="K2180" s="1">
        <f>(IF(F2180="SELL",G2180-H2180,IF(F2180="BUY",H2180-G2180)))*E2180</f>
        <v>1200</v>
      </c>
      <c r="L2180" s="51">
        <v>0</v>
      </c>
      <c r="M2180" s="52">
        <f t="shared" ref="M2180:M2189" si="2207">(IF(F2180="SELL",IF(J2180="",0,I2180-J2180),IF(F2180="BUY",IF(J2180="",0,(J2180-I2180)))))*E2180</f>
        <v>0</v>
      </c>
      <c r="N2180" s="2">
        <f t="shared" si="2194"/>
        <v>1</v>
      </c>
      <c r="O2180" s="2">
        <f t="shared" si="2202"/>
        <v>1200</v>
      </c>
      <c r="P2180" s="24"/>
      <c r="Q2180" s="24"/>
      <c r="R2180" s="24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  <c r="AF2180" s="24"/>
      <c r="AG2180" s="24"/>
    </row>
    <row r="2181" spans="1:33" ht="15" customHeight="1">
      <c r="A2181" s="10">
        <v>42835</v>
      </c>
      <c r="B2181" s="3" t="s">
        <v>86</v>
      </c>
      <c r="C2181" s="3" t="s">
        <v>47</v>
      </c>
      <c r="D2181" s="3">
        <v>1200</v>
      </c>
      <c r="E2181" s="11">
        <v>500</v>
      </c>
      <c r="F2181" s="3" t="s">
        <v>8</v>
      </c>
      <c r="G2181" s="46">
        <v>47</v>
      </c>
      <c r="H2181" s="3">
        <v>49</v>
      </c>
      <c r="I2181" s="46">
        <v>0</v>
      </c>
      <c r="J2181" s="55">
        <v>0</v>
      </c>
      <c r="K2181" s="1">
        <f t="shared" ref="K2181:K2202" si="2208">(IF(F2181="SELL",G2181-H2181,IF(F2181="BUY",H2181-G2181)))*E2181</f>
        <v>1000</v>
      </c>
      <c r="L2181" s="51">
        <v>0</v>
      </c>
      <c r="M2181" s="52">
        <f t="shared" si="2207"/>
        <v>0</v>
      </c>
      <c r="N2181" s="2">
        <f t="shared" si="2194"/>
        <v>2</v>
      </c>
      <c r="O2181" s="2">
        <f t="shared" si="2202"/>
        <v>1000</v>
      </c>
      <c r="P2181" s="24"/>
      <c r="Q2181" s="24"/>
      <c r="R2181" s="24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  <c r="AF2181" s="24"/>
      <c r="AG2181" s="24"/>
    </row>
    <row r="2182" spans="1:33" ht="15" customHeight="1">
      <c r="A2182" s="10">
        <v>42832</v>
      </c>
      <c r="B2182" s="3" t="s">
        <v>85</v>
      </c>
      <c r="C2182" s="3" t="s">
        <v>47</v>
      </c>
      <c r="D2182" s="3">
        <v>610</v>
      </c>
      <c r="E2182" s="11">
        <v>1000</v>
      </c>
      <c r="F2182" s="3" t="s">
        <v>8</v>
      </c>
      <c r="G2182" s="46">
        <v>29</v>
      </c>
      <c r="H2182" s="3">
        <v>29</v>
      </c>
      <c r="I2182" s="46">
        <v>0</v>
      </c>
      <c r="J2182" s="55">
        <v>0</v>
      </c>
      <c r="K2182" s="1">
        <f t="shared" si="2208"/>
        <v>0</v>
      </c>
      <c r="L2182" s="51">
        <v>0</v>
      </c>
      <c r="M2182" s="52">
        <f t="shared" si="2207"/>
        <v>0</v>
      </c>
      <c r="N2182" s="2">
        <f t="shared" si="2194"/>
        <v>0</v>
      </c>
      <c r="O2182" s="2">
        <f t="shared" si="2202"/>
        <v>0</v>
      </c>
      <c r="P2182" s="24"/>
      <c r="Q2182" s="24"/>
      <c r="R2182" s="24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  <c r="AF2182" s="24"/>
      <c r="AG2182" s="24"/>
    </row>
    <row r="2183" spans="1:33" ht="15" customHeight="1">
      <c r="A2183" s="10">
        <v>42832</v>
      </c>
      <c r="B2183" s="3" t="s">
        <v>55</v>
      </c>
      <c r="C2183" s="3" t="s">
        <v>47</v>
      </c>
      <c r="D2183" s="3">
        <v>170</v>
      </c>
      <c r="E2183" s="11">
        <v>3500</v>
      </c>
      <c r="F2183" s="3" t="s">
        <v>8</v>
      </c>
      <c r="G2183" s="46">
        <v>7.5</v>
      </c>
      <c r="H2183" s="3">
        <v>7.5</v>
      </c>
      <c r="I2183" s="46">
        <v>0</v>
      </c>
      <c r="J2183" s="55">
        <v>0</v>
      </c>
      <c r="K2183" s="1">
        <f t="shared" si="2208"/>
        <v>0</v>
      </c>
      <c r="L2183" s="51">
        <v>0</v>
      </c>
      <c r="M2183" s="52">
        <f t="shared" si="2207"/>
        <v>0</v>
      </c>
      <c r="N2183" s="2">
        <f t="shared" si="2194"/>
        <v>0</v>
      </c>
      <c r="O2183" s="2">
        <f t="shared" si="2202"/>
        <v>0</v>
      </c>
      <c r="P2183" s="24"/>
      <c r="Q2183" s="24"/>
      <c r="R2183" s="24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  <c r="AF2183" s="24"/>
      <c r="AG2183" s="24"/>
    </row>
    <row r="2184" spans="1:33" ht="15" customHeight="1">
      <c r="A2184" s="10">
        <v>42832</v>
      </c>
      <c r="B2184" s="3" t="s">
        <v>83</v>
      </c>
      <c r="C2184" s="3" t="s">
        <v>47</v>
      </c>
      <c r="D2184" s="3">
        <v>21600</v>
      </c>
      <c r="E2184" s="11">
        <v>40</v>
      </c>
      <c r="F2184" s="3" t="s">
        <v>8</v>
      </c>
      <c r="G2184" s="46">
        <v>270</v>
      </c>
      <c r="H2184" s="3">
        <v>270</v>
      </c>
      <c r="I2184" s="46">
        <v>0</v>
      </c>
      <c r="J2184" s="55">
        <v>0</v>
      </c>
      <c r="K2184" s="1">
        <f t="shared" si="2208"/>
        <v>0</v>
      </c>
      <c r="L2184" s="51">
        <v>0</v>
      </c>
      <c r="M2184" s="52">
        <f t="shared" si="2207"/>
        <v>0</v>
      </c>
      <c r="N2184" s="2">
        <f t="shared" si="2194"/>
        <v>0</v>
      </c>
      <c r="O2184" s="2">
        <f t="shared" si="2202"/>
        <v>0</v>
      </c>
      <c r="P2184" s="24"/>
      <c r="Q2184" s="24"/>
      <c r="R2184" s="24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  <c r="AF2184" s="24"/>
      <c r="AG2184" s="24"/>
    </row>
    <row r="2185" spans="1:33" ht="15" customHeight="1">
      <c r="A2185" s="10">
        <v>42832</v>
      </c>
      <c r="B2185" s="3" t="s">
        <v>15</v>
      </c>
      <c r="C2185" s="3" t="s">
        <v>47</v>
      </c>
      <c r="D2185" s="3">
        <v>460</v>
      </c>
      <c r="E2185" s="11">
        <v>2000</v>
      </c>
      <c r="F2185" s="3" t="s">
        <v>8</v>
      </c>
      <c r="G2185" s="46">
        <v>9.6999999999999993</v>
      </c>
      <c r="H2185" s="3">
        <v>10.199999999999999</v>
      </c>
      <c r="I2185" s="46">
        <v>11.8</v>
      </c>
      <c r="J2185" s="55">
        <v>12.5</v>
      </c>
      <c r="K2185" s="1">
        <f t="shared" si="2208"/>
        <v>1000</v>
      </c>
      <c r="L2185" s="51">
        <f t="shared" ref="L2185:L2202" si="2209">(IF(F2185="SELL",IF(I2185="",0,H2185-I2185),IF(F2185="BUY",IF(I2185="",0,I2185-H2185))))*E2185</f>
        <v>3200.0000000000027</v>
      </c>
      <c r="M2185" s="52">
        <f t="shared" si="2207"/>
        <v>1399.9999999999986</v>
      </c>
      <c r="N2185" s="2">
        <f t="shared" si="2194"/>
        <v>2.8000000000000007</v>
      </c>
      <c r="O2185" s="2">
        <f t="shared" si="2202"/>
        <v>5600.0000000000018</v>
      </c>
      <c r="P2185" s="24"/>
      <c r="Q2185" s="24"/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</row>
    <row r="2186" spans="1:33" ht="15" customHeight="1">
      <c r="A2186" s="10">
        <v>42832</v>
      </c>
      <c r="B2186" s="3" t="s">
        <v>22</v>
      </c>
      <c r="C2186" s="3" t="s">
        <v>47</v>
      </c>
      <c r="D2186" s="3">
        <v>155</v>
      </c>
      <c r="E2186" s="11">
        <v>5000</v>
      </c>
      <c r="F2186" s="3" t="s">
        <v>8</v>
      </c>
      <c r="G2186" s="46">
        <v>7.3</v>
      </c>
      <c r="H2186" s="3">
        <v>7.5</v>
      </c>
      <c r="I2186" s="46">
        <v>0</v>
      </c>
      <c r="J2186" s="55">
        <v>0</v>
      </c>
      <c r="K2186" s="1">
        <f t="shared" si="2208"/>
        <v>1000.0000000000009</v>
      </c>
      <c r="L2186" s="51">
        <v>0</v>
      </c>
      <c r="M2186" s="52">
        <f t="shared" si="2207"/>
        <v>0</v>
      </c>
      <c r="N2186" s="2">
        <f t="shared" si="2194"/>
        <v>0.20000000000000018</v>
      </c>
      <c r="O2186" s="2">
        <f t="shared" si="2202"/>
        <v>1000.0000000000009</v>
      </c>
      <c r="P2186" s="24"/>
      <c r="Q2186" s="24"/>
      <c r="R2186" s="24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  <c r="AF2186" s="24"/>
      <c r="AG2186" s="24"/>
    </row>
    <row r="2187" spans="1:33" ht="15" customHeight="1">
      <c r="A2187" s="10">
        <v>42832</v>
      </c>
      <c r="B2187" s="17" t="s">
        <v>84</v>
      </c>
      <c r="C2187" s="17" t="s">
        <v>46</v>
      </c>
      <c r="D2187" s="17">
        <v>190</v>
      </c>
      <c r="E2187" s="17">
        <v>3200</v>
      </c>
      <c r="F2187" s="17" t="s">
        <v>8</v>
      </c>
      <c r="G2187" s="48">
        <v>7.6</v>
      </c>
      <c r="H2187" s="17">
        <v>7.6</v>
      </c>
      <c r="I2187" s="48">
        <v>0</v>
      </c>
      <c r="J2187" s="56">
        <v>0</v>
      </c>
      <c r="K2187" s="1">
        <f t="shared" si="2208"/>
        <v>0</v>
      </c>
      <c r="L2187" s="51">
        <v>0</v>
      </c>
      <c r="M2187" s="52">
        <f t="shared" si="2207"/>
        <v>0</v>
      </c>
      <c r="N2187" s="2">
        <f t="shared" si="2194"/>
        <v>0</v>
      </c>
      <c r="O2187" s="2">
        <f t="shared" si="2202"/>
        <v>0</v>
      </c>
      <c r="P2187" s="24"/>
      <c r="Q2187" s="24"/>
      <c r="R2187" s="24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  <c r="AF2187" s="24"/>
      <c r="AG2187" s="24"/>
    </row>
    <row r="2188" spans="1:33" s="5" customFormat="1" ht="15" customHeight="1">
      <c r="A2188" s="16">
        <v>42831</v>
      </c>
      <c r="B2188" s="17" t="s">
        <v>63</v>
      </c>
      <c r="C2188" s="17" t="s">
        <v>46</v>
      </c>
      <c r="D2188" s="17">
        <v>520</v>
      </c>
      <c r="E2188" s="17">
        <v>2100</v>
      </c>
      <c r="F2188" s="17" t="s">
        <v>8</v>
      </c>
      <c r="G2188" s="48">
        <v>10</v>
      </c>
      <c r="H2188" s="17">
        <v>10</v>
      </c>
      <c r="I2188" s="48">
        <v>0</v>
      </c>
      <c r="J2188" s="56">
        <v>0</v>
      </c>
      <c r="K2188" s="1">
        <f t="shared" si="2208"/>
        <v>0</v>
      </c>
      <c r="L2188" s="51">
        <v>0</v>
      </c>
      <c r="M2188" s="52">
        <f t="shared" si="2207"/>
        <v>0</v>
      </c>
      <c r="N2188" s="2">
        <f t="shared" si="2194"/>
        <v>0</v>
      </c>
      <c r="O2188" s="2">
        <f t="shared" si="2202"/>
        <v>0</v>
      </c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</row>
    <row r="2189" spans="1:33" s="5" customFormat="1" ht="15" customHeight="1">
      <c r="A2189" s="16">
        <v>42831</v>
      </c>
      <c r="B2189" s="17" t="s">
        <v>76</v>
      </c>
      <c r="C2189" s="17" t="s">
        <v>47</v>
      </c>
      <c r="D2189" s="17">
        <v>9100</v>
      </c>
      <c r="E2189" s="17">
        <v>75</v>
      </c>
      <c r="F2189" s="17" t="s">
        <v>8</v>
      </c>
      <c r="G2189" s="48">
        <v>190</v>
      </c>
      <c r="H2189" s="17">
        <v>198</v>
      </c>
      <c r="I2189" s="48">
        <v>0</v>
      </c>
      <c r="J2189" s="56">
        <v>0</v>
      </c>
      <c r="K2189" s="1">
        <f t="shared" si="2208"/>
        <v>600</v>
      </c>
      <c r="L2189" s="51">
        <v>0</v>
      </c>
      <c r="M2189" s="52">
        <f t="shared" si="2207"/>
        <v>0</v>
      </c>
      <c r="N2189" s="2">
        <f t="shared" si="2194"/>
        <v>8</v>
      </c>
      <c r="O2189" s="2">
        <f t="shared" si="2202"/>
        <v>600</v>
      </c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</row>
    <row r="2190" spans="1:33" s="5" customFormat="1" ht="15" customHeight="1">
      <c r="A2190" s="16">
        <v>42831</v>
      </c>
      <c r="B2190" s="17" t="s">
        <v>57</v>
      </c>
      <c r="C2190" s="17" t="s">
        <v>47</v>
      </c>
      <c r="D2190" s="17">
        <v>140</v>
      </c>
      <c r="E2190" s="17">
        <v>6000</v>
      </c>
      <c r="F2190" s="17" t="s">
        <v>8</v>
      </c>
      <c r="G2190" s="48">
        <v>6.9</v>
      </c>
      <c r="H2190" s="17">
        <v>7.1</v>
      </c>
      <c r="I2190" s="48">
        <v>7.4</v>
      </c>
      <c r="J2190" s="56">
        <v>0</v>
      </c>
      <c r="K2190" s="1">
        <f t="shared" si="2208"/>
        <v>1199.9999999999957</v>
      </c>
      <c r="L2190" s="51">
        <f t="shared" si="2209"/>
        <v>1800.0000000000043</v>
      </c>
      <c r="M2190" s="52">
        <v>0</v>
      </c>
      <c r="N2190" s="2">
        <f t="shared" si="2194"/>
        <v>0.5</v>
      </c>
      <c r="O2190" s="2">
        <f t="shared" si="2202"/>
        <v>3000</v>
      </c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</row>
    <row r="2191" spans="1:33" s="5" customFormat="1" ht="15" customHeight="1">
      <c r="A2191" s="16">
        <v>42831</v>
      </c>
      <c r="B2191" s="17" t="s">
        <v>9</v>
      </c>
      <c r="C2191" s="17" t="s">
        <v>47</v>
      </c>
      <c r="D2191" s="17">
        <v>1100</v>
      </c>
      <c r="E2191" s="17">
        <v>600</v>
      </c>
      <c r="F2191" s="17" t="s">
        <v>8</v>
      </c>
      <c r="G2191" s="48">
        <v>36</v>
      </c>
      <c r="H2191" s="17">
        <v>36</v>
      </c>
      <c r="I2191" s="48">
        <v>0</v>
      </c>
      <c r="J2191" s="56">
        <v>0</v>
      </c>
      <c r="K2191" s="1">
        <f t="shared" si="2208"/>
        <v>0</v>
      </c>
      <c r="L2191" s="51">
        <v>0</v>
      </c>
      <c r="M2191" s="52">
        <f>(IF(F2191="SELL",IF(J2191="",0,I2191-J2191),IF(F2191="BUY",IF(J2191="",0,(J2191-I2191)))))*E2191</f>
        <v>0</v>
      </c>
      <c r="N2191" s="2">
        <f t="shared" si="2194"/>
        <v>0</v>
      </c>
      <c r="O2191" s="2">
        <f t="shared" si="2202"/>
        <v>0</v>
      </c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</row>
    <row r="2192" spans="1:33" s="5" customFormat="1" ht="15" customHeight="1">
      <c r="A2192" s="16">
        <v>42831</v>
      </c>
      <c r="B2192" s="18" t="s">
        <v>63</v>
      </c>
      <c r="C2192" s="18" t="s">
        <v>46</v>
      </c>
      <c r="D2192" s="18">
        <v>520</v>
      </c>
      <c r="E2192" s="19">
        <v>2100</v>
      </c>
      <c r="F2192" s="18" t="s">
        <v>8</v>
      </c>
      <c r="G2192" s="49">
        <v>12</v>
      </c>
      <c r="H2192" s="18">
        <v>12</v>
      </c>
      <c r="I2192" s="49">
        <v>0</v>
      </c>
      <c r="J2192" s="56">
        <v>0</v>
      </c>
      <c r="K2192" s="1">
        <f t="shared" si="2208"/>
        <v>0</v>
      </c>
      <c r="L2192" s="51">
        <v>0</v>
      </c>
      <c r="M2192" s="52">
        <f>(IF(F2192="SELL",IF(J2192="",0,I2192-J2192),IF(F2192="BUY",IF(J2192="",0,(J2192-I2192)))))*E2192</f>
        <v>0</v>
      </c>
      <c r="N2192" s="2">
        <f t="shared" si="2194"/>
        <v>0</v>
      </c>
      <c r="O2192" s="2">
        <f t="shared" si="2202"/>
        <v>0</v>
      </c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</row>
    <row r="2193" spans="1:33" s="5" customFormat="1" ht="15" customHeight="1">
      <c r="A2193" s="12">
        <v>42830</v>
      </c>
      <c r="B2193" s="18" t="s">
        <v>83</v>
      </c>
      <c r="C2193" s="20" t="s">
        <v>47</v>
      </c>
      <c r="D2193" s="20">
        <v>21500</v>
      </c>
      <c r="E2193" s="19">
        <v>40</v>
      </c>
      <c r="F2193" s="18" t="s">
        <v>8</v>
      </c>
      <c r="G2193" s="49">
        <v>345</v>
      </c>
      <c r="H2193" s="18">
        <v>360</v>
      </c>
      <c r="I2193" s="49">
        <v>390</v>
      </c>
      <c r="J2193" s="56">
        <v>0</v>
      </c>
      <c r="K2193" s="1">
        <f t="shared" si="2208"/>
        <v>600</v>
      </c>
      <c r="L2193" s="51">
        <f t="shared" si="2209"/>
        <v>1200</v>
      </c>
      <c r="M2193" s="52">
        <v>0</v>
      </c>
      <c r="N2193" s="2">
        <f t="shared" si="2194"/>
        <v>45</v>
      </c>
      <c r="O2193" s="2">
        <f t="shared" si="2202"/>
        <v>1800</v>
      </c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</row>
    <row r="2194" spans="1:33" s="5" customFormat="1" ht="15" customHeight="1">
      <c r="A2194" s="4">
        <v>42830</v>
      </c>
      <c r="B2194" s="18" t="s">
        <v>66</v>
      </c>
      <c r="C2194" s="20" t="s">
        <v>46</v>
      </c>
      <c r="D2194" s="20">
        <v>530</v>
      </c>
      <c r="E2194" s="19">
        <v>1000</v>
      </c>
      <c r="F2194" s="18" t="s">
        <v>8</v>
      </c>
      <c r="G2194" s="49">
        <v>23.5</v>
      </c>
      <c r="H2194" s="18">
        <v>23.5</v>
      </c>
      <c r="I2194" s="49">
        <v>0</v>
      </c>
      <c r="J2194" s="56">
        <v>0</v>
      </c>
      <c r="K2194" s="1">
        <f t="shared" si="2208"/>
        <v>0</v>
      </c>
      <c r="L2194" s="51">
        <v>0</v>
      </c>
      <c r="M2194" s="52">
        <f>(IF(F2194="SELL",IF(J2194="",0,I2194-J2194),IF(F2194="BUY",IF(J2194="",0,(J2194-I2194)))))*E2194</f>
        <v>0</v>
      </c>
      <c r="N2194" s="2">
        <f t="shared" si="2194"/>
        <v>0</v>
      </c>
      <c r="O2194" s="2">
        <f t="shared" si="2202"/>
        <v>0</v>
      </c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</row>
    <row r="2195" spans="1:33" s="5" customFormat="1" ht="15" customHeight="1">
      <c r="A2195" s="4">
        <v>42830</v>
      </c>
      <c r="B2195" s="5" t="s">
        <v>82</v>
      </c>
      <c r="C2195" s="5" t="s">
        <v>46</v>
      </c>
      <c r="D2195" s="5">
        <v>150</v>
      </c>
      <c r="E2195" s="9">
        <v>7000</v>
      </c>
      <c r="F2195" s="5" t="s">
        <v>8</v>
      </c>
      <c r="G2195" s="5">
        <v>6.4</v>
      </c>
      <c r="H2195" s="5">
        <v>6.6</v>
      </c>
      <c r="I2195" s="5">
        <v>6.9</v>
      </c>
      <c r="J2195" s="5">
        <v>0</v>
      </c>
      <c r="K2195" s="1">
        <f t="shared" si="2208"/>
        <v>1399.999999999995</v>
      </c>
      <c r="L2195" s="51">
        <f t="shared" si="2209"/>
        <v>2100.000000000005</v>
      </c>
      <c r="M2195" s="52">
        <v>0</v>
      </c>
      <c r="N2195" s="2">
        <f t="shared" si="2194"/>
        <v>0.5</v>
      </c>
      <c r="O2195" s="2">
        <f t="shared" si="2202"/>
        <v>3500</v>
      </c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</row>
    <row r="2196" spans="1:33" s="5" customFormat="1" ht="15" customHeight="1">
      <c r="A2196" s="4">
        <v>42830</v>
      </c>
      <c r="B2196" s="5" t="s">
        <v>63</v>
      </c>
      <c r="C2196" s="5" t="s">
        <v>46</v>
      </c>
      <c r="D2196" s="5">
        <v>520</v>
      </c>
      <c r="E2196" s="9">
        <v>2100</v>
      </c>
      <c r="F2196" s="5" t="s">
        <v>8</v>
      </c>
      <c r="G2196" s="5">
        <v>13.5</v>
      </c>
      <c r="H2196" s="5">
        <v>14</v>
      </c>
      <c r="I2196" s="5">
        <v>0</v>
      </c>
      <c r="J2196" s="5">
        <v>0</v>
      </c>
      <c r="K2196" s="1">
        <f t="shared" si="2208"/>
        <v>1050</v>
      </c>
      <c r="L2196" s="51">
        <v>0</v>
      </c>
      <c r="M2196" s="52">
        <f t="shared" ref="M2196:M2201" si="2210">(IF(F2196="SELL",IF(J2196="",0,I2196-J2196),IF(F2196="BUY",IF(J2196="",0,(J2196-I2196)))))*E2196</f>
        <v>0</v>
      </c>
      <c r="N2196" s="2">
        <f t="shared" si="2194"/>
        <v>0.5</v>
      </c>
      <c r="O2196" s="2">
        <f t="shared" si="2202"/>
        <v>1050</v>
      </c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</row>
    <row r="2197" spans="1:33" s="5" customFormat="1" ht="15" customHeight="1">
      <c r="A2197" s="4">
        <v>42828</v>
      </c>
      <c r="B2197" s="5" t="s">
        <v>83</v>
      </c>
      <c r="C2197" s="5" t="s">
        <v>46</v>
      </c>
      <c r="D2197" s="5">
        <v>21500</v>
      </c>
      <c r="E2197" s="9">
        <v>40</v>
      </c>
      <c r="F2197" s="5" t="s">
        <v>8</v>
      </c>
      <c r="G2197" s="5">
        <v>345</v>
      </c>
      <c r="H2197" s="5">
        <v>345</v>
      </c>
      <c r="I2197" s="5">
        <v>0</v>
      </c>
      <c r="J2197" s="5">
        <v>0</v>
      </c>
      <c r="K2197" s="1">
        <f t="shared" si="2208"/>
        <v>0</v>
      </c>
      <c r="L2197" s="51">
        <v>0</v>
      </c>
      <c r="M2197" s="52">
        <f t="shared" si="2210"/>
        <v>0</v>
      </c>
      <c r="N2197" s="2">
        <f t="shared" si="2194"/>
        <v>0</v>
      </c>
      <c r="O2197" s="2">
        <f t="shared" si="2202"/>
        <v>0</v>
      </c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</row>
    <row r="2198" spans="1:33" s="5" customFormat="1" ht="15" customHeight="1">
      <c r="A2198" s="4">
        <v>42828</v>
      </c>
      <c r="B2198" s="5" t="s">
        <v>28</v>
      </c>
      <c r="C2198" s="5" t="s">
        <v>46</v>
      </c>
      <c r="D2198" s="5">
        <v>340</v>
      </c>
      <c r="E2198" s="9">
        <v>1700</v>
      </c>
      <c r="F2198" s="5" t="s">
        <v>8</v>
      </c>
      <c r="G2198" s="5">
        <v>12</v>
      </c>
      <c r="H2198" s="5">
        <v>10.4</v>
      </c>
      <c r="I2198" s="5">
        <v>0</v>
      </c>
      <c r="J2198" s="5">
        <v>0</v>
      </c>
      <c r="K2198" s="1">
        <f t="shared" si="2208"/>
        <v>-2719.9999999999995</v>
      </c>
      <c r="L2198" s="51">
        <v>0</v>
      </c>
      <c r="M2198" s="52">
        <f t="shared" si="2210"/>
        <v>0</v>
      </c>
      <c r="N2198" s="2">
        <f t="shared" si="2194"/>
        <v>-1.5999999999999996</v>
      </c>
      <c r="O2198" s="2">
        <f t="shared" si="2202"/>
        <v>-2719.9999999999995</v>
      </c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</row>
    <row r="2199" spans="1:33" s="5" customFormat="1" ht="15" customHeight="1">
      <c r="A2199" s="4">
        <v>42828</v>
      </c>
      <c r="B2199" s="5" t="s">
        <v>88</v>
      </c>
      <c r="C2199" s="5" t="s">
        <v>47</v>
      </c>
      <c r="D2199" s="5">
        <v>225</v>
      </c>
      <c r="E2199" s="9">
        <v>4000</v>
      </c>
      <c r="F2199" s="5" t="s">
        <v>8</v>
      </c>
      <c r="G2199" s="5">
        <v>6.7</v>
      </c>
      <c r="H2199" s="5">
        <v>7.4</v>
      </c>
      <c r="I2199" s="5">
        <v>0</v>
      </c>
      <c r="J2199" s="5">
        <v>0</v>
      </c>
      <c r="K2199" s="1">
        <f t="shared" si="2208"/>
        <v>2800.0000000000009</v>
      </c>
      <c r="L2199" s="51">
        <v>0</v>
      </c>
      <c r="M2199" s="52">
        <f t="shared" si="2210"/>
        <v>0</v>
      </c>
      <c r="N2199" s="2">
        <f t="shared" si="2194"/>
        <v>0.70000000000000018</v>
      </c>
      <c r="O2199" s="2">
        <f t="shared" si="2202"/>
        <v>2800.0000000000009</v>
      </c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</row>
    <row r="2200" spans="1:33" s="5" customFormat="1" ht="15" customHeight="1">
      <c r="A2200" s="4">
        <v>42825</v>
      </c>
      <c r="B2200" s="5" t="s">
        <v>72</v>
      </c>
      <c r="C2200" s="5" t="s">
        <v>47</v>
      </c>
      <c r="D2200" s="5">
        <v>660</v>
      </c>
      <c r="E2200" s="9">
        <v>1200</v>
      </c>
      <c r="F2200" s="5" t="s">
        <v>8</v>
      </c>
      <c r="G2200" s="5">
        <v>17.5</v>
      </c>
      <c r="H2200" s="5">
        <v>20</v>
      </c>
      <c r="I2200" s="5">
        <v>0</v>
      </c>
      <c r="J2200" s="5">
        <v>0</v>
      </c>
      <c r="K2200" s="1">
        <f t="shared" si="2208"/>
        <v>3000</v>
      </c>
      <c r="L2200" s="51">
        <v>0</v>
      </c>
      <c r="M2200" s="52">
        <f t="shared" si="2210"/>
        <v>0</v>
      </c>
      <c r="N2200" s="2">
        <f t="shared" si="2194"/>
        <v>2.5</v>
      </c>
      <c r="O2200" s="2">
        <f t="shared" si="2202"/>
        <v>3000</v>
      </c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</row>
    <row r="2201" spans="1:33" s="5" customFormat="1" ht="15" customHeight="1">
      <c r="A2201" s="4">
        <v>42825</v>
      </c>
      <c r="B2201" s="5" t="s">
        <v>83</v>
      </c>
      <c r="C2201" s="5" t="s">
        <v>47</v>
      </c>
      <c r="D2201" s="5">
        <v>21500</v>
      </c>
      <c r="E2201" s="9">
        <v>40</v>
      </c>
      <c r="F2201" s="5" t="s">
        <v>8</v>
      </c>
      <c r="G2201" s="5">
        <v>365</v>
      </c>
      <c r="H2201" s="5">
        <v>380</v>
      </c>
      <c r="I2201" s="5">
        <v>0</v>
      </c>
      <c r="J2201" s="5">
        <v>0</v>
      </c>
      <c r="K2201" s="1">
        <f t="shared" si="2208"/>
        <v>600</v>
      </c>
      <c r="L2201" s="51">
        <v>0</v>
      </c>
      <c r="M2201" s="52">
        <f t="shared" si="2210"/>
        <v>0</v>
      </c>
      <c r="N2201" s="2">
        <f t="shared" si="2194"/>
        <v>15</v>
      </c>
      <c r="O2201" s="2">
        <f t="shared" si="2202"/>
        <v>600</v>
      </c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</row>
    <row r="2202" spans="1:33" s="5" customFormat="1" ht="15" customHeight="1">
      <c r="A2202" s="4">
        <v>42825</v>
      </c>
      <c r="B2202" s="5" t="s">
        <v>87</v>
      </c>
      <c r="C2202" s="5" t="s">
        <v>47</v>
      </c>
      <c r="D2202" s="5">
        <v>300</v>
      </c>
      <c r="E2202" s="9">
        <v>3500</v>
      </c>
      <c r="F2202" s="5" t="s">
        <v>8</v>
      </c>
      <c r="G2202" s="5">
        <v>11</v>
      </c>
      <c r="H2202" s="5">
        <v>11.3</v>
      </c>
      <c r="I2202" s="5">
        <v>11.7</v>
      </c>
      <c r="J2202" s="5">
        <v>0</v>
      </c>
      <c r="K2202" s="1">
        <f t="shared" si="2208"/>
        <v>1050.0000000000025</v>
      </c>
      <c r="L2202" s="51">
        <f t="shared" si="2209"/>
        <v>1399.999999999995</v>
      </c>
      <c r="M2202" s="52">
        <v>0</v>
      </c>
      <c r="N2202" s="2">
        <f t="shared" si="2194"/>
        <v>0.69999999999999918</v>
      </c>
      <c r="O2202" s="2">
        <f t="shared" si="2202"/>
        <v>2449.9999999999973</v>
      </c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</row>
    <row r="2203" spans="1:33" s="5" customFormat="1" ht="15" customHeight="1">
      <c r="A2203" s="4">
        <v>42825</v>
      </c>
      <c r="B2203" s="5" t="s">
        <v>60</v>
      </c>
      <c r="C2203" s="5" t="s">
        <v>47</v>
      </c>
      <c r="D2203" s="5">
        <v>270</v>
      </c>
      <c r="E2203" s="9">
        <v>3500</v>
      </c>
      <c r="F2203" s="5" t="s">
        <v>8</v>
      </c>
      <c r="G2203" s="5">
        <v>6.5</v>
      </c>
      <c r="H2203" s="5">
        <v>5</v>
      </c>
      <c r="I2203" s="5">
        <v>0</v>
      </c>
      <c r="J2203" s="5">
        <v>0</v>
      </c>
      <c r="K2203" s="1">
        <f t="shared" ref="K2203:K2266" si="2211">(IF(F2203="SELL",G2203-H2203,IF(F2203="BUY",H2203-G2203)))*E2203</f>
        <v>-5250</v>
      </c>
      <c r="L2203" s="51">
        <v>0</v>
      </c>
      <c r="M2203" s="52">
        <f>(IF(F2203="SELL",IF(J2203="",0,I2203-J2203),IF(F2203="BUY",IF(J2203="",0,(J2203-I2203)))))*E2203</f>
        <v>0</v>
      </c>
      <c r="N2203" s="2">
        <f t="shared" si="2194"/>
        <v>-1.5</v>
      </c>
      <c r="O2203" s="2">
        <f t="shared" si="2202"/>
        <v>-5250</v>
      </c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</row>
    <row r="2204" spans="1:33" s="5" customFormat="1" ht="15" customHeight="1">
      <c r="A2204" s="4">
        <v>42824</v>
      </c>
      <c r="B2204" s="5" t="s">
        <v>61</v>
      </c>
      <c r="C2204" s="5" t="s">
        <v>47</v>
      </c>
      <c r="D2204" s="5">
        <v>150</v>
      </c>
      <c r="E2204" s="9">
        <v>4000</v>
      </c>
      <c r="F2204" s="5" t="s">
        <v>8</v>
      </c>
      <c r="G2204" s="5">
        <v>7</v>
      </c>
      <c r="H2204" s="5">
        <v>7.3</v>
      </c>
      <c r="I2204" s="5">
        <v>0</v>
      </c>
      <c r="J2204" s="5">
        <v>0</v>
      </c>
      <c r="K2204" s="1">
        <f t="shared" si="2211"/>
        <v>1199.9999999999993</v>
      </c>
      <c r="L2204" s="51">
        <v>0</v>
      </c>
      <c r="M2204" s="52">
        <f>(IF(F2204="SELL",IF(J2204="",0,I2204-J2204),IF(F2204="BUY",IF(J2204="",0,(J2204-I2204)))))*E2204</f>
        <v>0</v>
      </c>
      <c r="N2204" s="2">
        <f t="shared" si="2194"/>
        <v>0.29999999999999982</v>
      </c>
      <c r="O2204" s="2">
        <f t="shared" si="2202"/>
        <v>1199.9999999999993</v>
      </c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</row>
    <row r="2205" spans="1:33" s="5" customFormat="1" ht="15" customHeight="1">
      <c r="A2205" s="4">
        <v>42824</v>
      </c>
      <c r="B2205" s="5" t="s">
        <v>62</v>
      </c>
      <c r="C2205" s="5" t="s">
        <v>47</v>
      </c>
      <c r="D2205" s="5">
        <v>140</v>
      </c>
      <c r="E2205" s="9">
        <v>6000</v>
      </c>
      <c r="F2205" s="5" t="s">
        <v>8</v>
      </c>
      <c r="G2205" s="5">
        <v>3</v>
      </c>
      <c r="H2205" s="5">
        <v>3.2</v>
      </c>
      <c r="I2205" s="5">
        <v>3.5</v>
      </c>
      <c r="J2205" s="5">
        <v>4.2</v>
      </c>
      <c r="K2205" s="1">
        <f t="shared" si="2211"/>
        <v>1200.0000000000011</v>
      </c>
      <c r="L2205" s="51">
        <f t="shared" ref="L2205:L2257" si="2212">(IF(F2205="SELL",IF(I2205="",0,H2205-I2205),IF(F2205="BUY",IF(I2205="",0,I2205-H2205))))*E2205</f>
        <v>1799.9999999999989</v>
      </c>
      <c r="M2205" s="52">
        <f>(IF(F2205="SELL",IF(J2205="",0,I2205-J2205),IF(F2205="BUY",IF(J2205="",0,(J2205-I2205)))))*E2205</f>
        <v>4200.0000000000009</v>
      </c>
      <c r="N2205" s="2">
        <f t="shared" ref="N2205:N2268" si="2213">(L2205+K2205+M2205)/E2205</f>
        <v>1.2000000000000002</v>
      </c>
      <c r="O2205" s="2">
        <f t="shared" si="2202"/>
        <v>7200.0000000000009</v>
      </c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</row>
    <row r="2206" spans="1:33" s="5" customFormat="1" ht="15" customHeight="1">
      <c r="A2206" s="4">
        <v>42824</v>
      </c>
      <c r="B2206" s="5" t="s">
        <v>56</v>
      </c>
      <c r="C2206" s="5" t="s">
        <v>47</v>
      </c>
      <c r="D2206" s="5">
        <v>21300</v>
      </c>
      <c r="E2206" s="9">
        <v>40</v>
      </c>
      <c r="F2206" s="5" t="s">
        <v>8</v>
      </c>
      <c r="G2206" s="5">
        <v>170</v>
      </c>
      <c r="H2206" s="5">
        <v>185</v>
      </c>
      <c r="I2206" s="5">
        <v>210</v>
      </c>
      <c r="J2206" s="5">
        <v>270</v>
      </c>
      <c r="K2206" s="1">
        <f t="shared" si="2211"/>
        <v>600</v>
      </c>
      <c r="L2206" s="51">
        <f t="shared" si="2212"/>
        <v>1000</v>
      </c>
      <c r="M2206" s="52">
        <f>(IF(F2206="SELL",IF(J2206="",0,I2206-J2206),IF(F2206="BUY",IF(J2206="",0,(J2206-I2206)))))*E2206</f>
        <v>2400</v>
      </c>
      <c r="N2206" s="2">
        <f t="shared" si="2213"/>
        <v>100</v>
      </c>
      <c r="O2206" s="2">
        <f t="shared" si="2202"/>
        <v>4000</v>
      </c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</row>
    <row r="2207" spans="1:33" s="5" customFormat="1" ht="15" customHeight="1">
      <c r="A2207" s="4">
        <v>42824</v>
      </c>
      <c r="B2207" s="5" t="s">
        <v>16</v>
      </c>
      <c r="C2207" s="5" t="s">
        <v>47</v>
      </c>
      <c r="D2207" s="5">
        <v>320</v>
      </c>
      <c r="E2207" s="9">
        <v>2500</v>
      </c>
      <c r="F2207" s="5" t="s">
        <v>8</v>
      </c>
      <c r="G2207" s="5">
        <v>9</v>
      </c>
      <c r="H2207" s="5">
        <v>9.4</v>
      </c>
      <c r="I2207" s="5">
        <v>9.9</v>
      </c>
      <c r="J2207" s="5">
        <v>12</v>
      </c>
      <c r="K2207" s="1">
        <f t="shared" si="2211"/>
        <v>1000.0000000000009</v>
      </c>
      <c r="L2207" s="51">
        <f t="shared" si="2212"/>
        <v>1250</v>
      </c>
      <c r="M2207" s="52">
        <f>(IF(F2207="SELL",IF(J2207="",0,I2207-J2207),IF(F2207="BUY",IF(J2207="",0,(J2207-I2207)))))*E2207</f>
        <v>5249.9999999999991</v>
      </c>
      <c r="N2207" s="2">
        <f t="shared" si="2213"/>
        <v>3</v>
      </c>
      <c r="O2207" s="2">
        <f t="shared" si="2202"/>
        <v>7500</v>
      </c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</row>
    <row r="2208" spans="1:33" s="5" customFormat="1" ht="15" customHeight="1">
      <c r="A2208" s="4">
        <v>42824</v>
      </c>
      <c r="B2208" s="5" t="s">
        <v>54</v>
      </c>
      <c r="C2208" s="5" t="s">
        <v>47</v>
      </c>
      <c r="D2208" s="5">
        <v>780</v>
      </c>
      <c r="E2208" s="9">
        <v>2000</v>
      </c>
      <c r="F2208" s="5" t="s">
        <v>8</v>
      </c>
      <c r="G2208" s="5">
        <v>16</v>
      </c>
      <c r="H2208" s="5">
        <v>16.5</v>
      </c>
      <c r="I2208" s="5">
        <v>17.2</v>
      </c>
      <c r="J2208" s="5">
        <v>0</v>
      </c>
      <c r="K2208" s="1">
        <f t="shared" si="2211"/>
        <v>1000</v>
      </c>
      <c r="L2208" s="51">
        <f t="shared" si="2212"/>
        <v>1399.9999999999986</v>
      </c>
      <c r="M2208" s="52">
        <v>0</v>
      </c>
      <c r="N2208" s="2">
        <f t="shared" si="2213"/>
        <v>1.1999999999999993</v>
      </c>
      <c r="O2208" s="2">
        <f t="shared" si="2202"/>
        <v>2399.9999999999986</v>
      </c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</row>
    <row r="2209" spans="1:33" s="5" customFormat="1" ht="15" customHeight="1">
      <c r="A2209" s="4">
        <v>42823</v>
      </c>
      <c r="B2209" s="5" t="s">
        <v>55</v>
      </c>
      <c r="C2209" s="5" t="s">
        <v>47</v>
      </c>
      <c r="D2209" s="5">
        <v>170</v>
      </c>
      <c r="E2209" s="9">
        <v>3500</v>
      </c>
      <c r="F2209" s="5" t="s">
        <v>8</v>
      </c>
      <c r="G2209" s="5">
        <v>4.8</v>
      </c>
      <c r="H2209" s="5">
        <v>5.0999999999999996</v>
      </c>
      <c r="I2209" s="5">
        <v>5.5</v>
      </c>
      <c r="J2209" s="5">
        <v>6.5</v>
      </c>
      <c r="K2209" s="1">
        <f t="shared" si="2211"/>
        <v>1049.9999999999993</v>
      </c>
      <c r="L2209" s="51">
        <f t="shared" si="2212"/>
        <v>1400.0000000000011</v>
      </c>
      <c r="M2209" s="52">
        <f>(IF(F2209="SELL",IF(J2209="",0,I2209-J2209),IF(F2209="BUY",IF(J2209="",0,(J2209-I2209)))))*E2209</f>
        <v>3500</v>
      </c>
      <c r="N2209" s="2">
        <f t="shared" si="2213"/>
        <v>1.7</v>
      </c>
      <c r="O2209" s="2">
        <f t="shared" si="2202"/>
        <v>5950</v>
      </c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</row>
    <row r="2210" spans="1:33" s="5" customFormat="1" ht="15" customHeight="1">
      <c r="A2210" s="4">
        <v>42823</v>
      </c>
      <c r="B2210" s="5" t="s">
        <v>56</v>
      </c>
      <c r="C2210" s="5" t="s">
        <v>47</v>
      </c>
      <c r="D2210" s="5">
        <v>21200</v>
      </c>
      <c r="E2210" s="9">
        <v>40</v>
      </c>
      <c r="F2210" s="5" t="s">
        <v>8</v>
      </c>
      <c r="G2210" s="5">
        <v>120</v>
      </c>
      <c r="H2210" s="5">
        <v>140</v>
      </c>
      <c r="I2210" s="5">
        <v>170</v>
      </c>
      <c r="J2210" s="5">
        <v>0</v>
      </c>
      <c r="K2210" s="1">
        <f t="shared" si="2211"/>
        <v>800</v>
      </c>
      <c r="L2210" s="51">
        <f t="shared" si="2212"/>
        <v>1200</v>
      </c>
      <c r="M2210" s="52">
        <v>0</v>
      </c>
      <c r="N2210" s="2">
        <f t="shared" si="2213"/>
        <v>50</v>
      </c>
      <c r="O2210" s="2">
        <f t="shared" si="2202"/>
        <v>2000</v>
      </c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</row>
    <row r="2211" spans="1:33" s="5" customFormat="1" ht="15" customHeight="1">
      <c r="A2211" s="4">
        <v>42823</v>
      </c>
      <c r="B2211" s="5" t="s">
        <v>57</v>
      </c>
      <c r="C2211" s="5" t="s">
        <v>47</v>
      </c>
      <c r="D2211" s="5">
        <v>135</v>
      </c>
      <c r="E2211" s="9">
        <v>6000</v>
      </c>
      <c r="F2211" s="5" t="s">
        <v>8</v>
      </c>
      <c r="G2211" s="5">
        <v>2.6</v>
      </c>
      <c r="H2211" s="5">
        <v>2.8</v>
      </c>
      <c r="I2211" s="5">
        <v>0</v>
      </c>
      <c r="J2211" s="5">
        <v>0</v>
      </c>
      <c r="K2211" s="1">
        <f t="shared" si="2211"/>
        <v>1199.9999999999984</v>
      </c>
      <c r="L2211" s="51">
        <v>0</v>
      </c>
      <c r="M2211" s="52">
        <f>(IF(F2211="SELL",IF(J2211="",0,I2211-J2211),IF(F2211="BUY",IF(J2211="",0,(J2211-I2211)))))*E2211</f>
        <v>0</v>
      </c>
      <c r="N2211" s="2">
        <f t="shared" si="2213"/>
        <v>0.19999999999999973</v>
      </c>
      <c r="O2211" s="2">
        <f t="shared" si="2202"/>
        <v>1199.9999999999984</v>
      </c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  <c r="AE2211" s="25"/>
      <c r="AF2211" s="25"/>
      <c r="AG2211" s="25"/>
    </row>
    <row r="2212" spans="1:33" s="5" customFormat="1" ht="15" customHeight="1">
      <c r="A2212" s="4">
        <v>42823</v>
      </c>
      <c r="B2212" s="5" t="s">
        <v>58</v>
      </c>
      <c r="C2212" s="5" t="s">
        <v>47</v>
      </c>
      <c r="D2212" s="5">
        <v>400</v>
      </c>
      <c r="E2212" s="9">
        <v>2000</v>
      </c>
      <c r="F2212" s="5" t="s">
        <v>8</v>
      </c>
      <c r="G2212" s="5">
        <v>6</v>
      </c>
      <c r="H2212" s="5">
        <v>6.5</v>
      </c>
      <c r="I2212" s="5">
        <v>7.2</v>
      </c>
      <c r="J2212" s="5">
        <v>9</v>
      </c>
      <c r="K2212" s="1">
        <f t="shared" si="2211"/>
        <v>1000</v>
      </c>
      <c r="L2212" s="51">
        <f t="shared" si="2212"/>
        <v>1400.0000000000005</v>
      </c>
      <c r="M2212" s="52">
        <f>(IF(F2212="SELL",IF(J2212="",0,I2212-J2212),IF(F2212="BUY",IF(J2212="",0,(J2212-I2212)))))*E2212</f>
        <v>3599.9999999999995</v>
      </c>
      <c r="N2212" s="2">
        <f t="shared" si="2213"/>
        <v>3</v>
      </c>
      <c r="O2212" s="2">
        <f t="shared" si="2202"/>
        <v>6000</v>
      </c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</row>
    <row r="2213" spans="1:33" s="5" customFormat="1" ht="15" customHeight="1">
      <c r="A2213" s="4">
        <v>42823</v>
      </c>
      <c r="B2213" s="5" t="s">
        <v>59</v>
      </c>
      <c r="C2213" s="5" t="s">
        <v>47</v>
      </c>
      <c r="D2213" s="5">
        <v>150</v>
      </c>
      <c r="E2213" s="9">
        <v>4000</v>
      </c>
      <c r="F2213" s="5" t="s">
        <v>8</v>
      </c>
      <c r="G2213" s="5">
        <v>6.2</v>
      </c>
      <c r="H2213" s="5">
        <v>6.5</v>
      </c>
      <c r="I2213" s="5">
        <v>6.9</v>
      </c>
      <c r="J2213" s="5">
        <v>0</v>
      </c>
      <c r="K2213" s="1">
        <f t="shared" si="2211"/>
        <v>1199.9999999999993</v>
      </c>
      <c r="L2213" s="51">
        <f t="shared" si="2212"/>
        <v>1600.0000000000014</v>
      </c>
      <c r="M2213" s="52">
        <v>0</v>
      </c>
      <c r="N2213" s="2">
        <f t="shared" si="2213"/>
        <v>0.70000000000000018</v>
      </c>
      <c r="O2213" s="2">
        <f t="shared" si="2202"/>
        <v>2800.0000000000009</v>
      </c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</row>
    <row r="2214" spans="1:33" s="5" customFormat="1" ht="15" customHeight="1">
      <c r="A2214" s="4">
        <v>42822</v>
      </c>
      <c r="B2214" s="5" t="s">
        <v>60</v>
      </c>
      <c r="C2214" s="5" t="s">
        <v>47</v>
      </c>
      <c r="D2214" s="5">
        <v>260</v>
      </c>
      <c r="E2214" s="9">
        <v>3500</v>
      </c>
      <c r="F2214" s="5" t="s">
        <v>8</v>
      </c>
      <c r="G2214" s="5">
        <v>6</v>
      </c>
      <c r="H2214" s="5">
        <v>5.8</v>
      </c>
      <c r="I2214" s="5">
        <v>6.2</v>
      </c>
      <c r="J2214" s="5">
        <v>7.2</v>
      </c>
      <c r="K2214" s="1">
        <f t="shared" si="2211"/>
        <v>-700.00000000000057</v>
      </c>
      <c r="L2214" s="51">
        <f t="shared" si="2212"/>
        <v>1400.0000000000011</v>
      </c>
      <c r="M2214" s="52">
        <f>(IF(F2214="SELL",IF(J2214="",0,I2214-J2214),IF(F2214="BUY",IF(J2214="",0,(J2214-I2214)))))*E2214</f>
        <v>3500</v>
      </c>
      <c r="N2214" s="2">
        <f t="shared" si="2213"/>
        <v>1.2000000000000002</v>
      </c>
      <c r="O2214" s="2">
        <f t="shared" si="2202"/>
        <v>4200.0000000000009</v>
      </c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  <c r="AE2214" s="25"/>
      <c r="AF2214" s="25"/>
      <c r="AG2214" s="25"/>
    </row>
    <row r="2215" spans="1:33" s="5" customFormat="1" ht="15" customHeight="1">
      <c r="A2215" s="4">
        <v>42822</v>
      </c>
      <c r="B2215" s="5" t="s">
        <v>57</v>
      </c>
      <c r="C2215" s="5" t="s">
        <v>47</v>
      </c>
      <c r="D2215" s="5">
        <v>130</v>
      </c>
      <c r="E2215" s="9">
        <v>6000</v>
      </c>
      <c r="F2215" s="5" t="s">
        <v>8</v>
      </c>
      <c r="G2215" s="5">
        <v>6.3</v>
      </c>
      <c r="H2215" s="5">
        <v>6.5</v>
      </c>
      <c r="I2215" s="5">
        <v>6.8</v>
      </c>
      <c r="J2215" s="5">
        <v>0</v>
      </c>
      <c r="K2215" s="1">
        <f t="shared" si="2211"/>
        <v>1200.0000000000011</v>
      </c>
      <c r="L2215" s="51">
        <f t="shared" si="2212"/>
        <v>1799.9999999999989</v>
      </c>
      <c r="M2215" s="52">
        <v>0</v>
      </c>
      <c r="N2215" s="2">
        <f t="shared" si="2213"/>
        <v>0.5</v>
      </c>
      <c r="O2215" s="2">
        <f t="shared" si="2202"/>
        <v>3000</v>
      </c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</row>
    <row r="2216" spans="1:33" s="5" customFormat="1" ht="15" customHeight="1">
      <c r="A2216" s="4">
        <v>42822</v>
      </c>
      <c r="B2216" s="5" t="s">
        <v>55</v>
      </c>
      <c r="C2216" s="5" t="s">
        <v>47</v>
      </c>
      <c r="D2216" s="5">
        <v>170</v>
      </c>
      <c r="E2216" s="9">
        <v>3500</v>
      </c>
      <c r="F2216" s="5" t="s">
        <v>8</v>
      </c>
      <c r="G2216" s="5">
        <v>5</v>
      </c>
      <c r="H2216" s="5">
        <v>5.3</v>
      </c>
      <c r="I2216" s="5">
        <v>0</v>
      </c>
      <c r="J2216" s="5">
        <v>0</v>
      </c>
      <c r="K2216" s="1">
        <f t="shared" si="2211"/>
        <v>1049.9999999999993</v>
      </c>
      <c r="L2216" s="51">
        <v>0</v>
      </c>
      <c r="M2216" s="52">
        <f>(IF(F2216="SELL",IF(J2216="",0,I2216-J2216),IF(F2216="BUY",IF(J2216="",0,(J2216-I2216)))))*E2216</f>
        <v>0</v>
      </c>
      <c r="N2216" s="2">
        <f t="shared" si="2213"/>
        <v>0.29999999999999982</v>
      </c>
      <c r="O2216" s="2">
        <f t="shared" si="2202"/>
        <v>1049.9999999999993</v>
      </c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  <c r="AE2216" s="25"/>
      <c r="AF2216" s="25"/>
      <c r="AG2216" s="25"/>
    </row>
    <row r="2217" spans="1:33" s="5" customFormat="1" ht="15" customHeight="1">
      <c r="A2217" s="4">
        <v>42822</v>
      </c>
      <c r="B2217" s="5" t="s">
        <v>20</v>
      </c>
      <c r="C2217" s="5" t="s">
        <v>47</v>
      </c>
      <c r="D2217" s="5">
        <v>1040</v>
      </c>
      <c r="E2217" s="9">
        <v>500</v>
      </c>
      <c r="F2217" s="5" t="s">
        <v>8</v>
      </c>
      <c r="G2217" s="5">
        <v>11</v>
      </c>
      <c r="H2217" s="5">
        <v>6</v>
      </c>
      <c r="I2217" s="5">
        <v>0</v>
      </c>
      <c r="J2217" s="5">
        <v>0</v>
      </c>
      <c r="K2217" s="1">
        <f t="shared" si="2211"/>
        <v>-2500</v>
      </c>
      <c r="L2217" s="51">
        <v>0</v>
      </c>
      <c r="M2217" s="52">
        <f>(IF(F2217="SELL",IF(J2217="",0,I2217-J2217),IF(F2217="BUY",IF(J2217="",0,(J2217-I2217)))))*E2217</f>
        <v>0</v>
      </c>
      <c r="N2217" s="2">
        <f t="shared" si="2213"/>
        <v>-5</v>
      </c>
      <c r="O2217" s="2">
        <f t="shared" si="2202"/>
        <v>-2500</v>
      </c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</row>
    <row r="2218" spans="1:33" s="5" customFormat="1" ht="15" customHeight="1">
      <c r="A2218" s="4">
        <v>42821</v>
      </c>
      <c r="B2218" s="5" t="s">
        <v>60</v>
      </c>
      <c r="C2218" s="5" t="s">
        <v>46</v>
      </c>
      <c r="D2218" s="5">
        <v>260</v>
      </c>
      <c r="E2218" s="9">
        <v>3500</v>
      </c>
      <c r="F2218" s="5" t="s">
        <v>8</v>
      </c>
      <c r="G2218" s="5">
        <v>2.5</v>
      </c>
      <c r="H2218" s="5">
        <v>2.9</v>
      </c>
      <c r="I2218" s="5">
        <v>3.5</v>
      </c>
      <c r="J2218" s="5">
        <v>0</v>
      </c>
      <c r="K2218" s="1">
        <f t="shared" si="2211"/>
        <v>1399.9999999999998</v>
      </c>
      <c r="L2218" s="51">
        <f t="shared" si="2212"/>
        <v>2100.0000000000005</v>
      </c>
      <c r="M2218" s="52">
        <v>0</v>
      </c>
      <c r="N2218" s="2">
        <f t="shared" si="2213"/>
        <v>1</v>
      </c>
      <c r="O2218" s="2">
        <f t="shared" si="2202"/>
        <v>3500</v>
      </c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  <c r="AE2218" s="25"/>
      <c r="AF2218" s="25"/>
      <c r="AG2218" s="25"/>
    </row>
    <row r="2219" spans="1:33" s="5" customFormat="1" ht="15" customHeight="1">
      <c r="A2219" s="4">
        <v>42821</v>
      </c>
      <c r="B2219" s="5" t="s">
        <v>14</v>
      </c>
      <c r="C2219" s="5" t="s">
        <v>46</v>
      </c>
      <c r="D2219" s="5">
        <v>390</v>
      </c>
      <c r="E2219" s="9">
        <v>2000</v>
      </c>
      <c r="F2219" s="5" t="s">
        <v>8</v>
      </c>
      <c r="G2219" s="5">
        <v>5.3</v>
      </c>
      <c r="H2219" s="5">
        <v>5.8</v>
      </c>
      <c r="I2219" s="5">
        <v>6.5</v>
      </c>
      <c r="J2219" s="5">
        <v>0</v>
      </c>
      <c r="K2219" s="1">
        <f t="shared" si="2211"/>
        <v>1000</v>
      </c>
      <c r="L2219" s="51">
        <f t="shared" si="2212"/>
        <v>1400.0000000000005</v>
      </c>
      <c r="M2219" s="52">
        <v>0</v>
      </c>
      <c r="N2219" s="2">
        <f t="shared" si="2213"/>
        <v>1.2000000000000002</v>
      </c>
      <c r="O2219" s="2">
        <f t="shared" si="2202"/>
        <v>2400.0000000000005</v>
      </c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  <c r="AE2219" s="25"/>
      <c r="AF2219" s="25"/>
      <c r="AG2219" s="25"/>
    </row>
    <row r="2220" spans="1:33" s="5" customFormat="1" ht="15" customHeight="1">
      <c r="A2220" s="4">
        <v>42821</v>
      </c>
      <c r="B2220" s="5" t="s">
        <v>81</v>
      </c>
      <c r="C2220" s="5" t="s">
        <v>47</v>
      </c>
      <c r="D2220" s="5">
        <v>140</v>
      </c>
      <c r="E2220" s="9">
        <v>6000</v>
      </c>
      <c r="F2220" s="5" t="s">
        <v>8</v>
      </c>
      <c r="G2220" s="5">
        <v>2.0499999999999998</v>
      </c>
      <c r="H2220" s="5">
        <v>2.4</v>
      </c>
      <c r="I2220" s="5">
        <v>2.8</v>
      </c>
      <c r="J2220" s="5">
        <v>0</v>
      </c>
      <c r="K2220" s="1">
        <f t="shared" si="2211"/>
        <v>2100.0000000000005</v>
      </c>
      <c r="L2220" s="51">
        <f t="shared" si="2212"/>
        <v>2399.9999999999995</v>
      </c>
      <c r="M2220" s="52">
        <v>0</v>
      </c>
      <c r="N2220" s="2">
        <f t="shared" si="2213"/>
        <v>0.75</v>
      </c>
      <c r="O2220" s="2">
        <f t="shared" si="2202"/>
        <v>4500</v>
      </c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  <c r="AE2220" s="25"/>
      <c r="AF2220" s="25"/>
      <c r="AG2220" s="25"/>
    </row>
    <row r="2221" spans="1:33" s="5" customFormat="1" ht="15" customHeight="1">
      <c r="A2221" s="4">
        <v>42818</v>
      </c>
      <c r="B2221" s="5" t="s">
        <v>19</v>
      </c>
      <c r="C2221" s="5" t="s">
        <v>47</v>
      </c>
      <c r="D2221" s="5">
        <v>1100</v>
      </c>
      <c r="E2221" s="9">
        <v>600</v>
      </c>
      <c r="F2221" s="5" t="s">
        <v>8</v>
      </c>
      <c r="G2221" s="5">
        <v>3.7</v>
      </c>
      <c r="H2221" s="5">
        <v>3.7</v>
      </c>
      <c r="I2221" s="5">
        <v>0</v>
      </c>
      <c r="J2221" s="5">
        <v>0</v>
      </c>
      <c r="K2221" s="1">
        <f t="shared" si="2211"/>
        <v>0</v>
      </c>
      <c r="L2221" s="51">
        <v>0</v>
      </c>
      <c r="M2221" s="52">
        <f t="shared" ref="M2221:M2226" si="2214">(IF(F2221="SELL",IF(J2221="",0,I2221-J2221),IF(F2221="BUY",IF(J2221="",0,(J2221-I2221)))))*E2221</f>
        <v>0</v>
      </c>
      <c r="N2221" s="2">
        <f t="shared" si="2213"/>
        <v>0</v>
      </c>
      <c r="O2221" s="2">
        <f t="shared" si="2202"/>
        <v>0</v>
      </c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</row>
    <row r="2222" spans="1:33" s="5" customFormat="1" ht="15" customHeight="1">
      <c r="A2222" s="4">
        <v>42818</v>
      </c>
      <c r="B2222" s="5" t="s">
        <v>61</v>
      </c>
      <c r="C2222" s="5" t="s">
        <v>47</v>
      </c>
      <c r="D2222" s="5">
        <v>150</v>
      </c>
      <c r="E2222" s="9">
        <v>4000</v>
      </c>
      <c r="F2222" s="5" t="s">
        <v>8</v>
      </c>
      <c r="G2222" s="5">
        <v>3.9</v>
      </c>
      <c r="H2222" s="5">
        <v>4.2</v>
      </c>
      <c r="I2222" s="5">
        <v>4.5999999999999996</v>
      </c>
      <c r="J2222" s="5">
        <v>5.4</v>
      </c>
      <c r="K2222" s="1">
        <f t="shared" si="2211"/>
        <v>1200.0000000000011</v>
      </c>
      <c r="L2222" s="51">
        <f t="shared" si="2212"/>
        <v>1599.999999999998</v>
      </c>
      <c r="M2222" s="52">
        <f t="shared" si="2214"/>
        <v>3200.0000000000027</v>
      </c>
      <c r="N2222" s="2">
        <f t="shared" si="2213"/>
        <v>1.5000000000000004</v>
      </c>
      <c r="O2222" s="2">
        <f t="shared" si="2202"/>
        <v>6000.0000000000018</v>
      </c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  <c r="AE2222" s="25"/>
      <c r="AF2222" s="25"/>
      <c r="AG2222" s="25"/>
    </row>
    <row r="2223" spans="1:33" s="5" customFormat="1" ht="15" customHeight="1">
      <c r="A2223" s="4">
        <v>42818</v>
      </c>
      <c r="B2223" s="5" t="s">
        <v>17</v>
      </c>
      <c r="C2223" s="5" t="s">
        <v>46</v>
      </c>
      <c r="D2223" s="5">
        <v>490</v>
      </c>
      <c r="E2223" s="9">
        <v>1200</v>
      </c>
      <c r="F2223" s="5" t="s">
        <v>8</v>
      </c>
      <c r="G2223" s="5">
        <v>12</v>
      </c>
      <c r="H2223" s="5">
        <v>9.1999999999999993</v>
      </c>
      <c r="I2223" s="5">
        <v>0</v>
      </c>
      <c r="J2223" s="5">
        <v>0</v>
      </c>
      <c r="K2223" s="1">
        <f t="shared" si="2211"/>
        <v>-3360.0000000000009</v>
      </c>
      <c r="L2223" s="51">
        <v>0</v>
      </c>
      <c r="M2223" s="52">
        <f t="shared" si="2214"/>
        <v>0</v>
      </c>
      <c r="N2223" s="2">
        <f t="shared" si="2213"/>
        <v>-2.8000000000000007</v>
      </c>
      <c r="O2223" s="2">
        <f t="shared" si="2202"/>
        <v>-3360.0000000000009</v>
      </c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  <c r="AE2223" s="25"/>
      <c r="AF2223" s="25"/>
      <c r="AG2223" s="25"/>
    </row>
    <row r="2224" spans="1:33" s="5" customFormat="1" ht="15" customHeight="1">
      <c r="A2224" s="4">
        <v>42817</v>
      </c>
      <c r="B2224" s="5" t="s">
        <v>76</v>
      </c>
      <c r="C2224" s="5" t="s">
        <v>46</v>
      </c>
      <c r="D2224" s="5">
        <v>9200</v>
      </c>
      <c r="E2224" s="9">
        <v>75</v>
      </c>
      <c r="F2224" s="5" t="s">
        <v>8</v>
      </c>
      <c r="G2224" s="5">
        <v>140</v>
      </c>
      <c r="H2224" s="5">
        <v>140</v>
      </c>
      <c r="I2224" s="5">
        <v>0</v>
      </c>
      <c r="J2224" s="5">
        <v>0</v>
      </c>
      <c r="K2224" s="1">
        <f t="shared" si="2211"/>
        <v>0</v>
      </c>
      <c r="L2224" s="51">
        <v>0</v>
      </c>
      <c r="M2224" s="52">
        <f t="shared" si="2214"/>
        <v>0</v>
      </c>
      <c r="N2224" s="2">
        <f t="shared" si="2213"/>
        <v>0</v>
      </c>
      <c r="O2224" s="2">
        <f t="shared" si="2202"/>
        <v>0</v>
      </c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</row>
    <row r="2225" spans="1:33" s="5" customFormat="1" ht="15" customHeight="1">
      <c r="A2225" s="4">
        <v>42817</v>
      </c>
      <c r="B2225" s="5" t="s">
        <v>56</v>
      </c>
      <c r="C2225" s="5" t="s">
        <v>46</v>
      </c>
      <c r="D2225" s="5">
        <v>20900</v>
      </c>
      <c r="E2225" s="9">
        <v>40</v>
      </c>
      <c r="F2225" s="5" t="s">
        <v>8</v>
      </c>
      <c r="G2225" s="5">
        <v>170</v>
      </c>
      <c r="H2225" s="5">
        <v>185</v>
      </c>
      <c r="I2225" s="5">
        <v>0</v>
      </c>
      <c r="J2225" s="5">
        <v>0</v>
      </c>
      <c r="K2225" s="1">
        <f t="shared" si="2211"/>
        <v>600</v>
      </c>
      <c r="L2225" s="51">
        <v>0</v>
      </c>
      <c r="M2225" s="52">
        <f t="shared" si="2214"/>
        <v>0</v>
      </c>
      <c r="N2225" s="2">
        <f t="shared" si="2213"/>
        <v>15</v>
      </c>
      <c r="O2225" s="2">
        <f t="shared" ref="O2225:O2288" si="2215">N2225*E2225</f>
        <v>600</v>
      </c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  <c r="AE2225" s="25"/>
      <c r="AF2225" s="25"/>
      <c r="AG2225" s="25"/>
    </row>
    <row r="2226" spans="1:33" s="5" customFormat="1" ht="15" customHeight="1">
      <c r="A2226" s="4">
        <v>42817</v>
      </c>
      <c r="B2226" s="5" t="s">
        <v>62</v>
      </c>
      <c r="C2226" s="5" t="s">
        <v>46</v>
      </c>
      <c r="D2226" s="5">
        <v>140</v>
      </c>
      <c r="E2226" s="9">
        <v>6000</v>
      </c>
      <c r="F2226" s="5" t="s">
        <v>8</v>
      </c>
      <c r="G2226" s="5">
        <v>4.0999999999999996</v>
      </c>
      <c r="H2226" s="5">
        <v>4.5</v>
      </c>
      <c r="I2226" s="5">
        <v>0</v>
      </c>
      <c r="J2226" s="5">
        <v>0</v>
      </c>
      <c r="K2226" s="1">
        <f t="shared" si="2211"/>
        <v>2400.0000000000023</v>
      </c>
      <c r="L2226" s="51">
        <v>0</v>
      </c>
      <c r="M2226" s="52">
        <f t="shared" si="2214"/>
        <v>0</v>
      </c>
      <c r="N2226" s="2">
        <f t="shared" si="2213"/>
        <v>0.40000000000000036</v>
      </c>
      <c r="O2226" s="2">
        <f t="shared" si="2215"/>
        <v>2400.0000000000023</v>
      </c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  <c r="AE2226" s="25"/>
      <c r="AF2226" s="25"/>
      <c r="AG2226" s="25"/>
    </row>
    <row r="2227" spans="1:33" s="5" customFormat="1" ht="15" customHeight="1">
      <c r="A2227" s="4">
        <v>42817</v>
      </c>
      <c r="B2227" s="5" t="s">
        <v>15</v>
      </c>
      <c r="C2227" s="5" t="s">
        <v>46</v>
      </c>
      <c r="D2227" s="5">
        <v>430</v>
      </c>
      <c r="E2227" s="9">
        <v>2000</v>
      </c>
      <c r="F2227" s="5" t="s">
        <v>8</v>
      </c>
      <c r="G2227" s="5">
        <v>8</v>
      </c>
      <c r="H2227" s="5">
        <v>8.5</v>
      </c>
      <c r="I2227" s="5">
        <v>9.1999999999999993</v>
      </c>
      <c r="J2227" s="5">
        <v>0</v>
      </c>
      <c r="K2227" s="1">
        <f t="shared" si="2211"/>
        <v>1000</v>
      </c>
      <c r="L2227" s="51">
        <f t="shared" si="2212"/>
        <v>1399.9999999999986</v>
      </c>
      <c r="M2227" s="52">
        <v>0</v>
      </c>
      <c r="N2227" s="2">
        <f t="shared" si="2213"/>
        <v>1.1999999999999993</v>
      </c>
      <c r="O2227" s="2">
        <f t="shared" si="2215"/>
        <v>2399.9999999999986</v>
      </c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  <c r="AE2227" s="25"/>
      <c r="AF2227" s="25"/>
      <c r="AG2227" s="25"/>
    </row>
    <row r="2228" spans="1:33" s="5" customFormat="1" ht="15" customHeight="1">
      <c r="A2228" s="4">
        <v>42817</v>
      </c>
      <c r="B2228" s="5" t="s">
        <v>80</v>
      </c>
      <c r="C2228" s="5" t="s">
        <v>46</v>
      </c>
      <c r="D2228" s="5">
        <v>220</v>
      </c>
      <c r="E2228" s="9">
        <v>3000</v>
      </c>
      <c r="F2228" s="5" t="s">
        <v>8</v>
      </c>
      <c r="G2228" s="5">
        <v>3.7</v>
      </c>
      <c r="H2228" s="5">
        <v>4</v>
      </c>
      <c r="I2228" s="5">
        <v>4.4000000000000004</v>
      </c>
      <c r="J2228" s="5">
        <v>5</v>
      </c>
      <c r="K2228" s="1">
        <f t="shared" si="2211"/>
        <v>899.99999999999943</v>
      </c>
      <c r="L2228" s="51">
        <f t="shared" si="2212"/>
        <v>1200.0000000000011</v>
      </c>
      <c r="M2228" s="52">
        <f t="shared" ref="M2228:M2234" si="2216">(IF(F2228="SELL",IF(J2228="",0,I2228-J2228),IF(F2228="BUY",IF(J2228="",0,(J2228-I2228)))))*E2228</f>
        <v>1799.9999999999989</v>
      </c>
      <c r="N2228" s="2">
        <f t="shared" si="2213"/>
        <v>1.2999999999999996</v>
      </c>
      <c r="O2228" s="2">
        <f t="shared" si="2215"/>
        <v>3899.9999999999986</v>
      </c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  <c r="AE2228" s="25"/>
      <c r="AF2228" s="25"/>
      <c r="AG2228" s="25"/>
    </row>
    <row r="2229" spans="1:33" s="5" customFormat="1" ht="15" customHeight="1">
      <c r="A2229" s="4">
        <v>42815</v>
      </c>
      <c r="B2229" s="5" t="s">
        <v>26</v>
      </c>
      <c r="C2229" s="5" t="s">
        <v>46</v>
      </c>
      <c r="D2229" s="5">
        <v>550</v>
      </c>
      <c r="E2229" s="9">
        <v>2000</v>
      </c>
      <c r="F2229" s="5" t="s">
        <v>8</v>
      </c>
      <c r="G2229" s="5">
        <v>10.5</v>
      </c>
      <c r="H2229" s="5">
        <v>9</v>
      </c>
      <c r="I2229" s="5">
        <v>0</v>
      </c>
      <c r="J2229" s="5">
        <v>0</v>
      </c>
      <c r="K2229" s="1">
        <f t="shared" si="2211"/>
        <v>-3000</v>
      </c>
      <c r="L2229" s="51">
        <v>0</v>
      </c>
      <c r="M2229" s="52">
        <f t="shared" si="2216"/>
        <v>0</v>
      </c>
      <c r="N2229" s="2">
        <f t="shared" si="2213"/>
        <v>-1.5</v>
      </c>
      <c r="O2229" s="2">
        <f t="shared" si="2215"/>
        <v>-3000</v>
      </c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  <c r="AE2229" s="25"/>
      <c r="AF2229" s="25"/>
      <c r="AG2229" s="25"/>
    </row>
    <row r="2230" spans="1:33" s="5" customFormat="1" ht="15" customHeight="1">
      <c r="A2230" s="4">
        <v>42815</v>
      </c>
      <c r="B2230" s="5" t="s">
        <v>17</v>
      </c>
      <c r="C2230" s="5" t="s">
        <v>46</v>
      </c>
      <c r="D2230" s="5">
        <v>500</v>
      </c>
      <c r="E2230" s="9">
        <v>1200</v>
      </c>
      <c r="F2230" s="5" t="s">
        <v>8</v>
      </c>
      <c r="G2230" s="5">
        <v>15.5</v>
      </c>
      <c r="H2230" s="5">
        <v>16.5</v>
      </c>
      <c r="I2230" s="5">
        <v>0</v>
      </c>
      <c r="J2230" s="5">
        <v>0</v>
      </c>
      <c r="K2230" s="1">
        <f t="shared" si="2211"/>
        <v>1200</v>
      </c>
      <c r="L2230" s="51">
        <v>0</v>
      </c>
      <c r="M2230" s="52">
        <f t="shared" si="2216"/>
        <v>0</v>
      </c>
      <c r="N2230" s="2">
        <f t="shared" si="2213"/>
        <v>1</v>
      </c>
      <c r="O2230" s="2">
        <f t="shared" si="2215"/>
        <v>1200</v>
      </c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  <c r="AE2230" s="25"/>
      <c r="AF2230" s="25"/>
      <c r="AG2230" s="25"/>
    </row>
    <row r="2231" spans="1:33" s="5" customFormat="1" ht="15" customHeight="1">
      <c r="A2231" s="4">
        <v>42815</v>
      </c>
      <c r="B2231" s="5" t="s">
        <v>56</v>
      </c>
      <c r="C2231" s="5" t="s">
        <v>47</v>
      </c>
      <c r="D2231" s="5">
        <v>21100</v>
      </c>
      <c r="E2231" s="9">
        <v>40</v>
      </c>
      <c r="F2231" s="5" t="s">
        <v>8</v>
      </c>
      <c r="G2231" s="5">
        <v>225</v>
      </c>
      <c r="H2231" s="5">
        <v>190</v>
      </c>
      <c r="I2231" s="5">
        <v>0</v>
      </c>
      <c r="J2231" s="5">
        <v>0</v>
      </c>
      <c r="K2231" s="1">
        <f t="shared" si="2211"/>
        <v>-1400</v>
      </c>
      <c r="L2231" s="51">
        <v>0</v>
      </c>
      <c r="M2231" s="52">
        <f t="shared" si="2216"/>
        <v>0</v>
      </c>
      <c r="N2231" s="2">
        <f t="shared" si="2213"/>
        <v>-35</v>
      </c>
      <c r="O2231" s="2">
        <f t="shared" si="2215"/>
        <v>-1400</v>
      </c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</row>
    <row r="2232" spans="1:33" s="5" customFormat="1" ht="15" customHeight="1">
      <c r="A2232" s="4">
        <v>42815</v>
      </c>
      <c r="B2232" s="5" t="s">
        <v>70</v>
      </c>
      <c r="C2232" s="5" t="s">
        <v>47</v>
      </c>
      <c r="D2232" s="5">
        <v>160</v>
      </c>
      <c r="E2232" s="9">
        <v>6000</v>
      </c>
      <c r="F2232" s="5" t="s">
        <v>8</v>
      </c>
      <c r="G2232" s="5">
        <v>8.1999999999999993</v>
      </c>
      <c r="H2232" s="5">
        <v>8.4</v>
      </c>
      <c r="I2232" s="5">
        <v>0</v>
      </c>
      <c r="J2232" s="5">
        <v>0</v>
      </c>
      <c r="K2232" s="1">
        <f t="shared" si="2211"/>
        <v>1200.0000000000064</v>
      </c>
      <c r="L2232" s="51">
        <v>0</v>
      </c>
      <c r="M2232" s="52">
        <f t="shared" si="2216"/>
        <v>0</v>
      </c>
      <c r="N2232" s="2">
        <f t="shared" si="2213"/>
        <v>0.20000000000000107</v>
      </c>
      <c r="O2232" s="2">
        <f t="shared" si="2215"/>
        <v>1200.0000000000064</v>
      </c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  <c r="AE2232" s="25"/>
      <c r="AF2232" s="25"/>
      <c r="AG2232" s="25"/>
    </row>
    <row r="2233" spans="1:33" s="5" customFormat="1" ht="15" customHeight="1">
      <c r="A2233" s="4">
        <v>42815</v>
      </c>
      <c r="B2233" s="5" t="s">
        <v>79</v>
      </c>
      <c r="C2233" s="5" t="s">
        <v>47</v>
      </c>
      <c r="D2233" s="5">
        <v>165</v>
      </c>
      <c r="E2233" s="9">
        <v>3500</v>
      </c>
      <c r="F2233" s="5" t="s">
        <v>8</v>
      </c>
      <c r="G2233" s="5">
        <v>4.7</v>
      </c>
      <c r="H2233" s="5">
        <v>5</v>
      </c>
      <c r="I2233" s="5">
        <v>0</v>
      </c>
      <c r="J2233" s="5">
        <v>0</v>
      </c>
      <c r="K2233" s="1">
        <f t="shared" si="2211"/>
        <v>1049.9999999999993</v>
      </c>
      <c r="L2233" s="51">
        <v>0</v>
      </c>
      <c r="M2233" s="52">
        <f t="shared" si="2216"/>
        <v>0</v>
      </c>
      <c r="N2233" s="2">
        <f t="shared" si="2213"/>
        <v>0.29999999999999982</v>
      </c>
      <c r="O2233" s="2">
        <f t="shared" si="2215"/>
        <v>1049.9999999999993</v>
      </c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  <c r="AE2233" s="25"/>
      <c r="AF2233" s="25"/>
      <c r="AG2233" s="25"/>
    </row>
    <row r="2234" spans="1:33" s="5" customFormat="1" ht="15" customHeight="1">
      <c r="A2234" s="4">
        <v>42815</v>
      </c>
      <c r="B2234" s="5" t="s">
        <v>60</v>
      </c>
      <c r="C2234" s="5" t="s">
        <v>47</v>
      </c>
      <c r="D2234" s="5">
        <v>260</v>
      </c>
      <c r="E2234" s="9">
        <v>3500</v>
      </c>
      <c r="F2234" s="5" t="s">
        <v>8</v>
      </c>
      <c r="G2234" s="5">
        <v>7.5</v>
      </c>
      <c r="H2234" s="5">
        <v>7.8</v>
      </c>
      <c r="I2234" s="5">
        <v>0</v>
      </c>
      <c r="J2234" s="5">
        <v>0</v>
      </c>
      <c r="K2234" s="1">
        <f t="shared" si="2211"/>
        <v>1049.9999999999993</v>
      </c>
      <c r="L2234" s="51">
        <v>0</v>
      </c>
      <c r="M2234" s="52">
        <f t="shared" si="2216"/>
        <v>0</v>
      </c>
      <c r="N2234" s="2">
        <f t="shared" si="2213"/>
        <v>0.29999999999999982</v>
      </c>
      <c r="O2234" s="2">
        <f t="shared" si="2215"/>
        <v>1049.9999999999993</v>
      </c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  <c r="AE2234" s="25"/>
      <c r="AF2234" s="25"/>
      <c r="AG2234" s="25"/>
    </row>
    <row r="2235" spans="1:33" s="5" customFormat="1" ht="15" customHeight="1">
      <c r="A2235" s="4">
        <v>42814</v>
      </c>
      <c r="B2235" s="5" t="s">
        <v>55</v>
      </c>
      <c r="C2235" s="5" t="s">
        <v>47</v>
      </c>
      <c r="D2235" s="5">
        <v>165</v>
      </c>
      <c r="E2235" s="9">
        <v>3500</v>
      </c>
      <c r="F2235" s="5" t="s">
        <v>8</v>
      </c>
      <c r="G2235" s="5">
        <v>3.4</v>
      </c>
      <c r="H2235" s="5">
        <v>3.7</v>
      </c>
      <c r="I2235" s="5">
        <v>4.0999999999999996</v>
      </c>
      <c r="J2235" s="5">
        <v>0</v>
      </c>
      <c r="K2235" s="1">
        <f t="shared" si="2211"/>
        <v>1050.0000000000009</v>
      </c>
      <c r="L2235" s="51">
        <f t="shared" si="2212"/>
        <v>1399.9999999999982</v>
      </c>
      <c r="M2235" s="52">
        <v>0</v>
      </c>
      <c r="N2235" s="2">
        <f t="shared" si="2213"/>
        <v>0.69999999999999973</v>
      </c>
      <c r="O2235" s="2">
        <f t="shared" si="2215"/>
        <v>2449.9999999999991</v>
      </c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  <c r="AE2235" s="25"/>
      <c r="AF2235" s="25"/>
      <c r="AG2235" s="25"/>
    </row>
    <row r="2236" spans="1:33" s="5" customFormat="1" ht="15" customHeight="1">
      <c r="A2236" s="4">
        <v>42814</v>
      </c>
      <c r="B2236" s="5" t="s">
        <v>54</v>
      </c>
      <c r="C2236" s="5" t="s">
        <v>47</v>
      </c>
      <c r="D2236" s="5">
        <v>760</v>
      </c>
      <c r="E2236" s="9">
        <v>2000</v>
      </c>
      <c r="F2236" s="5" t="s">
        <v>8</v>
      </c>
      <c r="G2236" s="5">
        <v>17</v>
      </c>
      <c r="H2236" s="5">
        <v>17.5</v>
      </c>
      <c r="I2236" s="5">
        <v>0</v>
      </c>
      <c r="J2236" s="5">
        <v>0</v>
      </c>
      <c r="K2236" s="1">
        <f t="shared" si="2211"/>
        <v>1000</v>
      </c>
      <c r="L2236" s="51">
        <v>0</v>
      </c>
      <c r="M2236" s="52">
        <f t="shared" ref="M2236:M2242" si="2217">(IF(F2236="SELL",IF(J2236="",0,I2236-J2236),IF(F2236="BUY",IF(J2236="",0,(J2236-I2236)))))*E2236</f>
        <v>0</v>
      </c>
      <c r="N2236" s="2">
        <f t="shared" si="2213"/>
        <v>0.5</v>
      </c>
      <c r="O2236" s="2">
        <f t="shared" si="2215"/>
        <v>1000</v>
      </c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  <c r="AE2236" s="25"/>
      <c r="AF2236" s="25"/>
      <c r="AG2236" s="25"/>
    </row>
    <row r="2237" spans="1:33" s="5" customFormat="1" ht="15" customHeight="1">
      <c r="A2237" s="4">
        <v>42814</v>
      </c>
      <c r="B2237" s="5" t="s">
        <v>56</v>
      </c>
      <c r="C2237" s="5" t="s">
        <v>47</v>
      </c>
      <c r="D2237" s="5">
        <v>21000</v>
      </c>
      <c r="E2237" s="9">
        <v>40</v>
      </c>
      <c r="F2237" s="5" t="s">
        <v>8</v>
      </c>
      <c r="G2237" s="5">
        <v>225</v>
      </c>
      <c r="H2237" s="5">
        <v>240</v>
      </c>
      <c r="I2237" s="5">
        <v>0</v>
      </c>
      <c r="J2237" s="5">
        <v>0</v>
      </c>
      <c r="K2237" s="1">
        <f t="shared" si="2211"/>
        <v>600</v>
      </c>
      <c r="L2237" s="51">
        <v>0</v>
      </c>
      <c r="M2237" s="52">
        <f t="shared" si="2217"/>
        <v>0</v>
      </c>
      <c r="N2237" s="2">
        <f t="shared" si="2213"/>
        <v>15</v>
      </c>
      <c r="O2237" s="2">
        <f t="shared" si="2215"/>
        <v>600</v>
      </c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  <c r="AE2237" s="25"/>
      <c r="AF2237" s="25"/>
      <c r="AG2237" s="25"/>
    </row>
    <row r="2238" spans="1:33" s="5" customFormat="1" ht="15" customHeight="1">
      <c r="A2238" s="4">
        <v>42814</v>
      </c>
      <c r="B2238" s="5" t="s">
        <v>76</v>
      </c>
      <c r="C2238" s="5" t="s">
        <v>47</v>
      </c>
      <c r="D2238" s="5">
        <v>9100</v>
      </c>
      <c r="E2238" s="9">
        <v>75</v>
      </c>
      <c r="F2238" s="5" t="s">
        <v>8</v>
      </c>
      <c r="G2238" s="5">
        <v>94</v>
      </c>
      <c r="H2238" s="5">
        <v>95</v>
      </c>
      <c r="I2238" s="5">
        <v>0</v>
      </c>
      <c r="J2238" s="5">
        <v>0</v>
      </c>
      <c r="K2238" s="1">
        <f t="shared" si="2211"/>
        <v>75</v>
      </c>
      <c r="L2238" s="51">
        <v>0</v>
      </c>
      <c r="M2238" s="52">
        <f t="shared" si="2217"/>
        <v>0</v>
      </c>
      <c r="N2238" s="2">
        <f t="shared" si="2213"/>
        <v>1</v>
      </c>
      <c r="O2238" s="2">
        <f t="shared" si="2215"/>
        <v>75</v>
      </c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</row>
    <row r="2239" spans="1:33" s="5" customFormat="1" ht="15" customHeight="1">
      <c r="A2239" s="4">
        <v>42814</v>
      </c>
      <c r="B2239" s="5" t="s">
        <v>78</v>
      </c>
      <c r="C2239" s="5" t="s">
        <v>47</v>
      </c>
      <c r="D2239" s="5">
        <v>130</v>
      </c>
      <c r="E2239" s="9">
        <v>5000</v>
      </c>
      <c r="F2239" s="5" t="s">
        <v>8</v>
      </c>
      <c r="G2239" s="5">
        <v>6.5</v>
      </c>
      <c r="H2239" s="5">
        <v>6.7</v>
      </c>
      <c r="I2239" s="5">
        <v>0</v>
      </c>
      <c r="J2239" s="5">
        <v>0</v>
      </c>
      <c r="K2239" s="1">
        <f t="shared" si="2211"/>
        <v>1000.0000000000009</v>
      </c>
      <c r="L2239" s="51">
        <v>0</v>
      </c>
      <c r="M2239" s="52">
        <f t="shared" si="2217"/>
        <v>0</v>
      </c>
      <c r="N2239" s="2">
        <f t="shared" si="2213"/>
        <v>0.20000000000000018</v>
      </c>
      <c r="O2239" s="2">
        <f t="shared" si="2215"/>
        <v>1000.0000000000009</v>
      </c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  <c r="AE2239" s="25"/>
      <c r="AF2239" s="25"/>
      <c r="AG2239" s="25"/>
    </row>
    <row r="2240" spans="1:33" s="5" customFormat="1" ht="15" customHeight="1">
      <c r="A2240" s="4">
        <v>42814</v>
      </c>
      <c r="B2240" s="5" t="s">
        <v>70</v>
      </c>
      <c r="C2240" s="5" t="s">
        <v>47</v>
      </c>
      <c r="D2240" s="5">
        <v>160</v>
      </c>
      <c r="E2240" s="9">
        <v>6000</v>
      </c>
      <c r="F2240" s="5" t="s">
        <v>8</v>
      </c>
      <c r="G2240" s="5">
        <v>7.6</v>
      </c>
      <c r="H2240" s="5">
        <v>7.8</v>
      </c>
      <c r="I2240" s="5">
        <v>8.1</v>
      </c>
      <c r="J2240" s="5">
        <v>9</v>
      </c>
      <c r="K2240" s="1">
        <f t="shared" si="2211"/>
        <v>1200.0000000000011</v>
      </c>
      <c r="L2240" s="51">
        <f t="shared" si="2212"/>
        <v>1799.9999999999989</v>
      </c>
      <c r="M2240" s="52">
        <f t="shared" si="2217"/>
        <v>5400.0000000000018</v>
      </c>
      <c r="N2240" s="2">
        <f t="shared" si="2213"/>
        <v>1.4000000000000004</v>
      </c>
      <c r="O2240" s="2">
        <f t="shared" si="2215"/>
        <v>8400.0000000000018</v>
      </c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  <c r="AE2240" s="25"/>
      <c r="AF2240" s="25"/>
      <c r="AG2240" s="25"/>
    </row>
    <row r="2241" spans="1:33" s="5" customFormat="1" ht="15" customHeight="1">
      <c r="A2241" s="4">
        <v>42814</v>
      </c>
      <c r="B2241" s="5" t="s">
        <v>77</v>
      </c>
      <c r="C2241" s="5" t="s">
        <v>46</v>
      </c>
      <c r="D2241" s="5">
        <v>370</v>
      </c>
      <c r="E2241" s="9">
        <v>2000</v>
      </c>
      <c r="F2241" s="5" t="s">
        <v>8</v>
      </c>
      <c r="G2241" s="5">
        <v>3.3</v>
      </c>
      <c r="H2241" s="5">
        <v>3.3</v>
      </c>
      <c r="I2241" s="5">
        <v>0</v>
      </c>
      <c r="J2241" s="5">
        <v>0</v>
      </c>
      <c r="K2241" s="1">
        <f t="shared" si="2211"/>
        <v>0</v>
      </c>
      <c r="L2241" s="51">
        <v>0</v>
      </c>
      <c r="M2241" s="52">
        <f t="shared" si="2217"/>
        <v>0</v>
      </c>
      <c r="N2241" s="2">
        <f t="shared" si="2213"/>
        <v>0</v>
      </c>
      <c r="O2241" s="2">
        <f t="shared" si="2215"/>
        <v>0</v>
      </c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  <c r="AE2241" s="25"/>
      <c r="AF2241" s="25"/>
      <c r="AG2241" s="25"/>
    </row>
    <row r="2242" spans="1:33" s="5" customFormat="1" ht="15" customHeight="1">
      <c r="A2242" s="4">
        <v>42811</v>
      </c>
      <c r="B2242" s="5" t="s">
        <v>76</v>
      </c>
      <c r="C2242" s="5" t="s">
        <v>46</v>
      </c>
      <c r="D2242" s="5">
        <v>9100</v>
      </c>
      <c r="E2242" s="9">
        <v>75</v>
      </c>
      <c r="F2242" s="5" t="s">
        <v>8</v>
      </c>
      <c r="G2242" s="5">
        <v>38</v>
      </c>
      <c r="H2242" s="5">
        <v>43.35</v>
      </c>
      <c r="I2242" s="5">
        <v>0</v>
      </c>
      <c r="J2242" s="5">
        <v>0</v>
      </c>
      <c r="K2242" s="1">
        <f t="shared" si="2211"/>
        <v>401.25000000000011</v>
      </c>
      <c r="L2242" s="51">
        <v>0</v>
      </c>
      <c r="M2242" s="52">
        <f t="shared" si="2217"/>
        <v>0</v>
      </c>
      <c r="N2242" s="2">
        <f t="shared" si="2213"/>
        <v>5.3500000000000014</v>
      </c>
      <c r="O2242" s="2">
        <f t="shared" si="2215"/>
        <v>401.25000000000011</v>
      </c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  <c r="AE2242" s="25"/>
      <c r="AF2242" s="25"/>
      <c r="AG2242" s="25"/>
    </row>
    <row r="2243" spans="1:33" s="5" customFormat="1" ht="15" customHeight="1">
      <c r="A2243" s="4">
        <v>42811</v>
      </c>
      <c r="B2243" s="5" t="s">
        <v>18</v>
      </c>
      <c r="C2243" s="5" t="s">
        <v>46</v>
      </c>
      <c r="D2243" s="5">
        <v>600</v>
      </c>
      <c r="E2243" s="9">
        <v>1000</v>
      </c>
      <c r="F2243" s="5" t="s">
        <v>8</v>
      </c>
      <c r="G2243" s="5">
        <v>9.5</v>
      </c>
      <c r="H2243" s="5">
        <v>11</v>
      </c>
      <c r="I2243" s="5">
        <v>12.8</v>
      </c>
      <c r="J2243" s="5">
        <v>0</v>
      </c>
      <c r="K2243" s="1">
        <f t="shared" si="2211"/>
        <v>1500</v>
      </c>
      <c r="L2243" s="51">
        <f t="shared" si="2212"/>
        <v>1800.0000000000007</v>
      </c>
      <c r="M2243" s="52">
        <v>0</v>
      </c>
      <c r="N2243" s="2">
        <f t="shared" si="2213"/>
        <v>3.3000000000000007</v>
      </c>
      <c r="O2243" s="2">
        <f t="shared" si="2215"/>
        <v>3300.0000000000009</v>
      </c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  <c r="AE2243" s="25"/>
      <c r="AF2243" s="25"/>
      <c r="AG2243" s="25"/>
    </row>
    <row r="2244" spans="1:33" s="5" customFormat="1" ht="15" customHeight="1">
      <c r="A2244" s="4">
        <v>42811</v>
      </c>
      <c r="B2244" s="5" t="s">
        <v>75</v>
      </c>
      <c r="C2244" s="5" t="s">
        <v>46</v>
      </c>
      <c r="D2244" s="5">
        <v>1200</v>
      </c>
      <c r="E2244" s="9">
        <v>400</v>
      </c>
      <c r="F2244" s="5" t="s">
        <v>8</v>
      </c>
      <c r="G2244" s="5">
        <v>12</v>
      </c>
      <c r="H2244" s="5">
        <v>14</v>
      </c>
      <c r="I2244" s="5">
        <v>16</v>
      </c>
      <c r="J2244" s="5">
        <v>0</v>
      </c>
      <c r="K2244" s="1">
        <f t="shared" si="2211"/>
        <v>800</v>
      </c>
      <c r="L2244" s="51">
        <f t="shared" si="2212"/>
        <v>800</v>
      </c>
      <c r="M2244" s="52">
        <v>0</v>
      </c>
      <c r="N2244" s="2">
        <f t="shared" si="2213"/>
        <v>4</v>
      </c>
      <c r="O2244" s="2">
        <f t="shared" si="2215"/>
        <v>1600</v>
      </c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  <c r="AE2244" s="25"/>
      <c r="AF2244" s="25"/>
      <c r="AG2244" s="25"/>
    </row>
    <row r="2245" spans="1:33" s="5" customFormat="1" ht="15" customHeight="1">
      <c r="A2245" s="4">
        <v>42811</v>
      </c>
      <c r="B2245" s="5" t="s">
        <v>66</v>
      </c>
      <c r="C2245" s="5" t="s">
        <v>47</v>
      </c>
      <c r="D2245" s="5">
        <v>500</v>
      </c>
      <c r="E2245" s="9">
        <v>1000</v>
      </c>
      <c r="F2245" s="5" t="s">
        <v>8</v>
      </c>
      <c r="G2245" s="5">
        <v>8</v>
      </c>
      <c r="H2245" s="5">
        <v>5.6</v>
      </c>
      <c r="I2245" s="5">
        <v>0</v>
      </c>
      <c r="J2245" s="5">
        <v>0</v>
      </c>
      <c r="K2245" s="1">
        <f t="shared" si="2211"/>
        <v>-2400.0000000000005</v>
      </c>
      <c r="L2245" s="51">
        <v>0</v>
      </c>
      <c r="M2245" s="52">
        <f t="shared" ref="M2245:M2256" si="2218">(IF(F2245="SELL",IF(J2245="",0,I2245-J2245),IF(F2245="BUY",IF(J2245="",0,(J2245-I2245)))))*E2245</f>
        <v>0</v>
      </c>
      <c r="N2245" s="2">
        <f t="shared" si="2213"/>
        <v>-2.4000000000000004</v>
      </c>
      <c r="O2245" s="2">
        <f t="shared" si="2215"/>
        <v>-2400.0000000000005</v>
      </c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</row>
    <row r="2246" spans="1:33" s="5" customFormat="1" ht="15" customHeight="1">
      <c r="A2246" s="4">
        <v>42811</v>
      </c>
      <c r="B2246" s="5" t="s">
        <v>65</v>
      </c>
      <c r="C2246" s="5" t="s">
        <v>47</v>
      </c>
      <c r="D2246" s="5">
        <v>610</v>
      </c>
      <c r="E2246" s="9">
        <v>1200</v>
      </c>
      <c r="F2246" s="5" t="s">
        <v>8</v>
      </c>
      <c r="G2246" s="5">
        <v>18.5</v>
      </c>
      <c r="H2246" s="5">
        <v>18.5</v>
      </c>
      <c r="I2246" s="5">
        <v>0</v>
      </c>
      <c r="J2246" s="5">
        <v>0</v>
      </c>
      <c r="K2246" s="1">
        <f t="shared" si="2211"/>
        <v>0</v>
      </c>
      <c r="L2246" s="51">
        <v>0</v>
      </c>
      <c r="M2246" s="52">
        <f t="shared" si="2218"/>
        <v>0</v>
      </c>
      <c r="N2246" s="2">
        <f t="shared" si="2213"/>
        <v>0</v>
      </c>
      <c r="O2246" s="2">
        <f t="shared" si="2215"/>
        <v>0</v>
      </c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  <c r="AE2246" s="25"/>
      <c r="AF2246" s="25"/>
      <c r="AG2246" s="25"/>
    </row>
    <row r="2247" spans="1:33" s="5" customFormat="1" ht="15" customHeight="1">
      <c r="A2247" s="4">
        <v>42810</v>
      </c>
      <c r="B2247" s="5" t="s">
        <v>72</v>
      </c>
      <c r="C2247" s="5" t="s">
        <v>46</v>
      </c>
      <c r="D2247" s="5">
        <v>640</v>
      </c>
      <c r="E2247" s="9">
        <v>1200</v>
      </c>
      <c r="F2247" s="5" t="s">
        <v>8</v>
      </c>
      <c r="G2247" s="5">
        <v>18</v>
      </c>
      <c r="H2247" s="5">
        <v>18</v>
      </c>
      <c r="I2247" s="5">
        <v>0</v>
      </c>
      <c r="J2247" s="5">
        <v>0</v>
      </c>
      <c r="K2247" s="1">
        <f t="shared" si="2211"/>
        <v>0</v>
      </c>
      <c r="L2247" s="51">
        <v>0</v>
      </c>
      <c r="M2247" s="52">
        <f t="shared" si="2218"/>
        <v>0</v>
      </c>
      <c r="N2247" s="2">
        <f t="shared" si="2213"/>
        <v>0</v>
      </c>
      <c r="O2247" s="2">
        <f t="shared" si="2215"/>
        <v>0</v>
      </c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  <c r="AE2247" s="25"/>
      <c r="AF2247" s="25"/>
      <c r="AG2247" s="25"/>
    </row>
    <row r="2248" spans="1:33" s="5" customFormat="1" ht="15" customHeight="1">
      <c r="A2248" s="4">
        <v>42809</v>
      </c>
      <c r="B2248" s="5" t="s">
        <v>54</v>
      </c>
      <c r="C2248" s="5" t="s">
        <v>46</v>
      </c>
      <c r="D2248" s="5">
        <v>740</v>
      </c>
      <c r="E2248" s="9">
        <v>2000</v>
      </c>
      <c r="F2248" s="5" t="s">
        <v>8</v>
      </c>
      <c r="G2248" s="5">
        <v>19</v>
      </c>
      <c r="H2248" s="5">
        <v>21</v>
      </c>
      <c r="I2248" s="5">
        <v>0</v>
      </c>
      <c r="J2248" s="5">
        <v>0</v>
      </c>
      <c r="K2248" s="1">
        <f t="shared" si="2211"/>
        <v>4000</v>
      </c>
      <c r="L2248" s="51">
        <v>0</v>
      </c>
      <c r="M2248" s="52">
        <f t="shared" si="2218"/>
        <v>0</v>
      </c>
      <c r="N2248" s="2">
        <f t="shared" si="2213"/>
        <v>2</v>
      </c>
      <c r="O2248" s="2">
        <f t="shared" si="2215"/>
        <v>4000</v>
      </c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</row>
    <row r="2249" spans="1:33" s="5" customFormat="1" ht="15" customHeight="1">
      <c r="A2249" s="4">
        <v>42808</v>
      </c>
      <c r="B2249" s="5" t="s">
        <v>35</v>
      </c>
      <c r="C2249" s="5" t="s">
        <v>46</v>
      </c>
      <c r="D2249" s="5">
        <v>560</v>
      </c>
      <c r="E2249" s="9">
        <v>1100</v>
      </c>
      <c r="F2249" s="5" t="s">
        <v>8</v>
      </c>
      <c r="G2249" s="5">
        <v>12</v>
      </c>
      <c r="H2249" s="5">
        <v>12</v>
      </c>
      <c r="I2249" s="5">
        <v>0</v>
      </c>
      <c r="J2249" s="5">
        <v>0</v>
      </c>
      <c r="K2249" s="1">
        <f t="shared" si="2211"/>
        <v>0</v>
      </c>
      <c r="L2249" s="51">
        <v>0</v>
      </c>
      <c r="M2249" s="52">
        <f t="shared" si="2218"/>
        <v>0</v>
      </c>
      <c r="N2249" s="2">
        <f t="shared" si="2213"/>
        <v>0</v>
      </c>
      <c r="O2249" s="2">
        <f t="shared" si="2215"/>
        <v>0</v>
      </c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  <c r="AE2249" s="25"/>
      <c r="AF2249" s="25"/>
      <c r="AG2249" s="25"/>
    </row>
    <row r="2250" spans="1:33" s="5" customFormat="1" ht="15" customHeight="1">
      <c r="A2250" s="4">
        <v>42804</v>
      </c>
      <c r="B2250" s="5" t="s">
        <v>23</v>
      </c>
      <c r="C2250" s="5" t="s">
        <v>47</v>
      </c>
      <c r="D2250" s="5">
        <v>580</v>
      </c>
      <c r="E2250" s="9">
        <v>1300</v>
      </c>
      <c r="F2250" s="5" t="s">
        <v>8</v>
      </c>
      <c r="G2250" s="5">
        <v>23</v>
      </c>
      <c r="H2250" s="5">
        <v>23</v>
      </c>
      <c r="I2250" s="5">
        <v>0</v>
      </c>
      <c r="J2250" s="5">
        <v>0</v>
      </c>
      <c r="K2250" s="1">
        <f t="shared" si="2211"/>
        <v>0</v>
      </c>
      <c r="L2250" s="51">
        <v>0</v>
      </c>
      <c r="M2250" s="52">
        <f t="shared" si="2218"/>
        <v>0</v>
      </c>
      <c r="N2250" s="2">
        <f t="shared" si="2213"/>
        <v>0</v>
      </c>
      <c r="O2250" s="2">
        <f t="shared" si="2215"/>
        <v>0</v>
      </c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  <c r="AE2250" s="25"/>
      <c r="AF2250" s="25"/>
      <c r="AG2250" s="25"/>
    </row>
    <row r="2251" spans="1:33" s="5" customFormat="1" ht="15" customHeight="1">
      <c r="A2251" s="4">
        <v>42803</v>
      </c>
      <c r="B2251" s="5" t="s">
        <v>35</v>
      </c>
      <c r="C2251" s="5" t="s">
        <v>46</v>
      </c>
      <c r="D2251" s="5">
        <v>560</v>
      </c>
      <c r="E2251" s="9">
        <v>1100</v>
      </c>
      <c r="F2251" s="5" t="s">
        <v>8</v>
      </c>
      <c r="G2251" s="5">
        <v>12</v>
      </c>
      <c r="H2251" s="5">
        <v>12</v>
      </c>
      <c r="I2251" s="5">
        <v>0</v>
      </c>
      <c r="J2251" s="5">
        <v>0</v>
      </c>
      <c r="K2251" s="1">
        <f t="shared" si="2211"/>
        <v>0</v>
      </c>
      <c r="L2251" s="51">
        <v>0</v>
      </c>
      <c r="M2251" s="52">
        <f t="shared" si="2218"/>
        <v>0</v>
      </c>
      <c r="N2251" s="2">
        <f t="shared" si="2213"/>
        <v>0</v>
      </c>
      <c r="O2251" s="2">
        <f t="shared" si="2215"/>
        <v>0</v>
      </c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  <c r="AE2251" s="25"/>
      <c r="AF2251" s="25"/>
      <c r="AG2251" s="25"/>
    </row>
    <row r="2252" spans="1:33" s="5" customFormat="1" ht="15" customHeight="1">
      <c r="A2252" s="4">
        <v>42801</v>
      </c>
      <c r="B2252" s="5" t="s">
        <v>37</v>
      </c>
      <c r="C2252" s="5" t="s">
        <v>47</v>
      </c>
      <c r="D2252" s="5">
        <v>2500</v>
      </c>
      <c r="E2252" s="9">
        <v>250</v>
      </c>
      <c r="F2252" s="5" t="s">
        <v>8</v>
      </c>
      <c r="G2252" s="5">
        <v>51.7</v>
      </c>
      <c r="H2252" s="5">
        <v>53.15</v>
      </c>
      <c r="I2252" s="5">
        <v>0</v>
      </c>
      <c r="J2252" s="5">
        <v>0</v>
      </c>
      <c r="K2252" s="1">
        <f t="shared" si="2211"/>
        <v>362.49999999999892</v>
      </c>
      <c r="L2252" s="51">
        <v>0</v>
      </c>
      <c r="M2252" s="52">
        <f t="shared" si="2218"/>
        <v>0</v>
      </c>
      <c r="N2252" s="2">
        <f t="shared" si="2213"/>
        <v>1.4499999999999957</v>
      </c>
      <c r="O2252" s="2">
        <f t="shared" si="2215"/>
        <v>362.49999999999892</v>
      </c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</row>
    <row r="2253" spans="1:33" s="5" customFormat="1" ht="15" customHeight="1">
      <c r="A2253" s="4">
        <v>42801</v>
      </c>
      <c r="B2253" s="5" t="s">
        <v>24</v>
      </c>
      <c r="C2253" s="5" t="s">
        <v>47</v>
      </c>
      <c r="D2253" s="5">
        <v>460</v>
      </c>
      <c r="E2253" s="9">
        <v>2000</v>
      </c>
      <c r="F2253" s="5" t="s">
        <v>8</v>
      </c>
      <c r="G2253" s="5">
        <v>18.600000000000001</v>
      </c>
      <c r="H2253" s="5">
        <v>19.899999999999999</v>
      </c>
      <c r="I2253" s="5">
        <v>0</v>
      </c>
      <c r="J2253" s="5">
        <v>0</v>
      </c>
      <c r="K2253" s="1">
        <f t="shared" si="2211"/>
        <v>2599.9999999999945</v>
      </c>
      <c r="L2253" s="51">
        <v>0</v>
      </c>
      <c r="M2253" s="52">
        <f t="shared" si="2218"/>
        <v>0</v>
      </c>
      <c r="N2253" s="2">
        <f t="shared" si="2213"/>
        <v>1.2999999999999974</v>
      </c>
      <c r="O2253" s="2">
        <f t="shared" si="2215"/>
        <v>2599.9999999999945</v>
      </c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  <c r="AE2253" s="25"/>
      <c r="AF2253" s="25"/>
      <c r="AG2253" s="25"/>
    </row>
    <row r="2254" spans="1:33" s="5" customFormat="1" ht="15" customHeight="1">
      <c r="A2254" s="4">
        <v>42800</v>
      </c>
      <c r="B2254" s="5" t="s">
        <v>74</v>
      </c>
      <c r="C2254" s="5" t="s">
        <v>46</v>
      </c>
      <c r="D2254" s="5">
        <v>870</v>
      </c>
      <c r="E2254" s="9">
        <v>600</v>
      </c>
      <c r="F2254" s="5" t="s">
        <v>8</v>
      </c>
      <c r="G2254" s="5">
        <v>14</v>
      </c>
      <c r="H2254" s="5">
        <v>16.55</v>
      </c>
      <c r="I2254" s="5">
        <v>0</v>
      </c>
      <c r="J2254" s="5">
        <v>0</v>
      </c>
      <c r="K2254" s="1">
        <f t="shared" si="2211"/>
        <v>1530.0000000000005</v>
      </c>
      <c r="L2254" s="51">
        <v>0</v>
      </c>
      <c r="M2254" s="52">
        <f t="shared" si="2218"/>
        <v>0</v>
      </c>
      <c r="N2254" s="2">
        <f t="shared" si="2213"/>
        <v>2.5500000000000007</v>
      </c>
      <c r="O2254" s="2">
        <f t="shared" si="2215"/>
        <v>1530.0000000000005</v>
      </c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  <c r="AE2254" s="25"/>
      <c r="AF2254" s="25"/>
      <c r="AG2254" s="25"/>
    </row>
    <row r="2255" spans="1:33" s="5" customFormat="1" ht="15" customHeight="1">
      <c r="A2255" s="4">
        <v>42800</v>
      </c>
      <c r="B2255" s="5" t="s">
        <v>73</v>
      </c>
      <c r="C2255" s="5" t="s">
        <v>47</v>
      </c>
      <c r="D2255" s="5">
        <v>1500</v>
      </c>
      <c r="E2255" s="9">
        <v>500</v>
      </c>
      <c r="F2255" s="5" t="s">
        <v>8</v>
      </c>
      <c r="G2255" s="5">
        <v>28</v>
      </c>
      <c r="H2255" s="5">
        <v>29</v>
      </c>
      <c r="I2255" s="5">
        <v>0</v>
      </c>
      <c r="J2255" s="5">
        <v>0</v>
      </c>
      <c r="K2255" s="1">
        <f t="shared" si="2211"/>
        <v>500</v>
      </c>
      <c r="L2255" s="51">
        <v>0</v>
      </c>
      <c r="M2255" s="52">
        <f t="shared" si="2218"/>
        <v>0</v>
      </c>
      <c r="N2255" s="2">
        <f t="shared" si="2213"/>
        <v>1</v>
      </c>
      <c r="O2255" s="2">
        <f t="shared" si="2215"/>
        <v>500</v>
      </c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  <c r="AE2255" s="25"/>
      <c r="AF2255" s="25"/>
      <c r="AG2255" s="25"/>
    </row>
    <row r="2256" spans="1:33" s="5" customFormat="1" ht="15" customHeight="1">
      <c r="A2256" s="4">
        <v>42800</v>
      </c>
      <c r="B2256" s="5" t="s">
        <v>36</v>
      </c>
      <c r="C2256" s="5" t="s">
        <v>46</v>
      </c>
      <c r="D2256" s="5">
        <v>370</v>
      </c>
      <c r="E2256" s="9">
        <v>3000</v>
      </c>
      <c r="F2256" s="5" t="s">
        <v>8</v>
      </c>
      <c r="G2256" s="5">
        <v>10.199999999999999</v>
      </c>
      <c r="H2256" s="5">
        <v>9</v>
      </c>
      <c r="I2256" s="5">
        <v>0</v>
      </c>
      <c r="J2256" s="5">
        <v>0</v>
      </c>
      <c r="K2256" s="1">
        <f t="shared" si="2211"/>
        <v>-3599.9999999999977</v>
      </c>
      <c r="L2256" s="51">
        <v>0</v>
      </c>
      <c r="M2256" s="52">
        <f t="shared" si="2218"/>
        <v>0</v>
      </c>
      <c r="N2256" s="2">
        <f t="shared" si="2213"/>
        <v>-1.1999999999999993</v>
      </c>
      <c r="O2256" s="2">
        <f t="shared" si="2215"/>
        <v>-3599.9999999999977</v>
      </c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  <c r="AE2256" s="25"/>
      <c r="AF2256" s="25"/>
      <c r="AG2256" s="25"/>
    </row>
    <row r="2257" spans="1:33" s="5" customFormat="1" ht="15" customHeight="1">
      <c r="A2257" s="4">
        <v>42797</v>
      </c>
      <c r="B2257" s="5" t="s">
        <v>72</v>
      </c>
      <c r="C2257" s="5" t="s">
        <v>46</v>
      </c>
      <c r="D2257" s="5">
        <v>620</v>
      </c>
      <c r="E2257" s="9">
        <v>1200</v>
      </c>
      <c r="F2257" s="5" t="s">
        <v>8</v>
      </c>
      <c r="G2257" s="5">
        <v>17.2</v>
      </c>
      <c r="H2257" s="5">
        <v>19.2</v>
      </c>
      <c r="I2257" s="5">
        <v>21.2</v>
      </c>
      <c r="J2257" s="5">
        <v>0</v>
      </c>
      <c r="K2257" s="1">
        <f t="shared" si="2211"/>
        <v>2400</v>
      </c>
      <c r="L2257" s="51">
        <f t="shared" si="2212"/>
        <v>2400</v>
      </c>
      <c r="M2257" s="52">
        <v>0</v>
      </c>
      <c r="N2257" s="2">
        <f t="shared" si="2213"/>
        <v>4</v>
      </c>
      <c r="O2257" s="2">
        <f t="shared" si="2215"/>
        <v>4800</v>
      </c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  <c r="AE2257" s="25"/>
      <c r="AF2257" s="25"/>
      <c r="AG2257" s="25"/>
    </row>
    <row r="2258" spans="1:33" s="5" customFormat="1" ht="15" customHeight="1">
      <c r="A2258" s="4">
        <v>42797</v>
      </c>
      <c r="B2258" s="5" t="s">
        <v>37</v>
      </c>
      <c r="C2258" s="5" t="s">
        <v>47</v>
      </c>
      <c r="D2258" s="5">
        <v>2500</v>
      </c>
      <c r="E2258" s="9">
        <v>250</v>
      </c>
      <c r="F2258" s="5" t="s">
        <v>8</v>
      </c>
      <c r="G2258" s="5">
        <v>59</v>
      </c>
      <c r="H2258" s="5">
        <v>59</v>
      </c>
      <c r="I2258" s="5">
        <v>0</v>
      </c>
      <c r="J2258" s="5">
        <v>0</v>
      </c>
      <c r="K2258" s="1">
        <f t="shared" si="2211"/>
        <v>0</v>
      </c>
      <c r="L2258" s="51">
        <v>0</v>
      </c>
      <c r="M2258" s="52">
        <f t="shared" ref="M2258:M2279" si="2219">(IF(F2258="SELL",IF(J2258="",0,I2258-J2258),IF(F2258="BUY",IF(J2258="",0,(J2258-I2258)))))*E2258</f>
        <v>0</v>
      </c>
      <c r="N2258" s="2">
        <f t="shared" si="2213"/>
        <v>0</v>
      </c>
      <c r="O2258" s="2">
        <f t="shared" si="2215"/>
        <v>0</v>
      </c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  <c r="AE2258" s="25"/>
      <c r="AF2258" s="25"/>
      <c r="AG2258" s="25"/>
    </row>
    <row r="2259" spans="1:33" s="5" customFormat="1" ht="15" customHeight="1">
      <c r="A2259" s="4">
        <v>42796</v>
      </c>
      <c r="B2259" s="5" t="s">
        <v>71</v>
      </c>
      <c r="C2259" s="5" t="s">
        <v>46</v>
      </c>
      <c r="D2259" s="5">
        <v>185</v>
      </c>
      <c r="E2259" s="9">
        <v>3000</v>
      </c>
      <c r="F2259" s="5" t="s">
        <v>8</v>
      </c>
      <c r="G2259" s="5">
        <v>6.5</v>
      </c>
      <c r="H2259" s="5">
        <v>6.5</v>
      </c>
      <c r="I2259" s="5">
        <v>0</v>
      </c>
      <c r="J2259" s="5">
        <v>0</v>
      </c>
      <c r="K2259" s="1">
        <f t="shared" si="2211"/>
        <v>0</v>
      </c>
      <c r="L2259" s="51">
        <v>0</v>
      </c>
      <c r="M2259" s="52">
        <f t="shared" si="2219"/>
        <v>0</v>
      </c>
      <c r="N2259" s="2">
        <f t="shared" si="2213"/>
        <v>0</v>
      </c>
      <c r="O2259" s="2">
        <f t="shared" si="2215"/>
        <v>0</v>
      </c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  <c r="AE2259" s="25"/>
      <c r="AF2259" s="25"/>
      <c r="AG2259" s="25"/>
    </row>
    <row r="2260" spans="1:33" s="5" customFormat="1" ht="15" customHeight="1">
      <c r="A2260" s="4">
        <v>42795</v>
      </c>
      <c r="B2260" s="5" t="s">
        <v>70</v>
      </c>
      <c r="C2260" s="5" t="s">
        <v>47</v>
      </c>
      <c r="D2260" s="5">
        <v>155</v>
      </c>
      <c r="E2260" s="9">
        <v>6000</v>
      </c>
      <c r="F2260" s="5" t="s">
        <v>8</v>
      </c>
      <c r="G2260" s="5">
        <v>6</v>
      </c>
      <c r="H2260" s="5">
        <v>6</v>
      </c>
      <c r="I2260" s="5">
        <v>0</v>
      </c>
      <c r="J2260" s="5">
        <v>0</v>
      </c>
      <c r="K2260" s="1">
        <f t="shared" si="2211"/>
        <v>0</v>
      </c>
      <c r="L2260" s="51">
        <v>0</v>
      </c>
      <c r="M2260" s="52">
        <f t="shared" si="2219"/>
        <v>0</v>
      </c>
      <c r="N2260" s="2">
        <f t="shared" si="2213"/>
        <v>0</v>
      </c>
      <c r="O2260" s="2">
        <f t="shared" si="2215"/>
        <v>0</v>
      </c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  <c r="AE2260" s="25"/>
      <c r="AF2260" s="25"/>
      <c r="AG2260" s="25"/>
    </row>
    <row r="2261" spans="1:33" s="5" customFormat="1" ht="15" customHeight="1">
      <c r="A2261" s="4">
        <v>42795</v>
      </c>
      <c r="B2261" s="5" t="s">
        <v>69</v>
      </c>
      <c r="C2261" s="5" t="s">
        <v>47</v>
      </c>
      <c r="D2261" s="5">
        <v>370</v>
      </c>
      <c r="E2261" s="9">
        <v>2500</v>
      </c>
      <c r="F2261" s="5" t="s">
        <v>8</v>
      </c>
      <c r="G2261" s="5">
        <v>11.5</v>
      </c>
      <c r="H2261" s="5">
        <v>11.5</v>
      </c>
      <c r="I2261" s="5">
        <v>0</v>
      </c>
      <c r="J2261" s="5">
        <v>0</v>
      </c>
      <c r="K2261" s="1">
        <f t="shared" si="2211"/>
        <v>0</v>
      </c>
      <c r="L2261" s="51">
        <v>0</v>
      </c>
      <c r="M2261" s="52">
        <f t="shared" si="2219"/>
        <v>0</v>
      </c>
      <c r="N2261" s="2">
        <f t="shared" si="2213"/>
        <v>0</v>
      </c>
      <c r="O2261" s="2">
        <f t="shared" si="2215"/>
        <v>0</v>
      </c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  <c r="AE2261" s="25"/>
      <c r="AF2261" s="25"/>
      <c r="AG2261" s="25"/>
    </row>
    <row r="2262" spans="1:33" s="5" customFormat="1" ht="15" customHeight="1">
      <c r="A2262" s="4">
        <v>42795</v>
      </c>
      <c r="B2262" s="5" t="s">
        <v>68</v>
      </c>
      <c r="C2262" s="5" t="s">
        <v>47</v>
      </c>
      <c r="D2262" s="5">
        <v>1200</v>
      </c>
      <c r="E2262" s="9">
        <v>700</v>
      </c>
      <c r="F2262" s="5" t="s">
        <v>8</v>
      </c>
      <c r="G2262" s="5">
        <v>48</v>
      </c>
      <c r="H2262" s="5">
        <v>48</v>
      </c>
      <c r="I2262" s="5">
        <v>0</v>
      </c>
      <c r="J2262" s="5">
        <v>0</v>
      </c>
      <c r="K2262" s="1">
        <f t="shared" si="2211"/>
        <v>0</v>
      </c>
      <c r="L2262" s="51">
        <v>0</v>
      </c>
      <c r="M2262" s="52">
        <f t="shared" si="2219"/>
        <v>0</v>
      </c>
      <c r="N2262" s="2">
        <f t="shared" si="2213"/>
        <v>0</v>
      </c>
      <c r="O2262" s="2">
        <f t="shared" si="2215"/>
        <v>0</v>
      </c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  <c r="AE2262" s="25"/>
      <c r="AF2262" s="25"/>
      <c r="AG2262" s="25"/>
    </row>
    <row r="2263" spans="1:33" s="5" customFormat="1" ht="15" customHeight="1">
      <c r="A2263" s="4">
        <v>42794</v>
      </c>
      <c r="B2263" s="5" t="s">
        <v>67</v>
      </c>
      <c r="C2263" s="5" t="s">
        <v>47</v>
      </c>
      <c r="D2263" s="5">
        <v>740</v>
      </c>
      <c r="E2263" s="9">
        <v>1200</v>
      </c>
      <c r="F2263" s="5" t="s">
        <v>8</v>
      </c>
      <c r="G2263" s="5">
        <v>21</v>
      </c>
      <c r="H2263" s="5">
        <v>18</v>
      </c>
      <c r="I2263" s="5">
        <v>0</v>
      </c>
      <c r="J2263" s="5">
        <v>0</v>
      </c>
      <c r="K2263" s="1">
        <f t="shared" si="2211"/>
        <v>-3600</v>
      </c>
      <c r="L2263" s="51">
        <v>0</v>
      </c>
      <c r="M2263" s="52">
        <f t="shared" si="2219"/>
        <v>0</v>
      </c>
      <c r="N2263" s="2">
        <f t="shared" si="2213"/>
        <v>-3</v>
      </c>
      <c r="O2263" s="2">
        <f t="shared" si="2215"/>
        <v>-3600</v>
      </c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  <c r="AE2263" s="25"/>
      <c r="AF2263" s="25"/>
      <c r="AG2263" s="25"/>
    </row>
    <row r="2264" spans="1:33" s="5" customFormat="1" ht="15" customHeight="1">
      <c r="A2264" s="4">
        <v>42794</v>
      </c>
      <c r="B2264" s="5" t="s">
        <v>28</v>
      </c>
      <c r="C2264" s="5" t="s">
        <v>47</v>
      </c>
      <c r="D2264" s="5">
        <v>400</v>
      </c>
      <c r="E2264" s="9">
        <v>1700</v>
      </c>
      <c r="F2264" s="5" t="s">
        <v>8</v>
      </c>
      <c r="G2264" s="5">
        <v>10</v>
      </c>
      <c r="H2264" s="5">
        <v>10</v>
      </c>
      <c r="I2264" s="5">
        <v>0</v>
      </c>
      <c r="J2264" s="5">
        <v>0</v>
      </c>
      <c r="K2264" s="1">
        <f t="shared" si="2211"/>
        <v>0</v>
      </c>
      <c r="L2264" s="51">
        <v>0</v>
      </c>
      <c r="M2264" s="52">
        <f t="shared" si="2219"/>
        <v>0</v>
      </c>
      <c r="N2264" s="2">
        <f t="shared" si="2213"/>
        <v>0</v>
      </c>
      <c r="O2264" s="2">
        <f t="shared" si="2215"/>
        <v>0</v>
      </c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</row>
    <row r="2265" spans="1:33" s="5" customFormat="1" ht="15" customHeight="1">
      <c r="A2265" s="4">
        <v>42789</v>
      </c>
      <c r="B2265" s="5" t="s">
        <v>35</v>
      </c>
      <c r="C2265" s="5" t="s">
        <v>47</v>
      </c>
      <c r="D2265" s="5">
        <v>600</v>
      </c>
      <c r="E2265" s="9">
        <v>1100</v>
      </c>
      <c r="F2265" s="5" t="s">
        <v>8</v>
      </c>
      <c r="G2265" s="5">
        <v>9</v>
      </c>
      <c r="H2265" s="5">
        <v>9</v>
      </c>
      <c r="I2265" s="5">
        <v>0</v>
      </c>
      <c r="J2265" s="5">
        <v>0</v>
      </c>
      <c r="K2265" s="1">
        <f t="shared" si="2211"/>
        <v>0</v>
      </c>
      <c r="L2265" s="51">
        <v>0</v>
      </c>
      <c r="M2265" s="52">
        <f t="shared" si="2219"/>
        <v>0</v>
      </c>
      <c r="N2265" s="2">
        <f t="shared" si="2213"/>
        <v>0</v>
      </c>
      <c r="O2265" s="2">
        <f t="shared" si="2215"/>
        <v>0</v>
      </c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</row>
    <row r="2266" spans="1:33" s="5" customFormat="1" ht="15" customHeight="1">
      <c r="A2266" s="4">
        <v>42789</v>
      </c>
      <c r="B2266" s="5" t="s">
        <v>33</v>
      </c>
      <c r="C2266" s="5" t="s">
        <v>47</v>
      </c>
      <c r="D2266" s="5">
        <v>540</v>
      </c>
      <c r="E2266" s="9">
        <v>1500</v>
      </c>
      <c r="F2266" s="5" t="s">
        <v>8</v>
      </c>
      <c r="G2266" s="5">
        <v>6.8</v>
      </c>
      <c r="H2266" s="5">
        <v>4.8</v>
      </c>
      <c r="I2266" s="5">
        <v>0</v>
      </c>
      <c r="J2266" s="5">
        <v>0</v>
      </c>
      <c r="K2266" s="1">
        <f t="shared" si="2211"/>
        <v>-3000</v>
      </c>
      <c r="L2266" s="51">
        <v>0</v>
      </c>
      <c r="M2266" s="52">
        <f t="shared" si="2219"/>
        <v>0</v>
      </c>
      <c r="N2266" s="2">
        <f t="shared" si="2213"/>
        <v>-2</v>
      </c>
      <c r="O2266" s="2">
        <f t="shared" si="2215"/>
        <v>-3000</v>
      </c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</row>
    <row r="2267" spans="1:33" s="5" customFormat="1" ht="15" customHeight="1">
      <c r="A2267" s="4">
        <v>42788</v>
      </c>
      <c r="B2267" s="5" t="s">
        <v>17</v>
      </c>
      <c r="C2267" s="5" t="s">
        <v>47</v>
      </c>
      <c r="D2267" s="5">
        <v>520</v>
      </c>
      <c r="E2267" s="9">
        <v>1200</v>
      </c>
      <c r="F2267" s="5" t="s">
        <v>8</v>
      </c>
      <c r="G2267" s="5">
        <v>5</v>
      </c>
      <c r="H2267" s="5">
        <v>6</v>
      </c>
      <c r="I2267" s="5">
        <v>7</v>
      </c>
      <c r="J2267" s="5">
        <v>8</v>
      </c>
      <c r="K2267" s="1">
        <f t="shared" ref="K2267:K2279" si="2220">(IF(F2267="SELL",G2267-H2267,IF(F2267="BUY",H2267-G2267)))*E2267</f>
        <v>1200</v>
      </c>
      <c r="L2267" s="51">
        <f t="shared" ref="L2267:L2278" si="2221">(IF(F2267="SELL",IF(I2267="",0,H2267-I2267),IF(F2267="BUY",IF(I2267="",0,I2267-H2267))))*E2267</f>
        <v>1200</v>
      </c>
      <c r="M2267" s="52">
        <f t="shared" si="2219"/>
        <v>1200</v>
      </c>
      <c r="N2267" s="2">
        <f t="shared" si="2213"/>
        <v>3</v>
      </c>
      <c r="O2267" s="2">
        <f t="shared" si="2215"/>
        <v>3600</v>
      </c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  <c r="AE2267" s="25"/>
      <c r="AF2267" s="25"/>
      <c r="AG2267" s="25"/>
    </row>
    <row r="2268" spans="1:33" s="5" customFormat="1" ht="15" customHeight="1">
      <c r="A2268" s="4">
        <v>42788</v>
      </c>
      <c r="B2268" s="5" t="s">
        <v>28</v>
      </c>
      <c r="C2268" s="5" t="s">
        <v>46</v>
      </c>
      <c r="D2268" s="5">
        <v>370</v>
      </c>
      <c r="E2268" s="9">
        <v>1700</v>
      </c>
      <c r="F2268" s="5" t="s">
        <v>8</v>
      </c>
      <c r="G2268" s="5">
        <v>6.2</v>
      </c>
      <c r="H2268" s="5">
        <v>7.2</v>
      </c>
      <c r="I2268" s="5">
        <v>8.1999999999999993</v>
      </c>
      <c r="J2268" s="5">
        <v>9.1999999999999993</v>
      </c>
      <c r="K2268" s="1">
        <f t="shared" si="2220"/>
        <v>1700</v>
      </c>
      <c r="L2268" s="51">
        <f t="shared" si="2221"/>
        <v>1699.9999999999984</v>
      </c>
      <c r="M2268" s="52">
        <f t="shared" si="2219"/>
        <v>1700</v>
      </c>
      <c r="N2268" s="2">
        <f t="shared" si="2213"/>
        <v>2.9999999999999991</v>
      </c>
      <c r="O2268" s="2">
        <f t="shared" si="2215"/>
        <v>5099.9999999999982</v>
      </c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  <c r="AE2268" s="25"/>
      <c r="AF2268" s="25"/>
      <c r="AG2268" s="25"/>
    </row>
    <row r="2269" spans="1:33" s="5" customFormat="1" ht="15" customHeight="1">
      <c r="A2269" s="4">
        <v>42787</v>
      </c>
      <c r="B2269" s="5" t="s">
        <v>66</v>
      </c>
      <c r="C2269" s="5" t="s">
        <v>47</v>
      </c>
      <c r="D2269" s="5">
        <v>420</v>
      </c>
      <c r="E2269" s="9">
        <v>1000</v>
      </c>
      <c r="F2269" s="5" t="s">
        <v>8</v>
      </c>
      <c r="G2269" s="5">
        <v>4</v>
      </c>
      <c r="H2269" s="5">
        <v>5</v>
      </c>
      <c r="I2269" s="5">
        <v>6</v>
      </c>
      <c r="J2269" s="5">
        <v>7</v>
      </c>
      <c r="K2269" s="1">
        <f t="shared" si="2220"/>
        <v>1000</v>
      </c>
      <c r="L2269" s="51">
        <f t="shared" si="2221"/>
        <v>1000</v>
      </c>
      <c r="M2269" s="52">
        <f t="shared" si="2219"/>
        <v>1000</v>
      </c>
      <c r="N2269" s="2">
        <f t="shared" ref="N2269:N2332" si="2222">(L2269+K2269+M2269)/E2269</f>
        <v>3</v>
      </c>
      <c r="O2269" s="2">
        <f t="shared" si="2215"/>
        <v>3000</v>
      </c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  <c r="AE2269" s="25"/>
      <c r="AF2269" s="25"/>
      <c r="AG2269" s="25"/>
    </row>
    <row r="2270" spans="1:33" s="5" customFormat="1" ht="15" customHeight="1">
      <c r="A2270" s="4">
        <v>42787</v>
      </c>
      <c r="B2270" s="5" t="s">
        <v>26</v>
      </c>
      <c r="C2270" s="5" t="s">
        <v>47</v>
      </c>
      <c r="D2270" s="5">
        <v>490</v>
      </c>
      <c r="E2270" s="9">
        <v>2000</v>
      </c>
      <c r="F2270" s="5" t="s">
        <v>8</v>
      </c>
      <c r="G2270" s="5">
        <v>7</v>
      </c>
      <c r="H2270" s="5">
        <v>7.5</v>
      </c>
      <c r="I2270" s="5">
        <v>8</v>
      </c>
      <c r="J2270" s="5">
        <v>8.5</v>
      </c>
      <c r="K2270" s="1">
        <f t="shared" si="2220"/>
        <v>1000</v>
      </c>
      <c r="L2270" s="51">
        <f t="shared" si="2221"/>
        <v>1000</v>
      </c>
      <c r="M2270" s="52">
        <f t="shared" si="2219"/>
        <v>1000</v>
      </c>
      <c r="N2270" s="2">
        <f t="shared" si="2222"/>
        <v>1.5</v>
      </c>
      <c r="O2270" s="2">
        <f t="shared" si="2215"/>
        <v>3000</v>
      </c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  <c r="AE2270" s="25"/>
      <c r="AF2270" s="25"/>
      <c r="AG2270" s="25"/>
    </row>
    <row r="2271" spans="1:33" s="5" customFormat="1" ht="15" customHeight="1">
      <c r="A2271" s="4">
        <v>42787</v>
      </c>
      <c r="B2271" s="5" t="s">
        <v>26</v>
      </c>
      <c r="C2271" s="5" t="s">
        <v>47</v>
      </c>
      <c r="D2271" s="5">
        <v>480</v>
      </c>
      <c r="E2271" s="9">
        <v>2000</v>
      </c>
      <c r="F2271" s="5" t="s">
        <v>8</v>
      </c>
      <c r="G2271" s="5">
        <v>6</v>
      </c>
      <c r="H2271" s="5">
        <v>6.5</v>
      </c>
      <c r="I2271" s="5">
        <v>7</v>
      </c>
      <c r="J2271" s="5">
        <v>7.5</v>
      </c>
      <c r="K2271" s="1">
        <f t="shared" si="2220"/>
        <v>1000</v>
      </c>
      <c r="L2271" s="51">
        <f t="shared" si="2221"/>
        <v>1000</v>
      </c>
      <c r="M2271" s="52">
        <f t="shared" si="2219"/>
        <v>1000</v>
      </c>
      <c r="N2271" s="2">
        <f t="shared" si="2222"/>
        <v>1.5</v>
      </c>
      <c r="O2271" s="2">
        <f t="shared" si="2215"/>
        <v>3000</v>
      </c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  <c r="AE2271" s="25"/>
      <c r="AF2271" s="25"/>
      <c r="AG2271" s="25"/>
    </row>
    <row r="2272" spans="1:33" s="5" customFormat="1" ht="15" customHeight="1">
      <c r="A2272" s="4">
        <v>42786</v>
      </c>
      <c r="B2272" s="5" t="s">
        <v>34</v>
      </c>
      <c r="C2272" s="5" t="s">
        <v>46</v>
      </c>
      <c r="D2272" s="5">
        <v>180</v>
      </c>
      <c r="E2272" s="9">
        <v>3500</v>
      </c>
      <c r="F2272" s="5" t="s">
        <v>8</v>
      </c>
      <c r="G2272" s="5">
        <v>3.2</v>
      </c>
      <c r="H2272" s="5">
        <v>2.2000000000000002</v>
      </c>
      <c r="I2272" s="5">
        <v>0</v>
      </c>
      <c r="J2272" s="5">
        <v>0</v>
      </c>
      <c r="K2272" s="1">
        <f t="shared" si="2220"/>
        <v>-3500</v>
      </c>
      <c r="L2272" s="51">
        <v>0</v>
      </c>
      <c r="M2272" s="52">
        <f t="shared" si="2219"/>
        <v>0</v>
      </c>
      <c r="N2272" s="2">
        <f t="shared" si="2222"/>
        <v>-1</v>
      </c>
      <c r="O2272" s="2">
        <f t="shared" si="2215"/>
        <v>-3500</v>
      </c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  <c r="AE2272" s="25"/>
      <c r="AF2272" s="25"/>
      <c r="AG2272" s="25"/>
    </row>
    <row r="2273" spans="1:33">
      <c r="A2273" s="4">
        <v>42786</v>
      </c>
      <c r="B2273" s="5" t="s">
        <v>54</v>
      </c>
      <c r="C2273" s="5" t="s">
        <v>46</v>
      </c>
      <c r="D2273" s="5">
        <v>650</v>
      </c>
      <c r="E2273" s="9">
        <v>2000</v>
      </c>
      <c r="F2273" s="5" t="s">
        <v>8</v>
      </c>
      <c r="G2273" s="5">
        <v>4.5</v>
      </c>
      <c r="H2273" s="5">
        <v>5</v>
      </c>
      <c r="I2273" s="5">
        <v>0</v>
      </c>
      <c r="J2273" s="5">
        <v>0</v>
      </c>
      <c r="K2273" s="1">
        <f t="shared" si="2220"/>
        <v>1000</v>
      </c>
      <c r="L2273" s="51">
        <v>0</v>
      </c>
      <c r="M2273" s="52">
        <f t="shared" si="2219"/>
        <v>0</v>
      </c>
      <c r="N2273" s="2">
        <f t="shared" si="2222"/>
        <v>0.5</v>
      </c>
      <c r="O2273" s="2">
        <f t="shared" si="2215"/>
        <v>1000</v>
      </c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</row>
    <row r="2274" spans="1:33">
      <c r="A2274" s="4">
        <v>42786</v>
      </c>
      <c r="B2274" s="5" t="s">
        <v>64</v>
      </c>
      <c r="C2274" s="5" t="s">
        <v>47</v>
      </c>
      <c r="D2274" s="5">
        <v>740</v>
      </c>
      <c r="E2274" s="9">
        <v>600</v>
      </c>
      <c r="F2274" s="5" t="s">
        <v>8</v>
      </c>
      <c r="G2274" s="5">
        <v>11</v>
      </c>
      <c r="H2274" s="5">
        <v>13</v>
      </c>
      <c r="I2274" s="5">
        <v>0</v>
      </c>
      <c r="J2274" s="5">
        <v>0</v>
      </c>
      <c r="K2274" s="1">
        <f t="shared" si="2220"/>
        <v>1200</v>
      </c>
      <c r="L2274" s="51">
        <v>0</v>
      </c>
      <c r="M2274" s="52">
        <f t="shared" si="2219"/>
        <v>0</v>
      </c>
      <c r="N2274" s="2">
        <f t="shared" si="2222"/>
        <v>2</v>
      </c>
      <c r="O2274" s="2">
        <f t="shared" si="2215"/>
        <v>1200</v>
      </c>
      <c r="P2274" s="24"/>
      <c r="Q2274" s="24"/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</row>
    <row r="2275" spans="1:33">
      <c r="A2275" s="4">
        <v>42783</v>
      </c>
      <c r="B2275" s="5" t="s">
        <v>11</v>
      </c>
      <c r="C2275" s="5" t="s">
        <v>47</v>
      </c>
      <c r="D2275" s="5">
        <v>900</v>
      </c>
      <c r="E2275" s="9">
        <v>1000</v>
      </c>
      <c r="F2275" s="5" t="s">
        <v>8</v>
      </c>
      <c r="G2275" s="5">
        <v>7</v>
      </c>
      <c r="H2275" s="5">
        <v>8</v>
      </c>
      <c r="I2275" s="5">
        <v>9</v>
      </c>
      <c r="J2275" s="5">
        <v>10</v>
      </c>
      <c r="K2275" s="1">
        <f t="shared" si="2220"/>
        <v>1000</v>
      </c>
      <c r="L2275" s="51">
        <f t="shared" si="2221"/>
        <v>1000</v>
      </c>
      <c r="M2275" s="52">
        <f t="shared" si="2219"/>
        <v>1000</v>
      </c>
      <c r="N2275" s="2">
        <f t="shared" si="2222"/>
        <v>3</v>
      </c>
      <c r="O2275" s="2">
        <f t="shared" si="2215"/>
        <v>3000</v>
      </c>
      <c r="P2275" s="24"/>
      <c r="Q2275" s="24"/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</row>
    <row r="2276" spans="1:33">
      <c r="A2276" s="4">
        <v>42783</v>
      </c>
      <c r="B2276" s="5" t="s">
        <v>26</v>
      </c>
      <c r="C2276" s="5" t="s">
        <v>46</v>
      </c>
      <c r="D2276" s="5">
        <v>450</v>
      </c>
      <c r="E2276" s="9">
        <v>2000</v>
      </c>
      <c r="F2276" s="5" t="s">
        <v>8</v>
      </c>
      <c r="G2276" s="5">
        <v>4.4000000000000004</v>
      </c>
      <c r="H2276" s="5">
        <v>3.4</v>
      </c>
      <c r="I2276" s="5">
        <v>0</v>
      </c>
      <c r="J2276" s="5">
        <v>0</v>
      </c>
      <c r="K2276" s="1">
        <f t="shared" si="2220"/>
        <v>-2000.0000000000009</v>
      </c>
      <c r="L2276" s="51">
        <v>0</v>
      </c>
      <c r="M2276" s="52">
        <f t="shared" si="2219"/>
        <v>0</v>
      </c>
      <c r="N2276" s="2">
        <f t="shared" si="2222"/>
        <v>-1.0000000000000004</v>
      </c>
      <c r="O2276" s="2">
        <f t="shared" si="2215"/>
        <v>-2000.0000000000009</v>
      </c>
    </row>
    <row r="2277" spans="1:33">
      <c r="A2277" s="4">
        <v>42782</v>
      </c>
      <c r="B2277" s="5" t="s">
        <v>30</v>
      </c>
      <c r="C2277" s="5" t="s">
        <v>46</v>
      </c>
      <c r="D2277" s="5">
        <v>275</v>
      </c>
      <c r="E2277" s="9">
        <v>2500</v>
      </c>
      <c r="F2277" s="5" t="s">
        <v>8</v>
      </c>
      <c r="G2277" s="5">
        <v>4</v>
      </c>
      <c r="H2277" s="5">
        <v>3</v>
      </c>
      <c r="I2277" s="5">
        <v>0</v>
      </c>
      <c r="J2277" s="5">
        <v>0</v>
      </c>
      <c r="K2277" s="1">
        <f t="shared" si="2220"/>
        <v>-2500</v>
      </c>
      <c r="L2277" s="51">
        <v>0</v>
      </c>
      <c r="M2277" s="52">
        <f t="shared" si="2219"/>
        <v>0</v>
      </c>
      <c r="N2277" s="2">
        <f t="shared" si="2222"/>
        <v>-1</v>
      </c>
      <c r="O2277" s="2">
        <f t="shared" si="2215"/>
        <v>-2500</v>
      </c>
    </row>
    <row r="2278" spans="1:33">
      <c r="A2278" s="4">
        <v>42782</v>
      </c>
      <c r="B2278" s="5" t="s">
        <v>63</v>
      </c>
      <c r="C2278" s="5" t="s">
        <v>46</v>
      </c>
      <c r="D2278" s="5">
        <v>520</v>
      </c>
      <c r="E2278" s="9">
        <v>2100</v>
      </c>
      <c r="F2278" s="5" t="s">
        <v>8</v>
      </c>
      <c r="G2278" s="5">
        <v>4.5</v>
      </c>
      <c r="H2278" s="5">
        <v>5</v>
      </c>
      <c r="I2278" s="5">
        <v>5.5</v>
      </c>
      <c r="J2278" s="5">
        <v>6</v>
      </c>
      <c r="K2278" s="1">
        <f t="shared" si="2220"/>
        <v>1050</v>
      </c>
      <c r="L2278" s="51">
        <f t="shared" si="2221"/>
        <v>1050</v>
      </c>
      <c r="M2278" s="52">
        <f t="shared" si="2219"/>
        <v>1050</v>
      </c>
      <c r="N2278" s="2">
        <f t="shared" si="2222"/>
        <v>1.5</v>
      </c>
      <c r="O2278" s="2">
        <f t="shared" si="2215"/>
        <v>3150</v>
      </c>
    </row>
    <row r="2279" spans="1:33">
      <c r="A2279" s="4">
        <v>42781</v>
      </c>
      <c r="B2279" s="5" t="s">
        <v>35</v>
      </c>
      <c r="C2279" s="5" t="s">
        <v>46</v>
      </c>
      <c r="D2279" s="5">
        <v>550</v>
      </c>
      <c r="E2279" s="9">
        <v>1100</v>
      </c>
      <c r="F2279" s="5" t="s">
        <v>8</v>
      </c>
      <c r="G2279" s="5">
        <v>8</v>
      </c>
      <c r="H2279" s="5">
        <v>10</v>
      </c>
      <c r="I2279" s="5">
        <v>0</v>
      </c>
      <c r="J2279" s="5">
        <v>0</v>
      </c>
      <c r="K2279" s="1">
        <f t="shared" si="2220"/>
        <v>2200</v>
      </c>
      <c r="L2279" s="51">
        <v>0</v>
      </c>
      <c r="M2279" s="52">
        <f t="shared" si="2219"/>
        <v>0</v>
      </c>
      <c r="N2279" s="2">
        <f t="shared" si="2222"/>
        <v>2</v>
      </c>
      <c r="O2279" s="2">
        <f t="shared" si="2215"/>
        <v>2200</v>
      </c>
    </row>
    <row r="2280" spans="1:33">
      <c r="A2280" s="4">
        <v>42780</v>
      </c>
      <c r="B2280" s="5" t="s">
        <v>18</v>
      </c>
      <c r="C2280" s="21" t="s">
        <v>46</v>
      </c>
      <c r="D2280" s="7">
        <v>570</v>
      </c>
      <c r="E2280" s="9">
        <v>1000</v>
      </c>
      <c r="F2280" s="5" t="s">
        <v>8</v>
      </c>
      <c r="G2280" s="5">
        <v>8</v>
      </c>
      <c r="H2280" s="5">
        <v>9</v>
      </c>
      <c r="I2280" s="5">
        <v>0</v>
      </c>
      <c r="J2280" s="8">
        <v>0</v>
      </c>
      <c r="K2280" s="1">
        <f t="shared" ref="K2280:K2426" si="2223">(IF(F2280="SELL",G2280-H2280,IF(F2280="BUY",H2280-G2280)))*E2280</f>
        <v>1000</v>
      </c>
      <c r="L2280" s="51">
        <v>0</v>
      </c>
      <c r="M2280" s="51">
        <v>0</v>
      </c>
      <c r="N2280" s="2">
        <f t="shared" si="2222"/>
        <v>1</v>
      </c>
      <c r="O2280" s="2">
        <f t="shared" si="2215"/>
        <v>1000</v>
      </c>
    </row>
    <row r="2281" spans="1:33">
      <c r="A2281" s="4">
        <v>42776</v>
      </c>
      <c r="B2281" s="5" t="s">
        <v>32</v>
      </c>
      <c r="C2281" s="21" t="s">
        <v>46</v>
      </c>
      <c r="D2281" s="7">
        <v>660</v>
      </c>
      <c r="E2281" s="9">
        <v>700</v>
      </c>
      <c r="F2281" s="5" t="s">
        <v>8</v>
      </c>
      <c r="G2281" s="5">
        <v>5</v>
      </c>
      <c r="H2281" s="5">
        <v>6.5</v>
      </c>
      <c r="I2281" s="5">
        <v>8</v>
      </c>
      <c r="J2281" s="8">
        <v>0</v>
      </c>
      <c r="K2281" s="1">
        <f t="shared" si="2223"/>
        <v>1050</v>
      </c>
      <c r="L2281" s="51">
        <f t="shared" ref="L2281" si="2224">(IF(F2281="SELL",IF(I2281="",0,H2281-I2281),IF(F2281="BUY",IF(I2281="",0,I2281-H2281))))*E2281</f>
        <v>1050</v>
      </c>
      <c r="M2281" s="51">
        <v>0</v>
      </c>
      <c r="N2281" s="2">
        <f t="shared" si="2222"/>
        <v>3</v>
      </c>
      <c r="O2281" s="2">
        <f t="shared" si="2215"/>
        <v>2100</v>
      </c>
    </row>
    <row r="2282" spans="1:33">
      <c r="A2282" s="4">
        <v>42776</v>
      </c>
      <c r="B2282" s="5" t="s">
        <v>33</v>
      </c>
      <c r="C2282" s="21" t="s">
        <v>47</v>
      </c>
      <c r="D2282" s="7">
        <v>540</v>
      </c>
      <c r="E2282" s="9">
        <v>1500</v>
      </c>
      <c r="F2282" s="5" t="s">
        <v>8</v>
      </c>
      <c r="G2282" s="5">
        <v>5.5</v>
      </c>
      <c r="H2282" s="5">
        <v>6.5</v>
      </c>
      <c r="I2282" s="5">
        <v>0</v>
      </c>
      <c r="J2282" s="8">
        <v>0</v>
      </c>
      <c r="K2282" s="1">
        <f t="shared" si="2223"/>
        <v>1500</v>
      </c>
      <c r="L2282" s="51">
        <v>0</v>
      </c>
      <c r="M2282" s="51">
        <v>0</v>
      </c>
      <c r="N2282" s="2">
        <f t="shared" si="2222"/>
        <v>1</v>
      </c>
      <c r="O2282" s="2">
        <f t="shared" si="2215"/>
        <v>1500</v>
      </c>
    </row>
    <row r="2283" spans="1:33">
      <c r="A2283" s="4">
        <v>42775</v>
      </c>
      <c r="B2283" s="5" t="s">
        <v>19</v>
      </c>
      <c r="C2283" s="21" t="s">
        <v>46</v>
      </c>
      <c r="D2283" s="7">
        <v>1000</v>
      </c>
      <c r="E2283" s="9">
        <v>500</v>
      </c>
      <c r="F2283" s="5" t="s">
        <v>8</v>
      </c>
      <c r="G2283" s="5">
        <v>21</v>
      </c>
      <c r="H2283" s="5">
        <v>25</v>
      </c>
      <c r="I2283" s="5">
        <v>0</v>
      </c>
      <c r="J2283" s="8">
        <v>0</v>
      </c>
      <c r="K2283" s="1">
        <f t="shared" si="2223"/>
        <v>2000</v>
      </c>
      <c r="L2283" s="51">
        <v>0</v>
      </c>
      <c r="M2283" s="51">
        <v>0</v>
      </c>
      <c r="N2283" s="2">
        <f t="shared" si="2222"/>
        <v>4</v>
      </c>
      <c r="O2283" s="2">
        <f t="shared" si="2215"/>
        <v>2000</v>
      </c>
    </row>
    <row r="2284" spans="1:33">
      <c r="A2284" s="4">
        <v>42774</v>
      </c>
      <c r="B2284" s="5" t="s">
        <v>17</v>
      </c>
      <c r="C2284" s="21" t="s">
        <v>46</v>
      </c>
      <c r="D2284" s="7">
        <v>480</v>
      </c>
      <c r="E2284" s="9">
        <v>1200</v>
      </c>
      <c r="F2284" s="5" t="s">
        <v>8</v>
      </c>
      <c r="G2284" s="5">
        <v>7.5</v>
      </c>
      <c r="H2284" s="5">
        <v>8.5</v>
      </c>
      <c r="I2284" s="5">
        <v>0</v>
      </c>
      <c r="J2284" s="8">
        <v>0</v>
      </c>
      <c r="K2284" s="1">
        <f t="shared" si="2223"/>
        <v>1200</v>
      </c>
      <c r="L2284" s="51">
        <v>0</v>
      </c>
      <c r="M2284" s="51">
        <v>0</v>
      </c>
      <c r="N2284" s="2">
        <f t="shared" si="2222"/>
        <v>1</v>
      </c>
      <c r="O2284" s="2">
        <f t="shared" si="2215"/>
        <v>1200</v>
      </c>
    </row>
    <row r="2285" spans="1:33">
      <c r="A2285" s="4">
        <v>42774</v>
      </c>
      <c r="B2285" s="5" t="s">
        <v>14</v>
      </c>
      <c r="C2285" s="21" t="s">
        <v>46</v>
      </c>
      <c r="D2285" s="7">
        <v>360</v>
      </c>
      <c r="E2285" s="9">
        <v>2000</v>
      </c>
      <c r="F2285" s="5" t="s">
        <v>8</v>
      </c>
      <c r="G2285" s="5">
        <v>6.1</v>
      </c>
      <c r="H2285" s="5">
        <v>6.6</v>
      </c>
      <c r="I2285" s="5">
        <v>7.1</v>
      </c>
      <c r="J2285" s="8">
        <v>7.6</v>
      </c>
      <c r="K2285" s="1">
        <f t="shared" si="2223"/>
        <v>1000</v>
      </c>
      <c r="L2285" s="51">
        <f t="shared" ref="L2285:L2289" si="2225">(IF(F2285="SELL",IF(I2285="",0,H2285-I2285),IF(F2285="BUY",IF(I2285="",0,I2285-H2285))))*E2285</f>
        <v>1000</v>
      </c>
      <c r="M2285" s="52">
        <f>(IF(F2285="SELL",IF(J2285="",0,I2285-J2285),IF(F2285="BUY",IF(J2285="",0,(J2285-I2285)))))*E2285</f>
        <v>1000</v>
      </c>
      <c r="N2285" s="2">
        <f t="shared" si="2222"/>
        <v>1.5</v>
      </c>
      <c r="O2285" s="2">
        <f t="shared" si="2215"/>
        <v>3000</v>
      </c>
    </row>
    <row r="2286" spans="1:33">
      <c r="A2286" s="4">
        <v>42773</v>
      </c>
      <c r="B2286" s="5" t="s">
        <v>24</v>
      </c>
      <c r="C2286" s="21" t="s">
        <v>46</v>
      </c>
      <c r="D2286" s="7">
        <v>480</v>
      </c>
      <c r="E2286" s="9">
        <v>1500</v>
      </c>
      <c r="F2286" s="5" t="s">
        <v>8</v>
      </c>
      <c r="G2286" s="5">
        <v>5.5</v>
      </c>
      <c r="H2286" s="5">
        <v>6.5</v>
      </c>
      <c r="I2286" s="5">
        <v>7.5</v>
      </c>
      <c r="J2286" s="8">
        <v>0</v>
      </c>
      <c r="K2286" s="1">
        <f t="shared" si="2223"/>
        <v>1500</v>
      </c>
      <c r="L2286" s="51">
        <f t="shared" si="2225"/>
        <v>1500</v>
      </c>
      <c r="M2286" s="51">
        <v>0</v>
      </c>
      <c r="N2286" s="2">
        <f t="shared" si="2222"/>
        <v>2</v>
      </c>
      <c r="O2286" s="2">
        <f t="shared" si="2215"/>
        <v>3000</v>
      </c>
    </row>
    <row r="2287" spans="1:33">
      <c r="A2287" s="4">
        <v>42773</v>
      </c>
      <c r="B2287" s="5" t="s">
        <v>18</v>
      </c>
      <c r="C2287" s="21" t="s">
        <v>47</v>
      </c>
      <c r="D2287" s="7">
        <v>620</v>
      </c>
      <c r="E2287" s="9">
        <v>1000</v>
      </c>
      <c r="F2287" s="5" t="s">
        <v>8</v>
      </c>
      <c r="G2287" s="5">
        <v>9</v>
      </c>
      <c r="H2287" s="5">
        <v>10</v>
      </c>
      <c r="I2287" s="5">
        <v>11</v>
      </c>
      <c r="J2287" s="8">
        <v>12</v>
      </c>
      <c r="K2287" s="1">
        <f t="shared" si="2223"/>
        <v>1000</v>
      </c>
      <c r="L2287" s="51">
        <f t="shared" si="2225"/>
        <v>1000</v>
      </c>
      <c r="M2287" s="52">
        <f>(IF(F2287="SELL",IF(J2287="",0,I2287-J2287),IF(F2287="BUY",IF(J2287="",0,(J2287-I2287)))))*E2287</f>
        <v>1000</v>
      </c>
      <c r="N2287" s="2">
        <f t="shared" si="2222"/>
        <v>3</v>
      </c>
      <c r="O2287" s="2">
        <f t="shared" si="2215"/>
        <v>3000</v>
      </c>
    </row>
    <row r="2288" spans="1:33">
      <c r="A2288" s="4">
        <v>42769</v>
      </c>
      <c r="B2288" s="5" t="s">
        <v>33</v>
      </c>
      <c r="C2288" s="21" t="s">
        <v>47</v>
      </c>
      <c r="D2288" s="7">
        <v>540</v>
      </c>
      <c r="E2288" s="9">
        <v>1500</v>
      </c>
      <c r="F2288" s="5" t="s">
        <v>8</v>
      </c>
      <c r="G2288" s="5">
        <v>6.5</v>
      </c>
      <c r="H2288" s="5">
        <v>7.5</v>
      </c>
      <c r="I2288" s="5">
        <v>0</v>
      </c>
      <c r="J2288" s="8">
        <v>0</v>
      </c>
      <c r="K2288" s="1">
        <f t="shared" si="2223"/>
        <v>1500</v>
      </c>
      <c r="L2288" s="51">
        <v>0</v>
      </c>
      <c r="M2288" s="51">
        <v>0</v>
      </c>
      <c r="N2288" s="2">
        <f t="shared" si="2222"/>
        <v>1</v>
      </c>
      <c r="O2288" s="2">
        <f t="shared" si="2215"/>
        <v>1500</v>
      </c>
    </row>
    <row r="2289" spans="1:15">
      <c r="A2289" s="4">
        <v>42769</v>
      </c>
      <c r="B2289" s="5" t="s">
        <v>17</v>
      </c>
      <c r="C2289" s="21" t="s">
        <v>47</v>
      </c>
      <c r="D2289" s="7">
        <v>500</v>
      </c>
      <c r="E2289" s="9">
        <v>1200</v>
      </c>
      <c r="F2289" s="5" t="s">
        <v>8</v>
      </c>
      <c r="G2289" s="5">
        <v>6</v>
      </c>
      <c r="H2289" s="5">
        <v>7</v>
      </c>
      <c r="I2289" s="5">
        <v>8</v>
      </c>
      <c r="J2289" s="8">
        <v>0</v>
      </c>
      <c r="K2289" s="1">
        <f t="shared" si="2223"/>
        <v>1200</v>
      </c>
      <c r="L2289" s="51">
        <f t="shared" si="2225"/>
        <v>1200</v>
      </c>
      <c r="M2289" s="51">
        <v>0</v>
      </c>
      <c r="N2289" s="2">
        <f t="shared" si="2222"/>
        <v>2</v>
      </c>
      <c r="O2289" s="2">
        <f t="shared" ref="O2289:O2352" si="2226">N2289*E2289</f>
        <v>2400</v>
      </c>
    </row>
    <row r="2290" spans="1:15">
      <c r="A2290" s="4">
        <v>42769</v>
      </c>
      <c r="B2290" s="5" t="s">
        <v>24</v>
      </c>
      <c r="C2290" s="21" t="s">
        <v>46</v>
      </c>
      <c r="D2290" s="7">
        <v>500</v>
      </c>
      <c r="E2290" s="9">
        <v>1500</v>
      </c>
      <c r="F2290" s="5" t="s">
        <v>8</v>
      </c>
      <c r="G2290" s="5">
        <v>6.5</v>
      </c>
      <c r="H2290" s="5">
        <v>7.15</v>
      </c>
      <c r="I2290" s="5">
        <v>0</v>
      </c>
      <c r="J2290" s="8">
        <v>0</v>
      </c>
      <c r="K2290" s="1">
        <f t="shared" si="2223"/>
        <v>975.00000000000057</v>
      </c>
      <c r="L2290" s="51">
        <v>0</v>
      </c>
      <c r="M2290" s="51">
        <v>0</v>
      </c>
      <c r="N2290" s="2">
        <f t="shared" si="2222"/>
        <v>0.65000000000000036</v>
      </c>
      <c r="O2290" s="2">
        <f t="shared" si="2226"/>
        <v>975.00000000000057</v>
      </c>
    </row>
    <row r="2291" spans="1:15">
      <c r="A2291" s="4">
        <v>42768</v>
      </c>
      <c r="B2291" s="5" t="s">
        <v>34</v>
      </c>
      <c r="C2291" s="21" t="s">
        <v>46</v>
      </c>
      <c r="D2291" s="7">
        <v>185</v>
      </c>
      <c r="E2291" s="9">
        <v>3500</v>
      </c>
      <c r="F2291" s="5" t="s">
        <v>8</v>
      </c>
      <c r="G2291" s="5">
        <v>3.8</v>
      </c>
      <c r="H2291" s="5">
        <v>4.3</v>
      </c>
      <c r="I2291" s="5">
        <v>0</v>
      </c>
      <c r="J2291" s="8">
        <v>0</v>
      </c>
      <c r="K2291" s="1">
        <f t="shared" si="2223"/>
        <v>1750</v>
      </c>
      <c r="L2291" s="51">
        <v>0</v>
      </c>
      <c r="M2291" s="51">
        <v>0</v>
      </c>
      <c r="N2291" s="2">
        <f t="shared" si="2222"/>
        <v>0.5</v>
      </c>
      <c r="O2291" s="2">
        <f t="shared" si="2226"/>
        <v>1750</v>
      </c>
    </row>
    <row r="2292" spans="1:15">
      <c r="A2292" s="4">
        <v>42768</v>
      </c>
      <c r="B2292" s="5" t="s">
        <v>35</v>
      </c>
      <c r="C2292" s="21" t="s">
        <v>47</v>
      </c>
      <c r="D2292" s="7">
        <v>600</v>
      </c>
      <c r="E2292" s="9">
        <v>1100</v>
      </c>
      <c r="F2292" s="5" t="s">
        <v>8</v>
      </c>
      <c r="G2292" s="5">
        <v>7</v>
      </c>
      <c r="H2292" s="5">
        <v>8</v>
      </c>
      <c r="I2292" s="5">
        <v>0</v>
      </c>
      <c r="J2292" s="8">
        <v>0</v>
      </c>
      <c r="K2292" s="1">
        <f t="shared" si="2223"/>
        <v>1100</v>
      </c>
      <c r="L2292" s="51">
        <v>0</v>
      </c>
      <c r="M2292" s="51">
        <v>0</v>
      </c>
      <c r="N2292" s="2">
        <f t="shared" si="2222"/>
        <v>1</v>
      </c>
      <c r="O2292" s="2">
        <f t="shared" si="2226"/>
        <v>1100</v>
      </c>
    </row>
    <row r="2293" spans="1:15">
      <c r="A2293" s="4">
        <v>42767</v>
      </c>
      <c r="B2293" s="5" t="s">
        <v>21</v>
      </c>
      <c r="C2293" s="21" t="s">
        <v>47</v>
      </c>
      <c r="D2293" s="7">
        <v>280</v>
      </c>
      <c r="E2293" s="9">
        <v>3000</v>
      </c>
      <c r="F2293" s="5" t="s">
        <v>8</v>
      </c>
      <c r="G2293" s="5">
        <v>4.5999999999999996</v>
      </c>
      <c r="H2293" s="5">
        <v>5.0999999999999996</v>
      </c>
      <c r="I2293" s="5">
        <v>5.6</v>
      </c>
      <c r="J2293" s="8">
        <v>0</v>
      </c>
      <c r="K2293" s="1">
        <f t="shared" si="2223"/>
        <v>1500</v>
      </c>
      <c r="L2293" s="51">
        <f t="shared" ref="L2293:L2314" si="2227">(IF(F2293="SELL",IF(I2293="",0,H2293-I2293),IF(F2293="BUY",IF(I2293="",0,I2293-H2293))))*E2293</f>
        <v>1500</v>
      </c>
      <c r="M2293" s="51">
        <v>0</v>
      </c>
      <c r="N2293" s="2">
        <f t="shared" si="2222"/>
        <v>1</v>
      </c>
      <c r="O2293" s="2">
        <f t="shared" si="2226"/>
        <v>3000</v>
      </c>
    </row>
    <row r="2294" spans="1:15">
      <c r="A2294" s="4">
        <v>42767</v>
      </c>
      <c r="B2294" s="5" t="s">
        <v>13</v>
      </c>
      <c r="C2294" s="21" t="s">
        <v>46</v>
      </c>
      <c r="D2294" s="7">
        <v>780</v>
      </c>
      <c r="E2294" s="9">
        <v>700</v>
      </c>
      <c r="F2294" s="5" t="s">
        <v>8</v>
      </c>
      <c r="G2294" s="5">
        <v>7</v>
      </c>
      <c r="H2294" s="5">
        <v>9</v>
      </c>
      <c r="I2294" s="5">
        <v>11</v>
      </c>
      <c r="J2294" s="8">
        <v>13</v>
      </c>
      <c r="K2294" s="1">
        <f t="shared" si="2223"/>
        <v>1400</v>
      </c>
      <c r="L2294" s="51">
        <f t="shared" si="2227"/>
        <v>1400</v>
      </c>
      <c r="M2294" s="52">
        <f>(IF(F2294="SELL",IF(J2294="",0,I2294-J2294),IF(F2294="BUY",IF(J2294="",0,(J2294-I2294)))))*E2294</f>
        <v>1400</v>
      </c>
      <c r="N2294" s="2">
        <f t="shared" si="2222"/>
        <v>6</v>
      </c>
      <c r="O2294" s="2">
        <f t="shared" si="2226"/>
        <v>4200</v>
      </c>
    </row>
    <row r="2295" spans="1:15">
      <c r="A2295" s="4">
        <v>42766</v>
      </c>
      <c r="B2295" s="5" t="s">
        <v>12</v>
      </c>
      <c r="C2295" s="21" t="s">
        <v>47</v>
      </c>
      <c r="D2295" s="7">
        <v>700</v>
      </c>
      <c r="E2295" s="9">
        <v>600</v>
      </c>
      <c r="F2295" s="5" t="s">
        <v>8</v>
      </c>
      <c r="G2295" s="5">
        <v>37</v>
      </c>
      <c r="H2295" s="5">
        <v>42</v>
      </c>
      <c r="I2295" s="5">
        <v>46</v>
      </c>
      <c r="J2295" s="8">
        <v>0</v>
      </c>
      <c r="K2295" s="1">
        <f t="shared" si="2223"/>
        <v>3000</v>
      </c>
      <c r="L2295" s="51">
        <f t="shared" si="2227"/>
        <v>2400</v>
      </c>
      <c r="M2295" s="51">
        <v>0</v>
      </c>
      <c r="N2295" s="2">
        <f t="shared" si="2222"/>
        <v>9</v>
      </c>
      <c r="O2295" s="2">
        <f t="shared" si="2226"/>
        <v>5400</v>
      </c>
    </row>
    <row r="2296" spans="1:15">
      <c r="A2296" s="4">
        <v>42762</v>
      </c>
      <c r="B2296" s="5" t="s">
        <v>31</v>
      </c>
      <c r="C2296" s="21" t="s">
        <v>47</v>
      </c>
      <c r="D2296" s="7">
        <v>220</v>
      </c>
      <c r="E2296" s="9">
        <v>2500</v>
      </c>
      <c r="F2296" s="5" t="s">
        <v>8</v>
      </c>
      <c r="G2296" s="5">
        <v>9.5</v>
      </c>
      <c r="H2296" s="5">
        <v>10.5</v>
      </c>
      <c r="I2296" s="5">
        <v>11.5</v>
      </c>
      <c r="J2296" s="8">
        <v>12.5</v>
      </c>
      <c r="K2296" s="1">
        <f t="shared" si="2223"/>
        <v>2500</v>
      </c>
      <c r="L2296" s="51">
        <f t="shared" si="2227"/>
        <v>2500</v>
      </c>
      <c r="M2296" s="52">
        <f>(IF(F2296="SELL",IF(J2296="",0,I2296-J2296),IF(F2296="BUY",IF(J2296="",0,(J2296-I2296)))))*E2296</f>
        <v>2500</v>
      </c>
      <c r="N2296" s="2">
        <f t="shared" si="2222"/>
        <v>3</v>
      </c>
      <c r="O2296" s="2">
        <f t="shared" si="2226"/>
        <v>7500</v>
      </c>
    </row>
    <row r="2297" spans="1:15">
      <c r="A2297" s="4">
        <v>42760</v>
      </c>
      <c r="B2297" s="5" t="s">
        <v>21</v>
      </c>
      <c r="C2297" s="21" t="s">
        <v>46</v>
      </c>
      <c r="D2297" s="7">
        <v>260</v>
      </c>
      <c r="E2297" s="9">
        <v>3000</v>
      </c>
      <c r="F2297" s="5" t="s">
        <v>8</v>
      </c>
      <c r="G2297" s="5">
        <v>4</v>
      </c>
      <c r="H2297" s="5">
        <v>4.5</v>
      </c>
      <c r="I2297" s="5">
        <v>5</v>
      </c>
      <c r="J2297" s="8">
        <v>0</v>
      </c>
      <c r="K2297" s="1">
        <f t="shared" si="2223"/>
        <v>1500</v>
      </c>
      <c r="L2297" s="51">
        <f t="shared" si="2227"/>
        <v>1500</v>
      </c>
      <c r="M2297" s="51">
        <v>0</v>
      </c>
      <c r="N2297" s="2">
        <f t="shared" si="2222"/>
        <v>1</v>
      </c>
      <c r="O2297" s="2">
        <f t="shared" si="2226"/>
        <v>3000</v>
      </c>
    </row>
    <row r="2298" spans="1:15">
      <c r="A2298" s="4">
        <v>42755</v>
      </c>
      <c r="B2298" s="5" t="s">
        <v>30</v>
      </c>
      <c r="C2298" s="21" t="s">
        <v>46</v>
      </c>
      <c r="D2298" s="7">
        <v>265</v>
      </c>
      <c r="E2298" s="9">
        <v>2500</v>
      </c>
      <c r="F2298" s="5" t="s">
        <v>8</v>
      </c>
      <c r="G2298" s="5">
        <v>2.5</v>
      </c>
      <c r="H2298" s="5">
        <v>3</v>
      </c>
      <c r="I2298" s="5">
        <v>3.5</v>
      </c>
      <c r="J2298" s="8">
        <v>0</v>
      </c>
      <c r="K2298" s="1">
        <f t="shared" si="2223"/>
        <v>1250</v>
      </c>
      <c r="L2298" s="51">
        <f t="shared" si="2227"/>
        <v>1250</v>
      </c>
      <c r="M2298" s="51">
        <v>0</v>
      </c>
      <c r="N2298" s="2">
        <f t="shared" si="2222"/>
        <v>1</v>
      </c>
      <c r="O2298" s="2">
        <f t="shared" si="2226"/>
        <v>2500</v>
      </c>
    </row>
    <row r="2299" spans="1:15">
      <c r="A2299" s="4">
        <v>42755</v>
      </c>
      <c r="B2299" s="5" t="s">
        <v>34</v>
      </c>
      <c r="C2299" s="21" t="s">
        <v>46</v>
      </c>
      <c r="D2299" s="7">
        <v>175</v>
      </c>
      <c r="E2299" s="9">
        <v>3500</v>
      </c>
      <c r="F2299" s="5" t="s">
        <v>8</v>
      </c>
      <c r="G2299" s="5">
        <v>3.5</v>
      </c>
      <c r="H2299" s="5">
        <v>4</v>
      </c>
      <c r="I2299" s="5">
        <v>0</v>
      </c>
      <c r="J2299" s="8">
        <v>0</v>
      </c>
      <c r="K2299" s="1">
        <f t="shared" si="2223"/>
        <v>1750</v>
      </c>
      <c r="L2299" s="51">
        <v>0</v>
      </c>
      <c r="M2299" s="51">
        <v>0</v>
      </c>
      <c r="N2299" s="2">
        <f t="shared" si="2222"/>
        <v>0.5</v>
      </c>
      <c r="O2299" s="2">
        <f t="shared" si="2226"/>
        <v>1750</v>
      </c>
    </row>
    <row r="2300" spans="1:15">
      <c r="A2300" s="4">
        <v>42754</v>
      </c>
      <c r="B2300" s="5" t="s">
        <v>30</v>
      </c>
      <c r="C2300" s="21" t="s">
        <v>47</v>
      </c>
      <c r="D2300" s="7">
        <v>270</v>
      </c>
      <c r="E2300" s="9">
        <v>2500</v>
      </c>
      <c r="F2300" s="5" t="s">
        <v>8</v>
      </c>
      <c r="G2300" s="5">
        <v>4</v>
      </c>
      <c r="H2300" s="5">
        <v>4.5</v>
      </c>
      <c r="I2300" s="5">
        <v>5</v>
      </c>
      <c r="J2300" s="8">
        <v>0</v>
      </c>
      <c r="K2300" s="1">
        <f t="shared" si="2223"/>
        <v>1250</v>
      </c>
      <c r="L2300" s="51">
        <f t="shared" si="2227"/>
        <v>1250</v>
      </c>
      <c r="M2300" s="51">
        <v>0</v>
      </c>
      <c r="N2300" s="2">
        <f t="shared" si="2222"/>
        <v>1</v>
      </c>
      <c r="O2300" s="2">
        <f t="shared" si="2226"/>
        <v>2500</v>
      </c>
    </row>
    <row r="2301" spans="1:15">
      <c r="A2301" s="4">
        <v>42753</v>
      </c>
      <c r="B2301" s="5" t="s">
        <v>26</v>
      </c>
      <c r="C2301" s="21" t="s">
        <v>47</v>
      </c>
      <c r="D2301" s="7">
        <v>470</v>
      </c>
      <c r="E2301" s="9">
        <v>2000</v>
      </c>
      <c r="F2301" s="5" t="s">
        <v>8</v>
      </c>
      <c r="G2301" s="5">
        <v>4.5</v>
      </c>
      <c r="H2301" s="5">
        <v>5</v>
      </c>
      <c r="I2301" s="5">
        <v>5.5</v>
      </c>
      <c r="J2301" s="8">
        <v>6</v>
      </c>
      <c r="K2301" s="1">
        <f t="shared" si="2223"/>
        <v>1000</v>
      </c>
      <c r="L2301" s="51">
        <f t="shared" si="2227"/>
        <v>1000</v>
      </c>
      <c r="M2301" s="51">
        <f>(IF(F2301="SELL",IF(J2301="",0,I2301-J2301),IF(F2301="BUY",IF(J2301="",0,(J2301-I2301)))))*E2301</f>
        <v>1000</v>
      </c>
      <c r="N2301" s="2">
        <f t="shared" si="2222"/>
        <v>1.5</v>
      </c>
      <c r="O2301" s="2">
        <f t="shared" si="2226"/>
        <v>3000</v>
      </c>
    </row>
    <row r="2302" spans="1:15">
      <c r="A2302" s="4">
        <v>42753</v>
      </c>
      <c r="B2302" s="5" t="s">
        <v>10</v>
      </c>
      <c r="C2302" s="21" t="s">
        <v>46</v>
      </c>
      <c r="D2302" s="7">
        <v>360</v>
      </c>
      <c r="E2302" s="9">
        <v>2000</v>
      </c>
      <c r="F2302" s="5" t="s">
        <v>8</v>
      </c>
      <c r="G2302" s="5">
        <v>3.5</v>
      </c>
      <c r="H2302" s="5">
        <v>2.5</v>
      </c>
      <c r="I2302" s="5">
        <v>0</v>
      </c>
      <c r="J2302" s="8">
        <v>0</v>
      </c>
      <c r="K2302" s="1">
        <f t="shared" si="2223"/>
        <v>-2000</v>
      </c>
      <c r="L2302" s="51">
        <v>0</v>
      </c>
      <c r="M2302" s="51">
        <v>0</v>
      </c>
      <c r="N2302" s="2">
        <f t="shared" si="2222"/>
        <v>-1</v>
      </c>
      <c r="O2302" s="2">
        <f t="shared" si="2226"/>
        <v>-2000</v>
      </c>
    </row>
    <row r="2303" spans="1:15">
      <c r="A2303" s="4">
        <v>42752</v>
      </c>
      <c r="B2303" s="5" t="s">
        <v>17</v>
      </c>
      <c r="C2303" s="21" t="s">
        <v>47</v>
      </c>
      <c r="D2303" s="7">
        <v>500</v>
      </c>
      <c r="E2303" s="9">
        <v>1200</v>
      </c>
      <c r="F2303" s="5" t="s">
        <v>8</v>
      </c>
      <c r="G2303" s="5">
        <v>5</v>
      </c>
      <c r="H2303" s="5">
        <v>6</v>
      </c>
      <c r="I2303" s="5">
        <v>7</v>
      </c>
      <c r="J2303" s="8">
        <v>0</v>
      </c>
      <c r="K2303" s="1">
        <f t="shared" si="2223"/>
        <v>1200</v>
      </c>
      <c r="L2303" s="51">
        <f t="shared" si="2227"/>
        <v>1200</v>
      </c>
      <c r="M2303" s="51">
        <v>0</v>
      </c>
      <c r="N2303" s="2">
        <f t="shared" si="2222"/>
        <v>2</v>
      </c>
      <c r="O2303" s="2">
        <f t="shared" si="2226"/>
        <v>2400</v>
      </c>
    </row>
    <row r="2304" spans="1:15">
      <c r="A2304" s="4">
        <v>42752</v>
      </c>
      <c r="B2304" s="5" t="s">
        <v>26</v>
      </c>
      <c r="C2304" s="21" t="s">
        <v>47</v>
      </c>
      <c r="D2304" s="7">
        <v>460</v>
      </c>
      <c r="E2304" s="9">
        <v>2000</v>
      </c>
      <c r="F2304" s="5" t="s">
        <v>8</v>
      </c>
      <c r="G2304" s="5">
        <v>7.5</v>
      </c>
      <c r="H2304" s="5">
        <v>8</v>
      </c>
      <c r="I2304" s="5">
        <v>8.5</v>
      </c>
      <c r="J2304" s="8">
        <v>9</v>
      </c>
      <c r="K2304" s="1">
        <f t="shared" si="2223"/>
        <v>1000</v>
      </c>
      <c r="L2304" s="51">
        <f t="shared" si="2227"/>
        <v>1000</v>
      </c>
      <c r="M2304" s="51">
        <f>(IF(F2304="SELL",IF(J2304="",0,I2304-J2304),IF(F2304="BUY",IF(J2304="",0,(J2304-I2304)))))*E2304</f>
        <v>1000</v>
      </c>
      <c r="N2304" s="2">
        <f t="shared" si="2222"/>
        <v>1.5</v>
      </c>
      <c r="O2304" s="2">
        <f t="shared" si="2226"/>
        <v>3000</v>
      </c>
    </row>
    <row r="2305" spans="1:15">
      <c r="A2305" s="4">
        <v>42751</v>
      </c>
      <c r="B2305" s="5" t="s">
        <v>17</v>
      </c>
      <c r="C2305" s="21" t="s">
        <v>47</v>
      </c>
      <c r="D2305" s="7">
        <v>480</v>
      </c>
      <c r="E2305" s="9">
        <v>1200</v>
      </c>
      <c r="F2305" s="5" t="s">
        <v>8</v>
      </c>
      <c r="G2305" s="5">
        <v>7</v>
      </c>
      <c r="H2305" s="5">
        <v>8</v>
      </c>
      <c r="I2305" s="5">
        <v>9</v>
      </c>
      <c r="J2305" s="8">
        <v>0</v>
      </c>
      <c r="K2305" s="1">
        <f t="shared" si="2223"/>
        <v>1200</v>
      </c>
      <c r="L2305" s="51">
        <f t="shared" si="2227"/>
        <v>1200</v>
      </c>
      <c r="M2305" s="51">
        <v>0</v>
      </c>
      <c r="N2305" s="2">
        <f t="shared" si="2222"/>
        <v>2</v>
      </c>
      <c r="O2305" s="2">
        <f t="shared" si="2226"/>
        <v>2400</v>
      </c>
    </row>
    <row r="2306" spans="1:15">
      <c r="A2306" s="4">
        <v>42748</v>
      </c>
      <c r="B2306" s="5" t="s">
        <v>26</v>
      </c>
      <c r="C2306" s="21" t="s">
        <v>46</v>
      </c>
      <c r="D2306" s="7">
        <v>430</v>
      </c>
      <c r="E2306" s="9">
        <v>2000</v>
      </c>
      <c r="F2306" s="5" t="s">
        <v>8</v>
      </c>
      <c r="G2306" s="5">
        <v>4.7</v>
      </c>
      <c r="H2306" s="5">
        <v>5.2</v>
      </c>
      <c r="I2306" s="5">
        <v>0</v>
      </c>
      <c r="J2306" s="8">
        <v>0</v>
      </c>
      <c r="K2306" s="1">
        <f t="shared" si="2223"/>
        <v>1000</v>
      </c>
      <c r="L2306" s="51">
        <v>0</v>
      </c>
      <c r="M2306" s="51">
        <v>0</v>
      </c>
      <c r="N2306" s="2">
        <f t="shared" si="2222"/>
        <v>0.5</v>
      </c>
      <c r="O2306" s="2">
        <f t="shared" si="2226"/>
        <v>1000</v>
      </c>
    </row>
    <row r="2307" spans="1:15">
      <c r="A2307" s="4">
        <v>42748</v>
      </c>
      <c r="B2307" s="5" t="s">
        <v>36</v>
      </c>
      <c r="C2307" s="21" t="s">
        <v>47</v>
      </c>
      <c r="D2307" s="7">
        <v>360</v>
      </c>
      <c r="E2307" s="9">
        <v>3000</v>
      </c>
      <c r="F2307" s="5" t="s">
        <v>8</v>
      </c>
      <c r="G2307" s="5">
        <v>5</v>
      </c>
      <c r="H2307" s="5">
        <v>5.5</v>
      </c>
      <c r="I2307" s="5">
        <v>6</v>
      </c>
      <c r="J2307" s="8">
        <v>0</v>
      </c>
      <c r="K2307" s="1">
        <f t="shared" si="2223"/>
        <v>1500</v>
      </c>
      <c r="L2307" s="51">
        <f t="shared" si="2227"/>
        <v>1500</v>
      </c>
      <c r="M2307" s="51">
        <v>0</v>
      </c>
      <c r="N2307" s="2">
        <f t="shared" si="2222"/>
        <v>1</v>
      </c>
      <c r="O2307" s="2">
        <f t="shared" si="2226"/>
        <v>3000</v>
      </c>
    </row>
    <row r="2308" spans="1:15">
      <c r="A2308" s="4">
        <v>42747</v>
      </c>
      <c r="B2308" s="5" t="s">
        <v>26</v>
      </c>
      <c r="C2308" s="21" t="s">
        <v>47</v>
      </c>
      <c r="D2308" s="7">
        <v>460</v>
      </c>
      <c r="E2308" s="9">
        <v>2000</v>
      </c>
      <c r="F2308" s="5" t="s">
        <v>8</v>
      </c>
      <c r="G2308" s="5">
        <v>6.5</v>
      </c>
      <c r="H2308" s="5">
        <v>7</v>
      </c>
      <c r="I2308" s="5">
        <v>7.5</v>
      </c>
      <c r="J2308" s="8">
        <v>8</v>
      </c>
      <c r="K2308" s="1">
        <f t="shared" si="2223"/>
        <v>1000</v>
      </c>
      <c r="L2308" s="51">
        <f t="shared" si="2227"/>
        <v>1000</v>
      </c>
      <c r="M2308" s="51">
        <f>(IF(F2308="SELL",IF(J2308="",0,I2308-J2308),IF(F2308="BUY",IF(J2308="",0,(J2308-I2308)))))*E2308</f>
        <v>1000</v>
      </c>
      <c r="N2308" s="2">
        <f t="shared" si="2222"/>
        <v>1.5</v>
      </c>
      <c r="O2308" s="2">
        <f t="shared" si="2226"/>
        <v>3000</v>
      </c>
    </row>
    <row r="2309" spans="1:15">
      <c r="A2309" s="4">
        <v>42746</v>
      </c>
      <c r="B2309" s="5" t="s">
        <v>24</v>
      </c>
      <c r="C2309" s="21" t="s">
        <v>47</v>
      </c>
      <c r="D2309" s="7">
        <v>520</v>
      </c>
      <c r="E2309" s="9">
        <v>1500</v>
      </c>
      <c r="F2309" s="5" t="s">
        <v>8</v>
      </c>
      <c r="G2309" s="5">
        <v>8.5</v>
      </c>
      <c r="H2309" s="5">
        <v>9.5</v>
      </c>
      <c r="I2309" s="5">
        <v>10.5</v>
      </c>
      <c r="J2309" s="8">
        <v>0</v>
      </c>
      <c r="K2309" s="1">
        <f t="shared" si="2223"/>
        <v>1500</v>
      </c>
      <c r="L2309" s="51">
        <f t="shared" si="2227"/>
        <v>1500</v>
      </c>
      <c r="M2309" s="51">
        <v>0</v>
      </c>
      <c r="N2309" s="2">
        <f t="shared" si="2222"/>
        <v>2</v>
      </c>
      <c r="O2309" s="2">
        <f t="shared" si="2226"/>
        <v>3000</v>
      </c>
    </row>
    <row r="2310" spans="1:15">
      <c r="A2310" s="4">
        <v>42745</v>
      </c>
      <c r="B2310" s="5" t="s">
        <v>14</v>
      </c>
      <c r="C2310" s="21" t="s">
        <v>47</v>
      </c>
      <c r="D2310" s="7">
        <v>390</v>
      </c>
      <c r="E2310" s="9">
        <v>2000</v>
      </c>
      <c r="F2310" s="5" t="s">
        <v>8</v>
      </c>
      <c r="G2310" s="5">
        <v>5.4</v>
      </c>
      <c r="H2310" s="5">
        <v>5.9</v>
      </c>
      <c r="I2310" s="5">
        <v>0</v>
      </c>
      <c r="J2310" s="8">
        <v>0</v>
      </c>
      <c r="K2310" s="1">
        <f t="shared" si="2223"/>
        <v>1000</v>
      </c>
      <c r="L2310" s="51">
        <v>0</v>
      </c>
      <c r="M2310" s="51">
        <v>0</v>
      </c>
      <c r="N2310" s="2">
        <f t="shared" si="2222"/>
        <v>0.5</v>
      </c>
      <c r="O2310" s="2">
        <f t="shared" si="2226"/>
        <v>1000</v>
      </c>
    </row>
    <row r="2311" spans="1:15">
      <c r="A2311" s="4">
        <v>42745</v>
      </c>
      <c r="B2311" s="5" t="s">
        <v>37</v>
      </c>
      <c r="C2311" s="5" t="s">
        <v>46</v>
      </c>
      <c r="D2311" s="7">
        <v>2300</v>
      </c>
      <c r="E2311" s="9">
        <v>250</v>
      </c>
      <c r="F2311" s="5" t="s">
        <v>8</v>
      </c>
      <c r="G2311" s="5">
        <v>51</v>
      </c>
      <c r="H2311" s="5">
        <v>55</v>
      </c>
      <c r="I2311" s="5">
        <v>59</v>
      </c>
      <c r="J2311" s="5">
        <v>63</v>
      </c>
      <c r="K2311" s="1">
        <f t="shared" si="2223"/>
        <v>1000</v>
      </c>
      <c r="L2311" s="51">
        <f t="shared" si="2227"/>
        <v>1000</v>
      </c>
      <c r="M2311" s="51">
        <f>(IF(F2311="SELL",IF(J2311="",0,I2311-J2311),IF(F2311="BUY",IF(J2311="",0,(J2311-I2311)))))*E2311</f>
        <v>1000</v>
      </c>
      <c r="N2311" s="2">
        <f t="shared" si="2222"/>
        <v>12</v>
      </c>
      <c r="O2311" s="2">
        <f t="shared" si="2226"/>
        <v>3000</v>
      </c>
    </row>
    <row r="2312" spans="1:15">
      <c r="A2312" s="4">
        <v>42741</v>
      </c>
      <c r="B2312" s="5" t="s">
        <v>15</v>
      </c>
      <c r="C2312" s="5" t="s">
        <v>47</v>
      </c>
      <c r="D2312" s="7">
        <v>390</v>
      </c>
      <c r="E2312" s="9">
        <v>2000</v>
      </c>
      <c r="F2312" s="5" t="s">
        <v>8</v>
      </c>
      <c r="G2312" s="5">
        <v>6.1</v>
      </c>
      <c r="H2312" s="5">
        <v>6.6</v>
      </c>
      <c r="I2312" s="5">
        <v>7.1</v>
      </c>
      <c r="J2312" s="5">
        <v>0</v>
      </c>
      <c r="K2312" s="1">
        <f t="shared" si="2223"/>
        <v>1000</v>
      </c>
      <c r="L2312" s="51">
        <f t="shared" si="2227"/>
        <v>1000</v>
      </c>
      <c r="M2312" s="51">
        <v>0</v>
      </c>
      <c r="N2312" s="2">
        <f t="shared" si="2222"/>
        <v>1</v>
      </c>
      <c r="O2312" s="2">
        <f t="shared" si="2226"/>
        <v>2000</v>
      </c>
    </row>
    <row r="2313" spans="1:15">
      <c r="A2313" s="4">
        <v>42741</v>
      </c>
      <c r="B2313" s="5" t="s">
        <v>26</v>
      </c>
      <c r="C2313" s="5" t="s">
        <v>47</v>
      </c>
      <c r="D2313" s="7">
        <v>430</v>
      </c>
      <c r="E2313" s="9">
        <v>2000</v>
      </c>
      <c r="F2313" s="5" t="s">
        <v>8</v>
      </c>
      <c r="G2313" s="5">
        <v>4.95</v>
      </c>
      <c r="H2313" s="5">
        <v>5.45</v>
      </c>
      <c r="I2313" s="5">
        <v>5.95</v>
      </c>
      <c r="J2313" s="5">
        <v>6.45</v>
      </c>
      <c r="K2313" s="1">
        <f t="shared" si="2223"/>
        <v>1000</v>
      </c>
      <c r="L2313" s="51">
        <f t="shared" si="2227"/>
        <v>1000</v>
      </c>
      <c r="M2313" s="51">
        <f>(IF(F2313="SELL",IF(J2313="",0,I2313-J2313),IF(F2313="BUY",IF(J2313="",0,(J2313-I2313)))))*E2313</f>
        <v>1000</v>
      </c>
      <c r="N2313" s="2">
        <f t="shared" si="2222"/>
        <v>1.5</v>
      </c>
      <c r="O2313" s="2">
        <f t="shared" si="2226"/>
        <v>3000</v>
      </c>
    </row>
    <row r="2314" spans="1:15">
      <c r="A2314" s="4">
        <v>42740</v>
      </c>
      <c r="B2314" s="5" t="s">
        <v>28</v>
      </c>
      <c r="C2314" s="5" t="s">
        <v>47</v>
      </c>
      <c r="D2314" s="7">
        <v>320</v>
      </c>
      <c r="E2314" s="9">
        <v>1700</v>
      </c>
      <c r="F2314" s="5" t="s">
        <v>8</v>
      </c>
      <c r="G2314" s="5">
        <v>6.2</v>
      </c>
      <c r="H2314" s="5">
        <v>6.8</v>
      </c>
      <c r="I2314" s="5">
        <v>7.4</v>
      </c>
      <c r="J2314" s="5">
        <v>8</v>
      </c>
      <c r="K2314" s="1">
        <f t="shared" si="2223"/>
        <v>1019.9999999999994</v>
      </c>
      <c r="L2314" s="51">
        <f t="shared" si="2227"/>
        <v>1020.0000000000009</v>
      </c>
      <c r="M2314" s="51">
        <f>(IF(F2314="SELL",IF(J2314="",0,I2314-J2314),IF(F2314="BUY",IF(J2314="",0,(J2314-I2314)))))*E2314</f>
        <v>1019.9999999999994</v>
      </c>
      <c r="N2314" s="2">
        <f t="shared" si="2222"/>
        <v>1.8</v>
      </c>
      <c r="O2314" s="2">
        <f t="shared" si="2226"/>
        <v>3060</v>
      </c>
    </row>
    <row r="2315" spans="1:15">
      <c r="A2315" s="4">
        <v>42740</v>
      </c>
      <c r="B2315" s="5" t="s">
        <v>15</v>
      </c>
      <c r="C2315" s="5" t="s">
        <v>47</v>
      </c>
      <c r="D2315" s="7">
        <v>400</v>
      </c>
      <c r="E2315" s="9">
        <v>2000</v>
      </c>
      <c r="F2315" s="5" t="s">
        <v>8</v>
      </c>
      <c r="G2315" s="5">
        <v>3.7</v>
      </c>
      <c r="H2315" s="5">
        <v>4.2</v>
      </c>
      <c r="I2315" s="5">
        <v>0</v>
      </c>
      <c r="J2315" s="5">
        <v>0</v>
      </c>
      <c r="K2315" s="1">
        <f t="shared" si="2223"/>
        <v>1000</v>
      </c>
      <c r="L2315" s="51">
        <v>0</v>
      </c>
      <c r="M2315" s="51">
        <v>0</v>
      </c>
      <c r="N2315" s="2">
        <f t="shared" si="2222"/>
        <v>0.5</v>
      </c>
      <c r="O2315" s="2">
        <f t="shared" si="2226"/>
        <v>1000</v>
      </c>
    </row>
    <row r="2316" spans="1:15">
      <c r="A2316" s="4">
        <v>42740</v>
      </c>
      <c r="B2316" s="5" t="s">
        <v>17</v>
      </c>
      <c r="C2316" s="5" t="s">
        <v>46</v>
      </c>
      <c r="D2316" s="7">
        <v>450</v>
      </c>
      <c r="E2316" s="9">
        <v>1200</v>
      </c>
      <c r="F2316" s="5" t="s">
        <v>8</v>
      </c>
      <c r="G2316" s="5">
        <v>12</v>
      </c>
      <c r="H2316" s="5">
        <v>12.8</v>
      </c>
      <c r="I2316" s="5">
        <v>13.6</v>
      </c>
      <c r="J2316" s="5">
        <v>0</v>
      </c>
      <c r="K2316" s="1">
        <f t="shared" si="2223"/>
        <v>960.00000000000091</v>
      </c>
      <c r="L2316" s="51">
        <f t="shared" ref="L2316:L2317" si="2228">(IF(F2316="SELL",IF(I2316="",0,H2316-I2316),IF(F2316="BUY",IF(I2316="",0,I2316-H2316))))*E2316</f>
        <v>959.99999999999875</v>
      </c>
      <c r="M2316" s="51">
        <v>0</v>
      </c>
      <c r="N2316" s="2">
        <f t="shared" si="2222"/>
        <v>1.5999999999999996</v>
      </c>
      <c r="O2316" s="2">
        <f t="shared" si="2226"/>
        <v>1919.9999999999995</v>
      </c>
    </row>
    <row r="2317" spans="1:15">
      <c r="A2317" s="4">
        <v>42739</v>
      </c>
      <c r="B2317" s="5" t="s">
        <v>26</v>
      </c>
      <c r="C2317" s="5" t="s">
        <v>46</v>
      </c>
      <c r="D2317" s="7">
        <v>390</v>
      </c>
      <c r="E2317" s="9">
        <v>2000</v>
      </c>
      <c r="F2317" s="5" t="s">
        <v>8</v>
      </c>
      <c r="G2317" s="5">
        <v>5.75</v>
      </c>
      <c r="H2317" s="5">
        <v>6.25</v>
      </c>
      <c r="I2317" s="5">
        <v>6.75</v>
      </c>
      <c r="J2317" s="5">
        <v>7.25</v>
      </c>
      <c r="K2317" s="1">
        <f t="shared" si="2223"/>
        <v>1000</v>
      </c>
      <c r="L2317" s="51">
        <f t="shared" si="2228"/>
        <v>1000</v>
      </c>
      <c r="M2317" s="51">
        <f>(IF(F2317="SELL",IF(J2317="",0,I2317-J2317),IF(F2317="BUY",IF(J2317="",0,(J2317-I2317)))))*E2317</f>
        <v>1000</v>
      </c>
      <c r="N2317" s="2">
        <f t="shared" si="2222"/>
        <v>1.5</v>
      </c>
      <c r="O2317" s="2">
        <f t="shared" si="2226"/>
        <v>3000</v>
      </c>
    </row>
    <row r="2318" spans="1:15">
      <c r="A2318" s="4">
        <v>42739</v>
      </c>
      <c r="B2318" s="5" t="s">
        <v>38</v>
      </c>
      <c r="C2318" s="5" t="s">
        <v>47</v>
      </c>
      <c r="D2318" s="7">
        <v>5600</v>
      </c>
      <c r="E2318" s="9">
        <v>150</v>
      </c>
      <c r="F2318" s="5" t="s">
        <v>8</v>
      </c>
      <c r="G2318" s="5">
        <v>93</v>
      </c>
      <c r="H2318" s="5">
        <v>100</v>
      </c>
      <c r="I2318" s="5">
        <v>0</v>
      </c>
      <c r="J2318" s="5">
        <v>0</v>
      </c>
      <c r="K2318" s="1">
        <f t="shared" si="2223"/>
        <v>1050</v>
      </c>
      <c r="L2318" s="51">
        <v>0</v>
      </c>
      <c r="M2318" s="51">
        <v>0</v>
      </c>
      <c r="N2318" s="2">
        <f t="shared" si="2222"/>
        <v>7</v>
      </c>
      <c r="O2318" s="2">
        <f t="shared" si="2226"/>
        <v>1050</v>
      </c>
    </row>
    <row r="2319" spans="1:15">
      <c r="A2319" s="4">
        <v>42738</v>
      </c>
      <c r="B2319" s="5" t="s">
        <v>39</v>
      </c>
      <c r="C2319" s="5" t="s">
        <v>47</v>
      </c>
      <c r="D2319" s="7">
        <v>1120</v>
      </c>
      <c r="E2319" s="9">
        <v>500</v>
      </c>
      <c r="F2319" s="5" t="s">
        <v>8</v>
      </c>
      <c r="G2319" s="5">
        <v>12.5</v>
      </c>
      <c r="H2319" s="5">
        <v>13.85</v>
      </c>
      <c r="I2319" s="5">
        <v>0</v>
      </c>
      <c r="J2319" s="5">
        <v>0</v>
      </c>
      <c r="K2319" s="1">
        <f t="shared" si="2223"/>
        <v>674.99999999999977</v>
      </c>
      <c r="L2319" s="51">
        <v>0</v>
      </c>
      <c r="M2319" s="51">
        <v>0</v>
      </c>
      <c r="N2319" s="2">
        <f t="shared" si="2222"/>
        <v>1.3499999999999996</v>
      </c>
      <c r="O2319" s="2">
        <f t="shared" si="2226"/>
        <v>674.99999999999977</v>
      </c>
    </row>
    <row r="2320" spans="1:15">
      <c r="A2320" s="4">
        <v>42738</v>
      </c>
      <c r="B2320" s="5" t="s">
        <v>24</v>
      </c>
      <c r="C2320" s="5" t="s">
        <v>47</v>
      </c>
      <c r="D2320" s="7">
        <v>500</v>
      </c>
      <c r="E2320" s="9">
        <v>1500</v>
      </c>
      <c r="F2320" s="5" t="s">
        <v>8</v>
      </c>
      <c r="G2320" s="5">
        <v>12.4</v>
      </c>
      <c r="H2320" s="5">
        <v>10.9</v>
      </c>
      <c r="I2320" s="5">
        <v>0</v>
      </c>
      <c r="J2320" s="5">
        <v>0</v>
      </c>
      <c r="K2320" s="1">
        <f t="shared" si="2223"/>
        <v>-2250</v>
      </c>
      <c r="L2320" s="51">
        <v>0</v>
      </c>
      <c r="M2320" s="51">
        <v>0</v>
      </c>
      <c r="N2320" s="2">
        <f t="shared" si="2222"/>
        <v>-1.5</v>
      </c>
      <c r="O2320" s="2">
        <f t="shared" si="2226"/>
        <v>-2250</v>
      </c>
    </row>
    <row r="2321" spans="1:15">
      <c r="A2321" s="4">
        <v>42738</v>
      </c>
      <c r="B2321" s="5" t="s">
        <v>38</v>
      </c>
      <c r="C2321" s="5" t="s">
        <v>47</v>
      </c>
      <c r="D2321" s="7">
        <v>5600</v>
      </c>
      <c r="E2321" s="9">
        <v>150</v>
      </c>
      <c r="F2321" s="5" t="s">
        <v>8</v>
      </c>
      <c r="G2321" s="5">
        <v>93</v>
      </c>
      <c r="H2321" s="5">
        <v>100</v>
      </c>
      <c r="I2321" s="5">
        <v>0</v>
      </c>
      <c r="J2321" s="5">
        <v>0</v>
      </c>
      <c r="K2321" s="1">
        <f t="shared" si="2223"/>
        <v>1050</v>
      </c>
      <c r="L2321" s="51">
        <v>0</v>
      </c>
      <c r="M2321" s="51">
        <v>0</v>
      </c>
      <c r="N2321" s="2">
        <f t="shared" si="2222"/>
        <v>7</v>
      </c>
      <c r="O2321" s="2">
        <f t="shared" si="2226"/>
        <v>1050</v>
      </c>
    </row>
    <row r="2322" spans="1:15">
      <c r="A2322" s="4">
        <v>42738</v>
      </c>
      <c r="B2322" s="6" t="s">
        <v>39</v>
      </c>
      <c r="C2322" s="6" t="s">
        <v>47</v>
      </c>
      <c r="D2322" s="7">
        <v>1120</v>
      </c>
      <c r="E2322" s="9">
        <v>500</v>
      </c>
      <c r="F2322" s="6" t="s">
        <v>8</v>
      </c>
      <c r="G2322" s="5">
        <v>12.5</v>
      </c>
      <c r="H2322" s="6">
        <v>13.85</v>
      </c>
      <c r="I2322" s="5">
        <v>0</v>
      </c>
      <c r="J2322" s="8">
        <v>0</v>
      </c>
      <c r="K2322" s="1">
        <f t="shared" si="2223"/>
        <v>674.99999999999977</v>
      </c>
      <c r="L2322" s="51">
        <v>0</v>
      </c>
      <c r="M2322" s="51">
        <v>0</v>
      </c>
      <c r="N2322" s="2">
        <f t="shared" si="2222"/>
        <v>1.3499999999999996</v>
      </c>
      <c r="O2322" s="2">
        <f t="shared" si="2226"/>
        <v>674.99999999999977</v>
      </c>
    </row>
    <row r="2323" spans="1:15">
      <c r="A2323" s="4">
        <v>42738</v>
      </c>
      <c r="B2323" s="6" t="s">
        <v>26</v>
      </c>
      <c r="C2323" s="6" t="s">
        <v>46</v>
      </c>
      <c r="D2323" s="7">
        <v>390</v>
      </c>
      <c r="E2323" s="9">
        <v>2000</v>
      </c>
      <c r="F2323" s="6" t="s">
        <v>8</v>
      </c>
      <c r="G2323" s="5">
        <v>6.8</v>
      </c>
      <c r="H2323" s="5">
        <v>7.3</v>
      </c>
      <c r="I2323" s="5">
        <v>0</v>
      </c>
      <c r="J2323" s="8">
        <v>0</v>
      </c>
      <c r="K2323" s="1">
        <f t="shared" si="2223"/>
        <v>1000</v>
      </c>
      <c r="L2323" s="51">
        <v>0</v>
      </c>
      <c r="M2323" s="51">
        <v>0</v>
      </c>
      <c r="N2323" s="2">
        <f t="shared" si="2222"/>
        <v>0.5</v>
      </c>
      <c r="O2323" s="2">
        <f t="shared" si="2226"/>
        <v>1000</v>
      </c>
    </row>
    <row r="2324" spans="1:15">
      <c r="A2324" s="4">
        <v>42371</v>
      </c>
      <c r="B2324" s="6" t="s">
        <v>21</v>
      </c>
      <c r="C2324" s="22" t="s">
        <v>46</v>
      </c>
      <c r="D2324" s="7">
        <v>240</v>
      </c>
      <c r="E2324" s="9">
        <v>3000</v>
      </c>
      <c r="F2324" s="3" t="s">
        <v>8</v>
      </c>
      <c r="G2324" s="5">
        <v>4</v>
      </c>
      <c r="H2324" s="5">
        <v>4.5</v>
      </c>
      <c r="I2324" s="5">
        <v>5</v>
      </c>
      <c r="J2324" s="8">
        <v>5.5</v>
      </c>
      <c r="K2324" s="1">
        <f t="shared" si="2223"/>
        <v>1500</v>
      </c>
      <c r="L2324" s="51">
        <f t="shared" ref="L2324:L2332" si="2229">(IF(F2324="SELL",IF(I2324="",0,H2324-I2324),IF(F2324="BUY",IF(I2324="",0,I2324-H2324))))*E2324</f>
        <v>1500</v>
      </c>
      <c r="M2324" s="51">
        <f>(IF(F2324="SELL",IF(J2324="",0,I2324-J2324),IF(F2324="BUY",IF(J2324="",0,(J2324-I2324)))))*E2324</f>
        <v>1500</v>
      </c>
      <c r="N2324" s="2">
        <f t="shared" si="2222"/>
        <v>1.5</v>
      </c>
      <c r="O2324" s="2">
        <f t="shared" si="2226"/>
        <v>4500</v>
      </c>
    </row>
    <row r="2325" spans="1:15">
      <c r="A2325" s="4">
        <v>42371</v>
      </c>
      <c r="B2325" s="6" t="s">
        <v>21</v>
      </c>
      <c r="C2325" s="22" t="s">
        <v>47</v>
      </c>
      <c r="D2325" s="7">
        <v>255</v>
      </c>
      <c r="E2325" s="9">
        <v>3000</v>
      </c>
      <c r="F2325" s="3" t="s">
        <v>8</v>
      </c>
      <c r="G2325" s="5">
        <v>6</v>
      </c>
      <c r="H2325" s="5">
        <v>6.5</v>
      </c>
      <c r="I2325" s="5">
        <v>0</v>
      </c>
      <c r="J2325" s="8">
        <v>0</v>
      </c>
      <c r="K2325" s="1">
        <f t="shared" si="2223"/>
        <v>1500</v>
      </c>
      <c r="L2325" s="51">
        <v>0</v>
      </c>
      <c r="M2325" s="51">
        <v>0</v>
      </c>
      <c r="N2325" s="2">
        <f t="shared" si="2222"/>
        <v>0.5</v>
      </c>
      <c r="O2325" s="2">
        <f t="shared" si="2226"/>
        <v>1500</v>
      </c>
    </row>
    <row r="2326" spans="1:15">
      <c r="A2326" s="4">
        <v>42734</v>
      </c>
      <c r="B2326" s="6" t="s">
        <v>30</v>
      </c>
      <c r="C2326" s="22" t="s">
        <v>47</v>
      </c>
      <c r="D2326" s="7">
        <v>260</v>
      </c>
      <c r="E2326" s="9">
        <v>2500</v>
      </c>
      <c r="F2326" s="3" t="s">
        <v>8</v>
      </c>
      <c r="G2326" s="5">
        <v>5.5</v>
      </c>
      <c r="H2326" s="5">
        <v>6</v>
      </c>
      <c r="I2326" s="5">
        <v>6.5</v>
      </c>
      <c r="J2326" s="8">
        <v>0</v>
      </c>
      <c r="K2326" s="1">
        <f t="shared" si="2223"/>
        <v>1250</v>
      </c>
      <c r="L2326" s="51">
        <f t="shared" si="2229"/>
        <v>1250</v>
      </c>
      <c r="M2326" s="51">
        <v>0</v>
      </c>
      <c r="N2326" s="2">
        <f t="shared" si="2222"/>
        <v>1</v>
      </c>
      <c r="O2326" s="2">
        <f t="shared" si="2226"/>
        <v>2500</v>
      </c>
    </row>
    <row r="2327" spans="1:15">
      <c r="A2327" s="4">
        <v>42734</v>
      </c>
      <c r="B2327" s="6" t="s">
        <v>17</v>
      </c>
      <c r="C2327" s="22" t="s">
        <v>47</v>
      </c>
      <c r="D2327" s="7">
        <v>440</v>
      </c>
      <c r="E2327" s="9">
        <v>1200</v>
      </c>
      <c r="F2327" s="3" t="s">
        <v>8</v>
      </c>
      <c r="G2327" s="5">
        <v>4.5</v>
      </c>
      <c r="H2327" s="5">
        <v>5.5</v>
      </c>
      <c r="I2327" s="5">
        <v>6.5</v>
      </c>
      <c r="J2327" s="8">
        <v>0</v>
      </c>
      <c r="K2327" s="1">
        <f t="shared" si="2223"/>
        <v>1200</v>
      </c>
      <c r="L2327" s="51">
        <f t="shared" si="2229"/>
        <v>1200</v>
      </c>
      <c r="M2327" s="51">
        <v>0</v>
      </c>
      <c r="N2327" s="2">
        <f t="shared" si="2222"/>
        <v>2</v>
      </c>
      <c r="O2327" s="2">
        <f t="shared" si="2226"/>
        <v>2400</v>
      </c>
    </row>
    <row r="2328" spans="1:15">
      <c r="A2328" s="4">
        <v>42732</v>
      </c>
      <c r="B2328" s="6" t="s">
        <v>33</v>
      </c>
      <c r="C2328" s="22" t="s">
        <v>47</v>
      </c>
      <c r="D2328" s="7">
        <v>420</v>
      </c>
      <c r="E2328" s="9">
        <v>1500</v>
      </c>
      <c r="F2328" s="3" t="s">
        <v>8</v>
      </c>
      <c r="G2328" s="5">
        <v>6</v>
      </c>
      <c r="H2328" s="5">
        <v>7</v>
      </c>
      <c r="I2328" s="5">
        <v>8</v>
      </c>
      <c r="J2328" s="8">
        <v>0</v>
      </c>
      <c r="K2328" s="1">
        <f t="shared" si="2223"/>
        <v>1500</v>
      </c>
      <c r="L2328" s="51">
        <f t="shared" si="2229"/>
        <v>1500</v>
      </c>
      <c r="M2328" s="51">
        <v>0</v>
      </c>
      <c r="N2328" s="2">
        <f t="shared" si="2222"/>
        <v>2</v>
      </c>
      <c r="O2328" s="2">
        <f t="shared" si="2226"/>
        <v>3000</v>
      </c>
    </row>
    <row r="2329" spans="1:15">
      <c r="A2329" s="4">
        <v>42732</v>
      </c>
      <c r="B2329" s="6" t="s">
        <v>23</v>
      </c>
      <c r="C2329" s="22" t="s">
        <v>46</v>
      </c>
      <c r="D2329" s="7">
        <v>440</v>
      </c>
      <c r="E2329" s="9">
        <v>1300</v>
      </c>
      <c r="F2329" s="3" t="s">
        <v>8</v>
      </c>
      <c r="G2329" s="5">
        <v>8</v>
      </c>
      <c r="H2329" s="5">
        <v>9</v>
      </c>
      <c r="I2329" s="5">
        <v>0</v>
      </c>
      <c r="J2329" s="8">
        <v>0</v>
      </c>
      <c r="K2329" s="1">
        <f t="shared" si="2223"/>
        <v>1300</v>
      </c>
      <c r="L2329" s="51">
        <v>0</v>
      </c>
      <c r="M2329" s="51">
        <v>0</v>
      </c>
      <c r="N2329" s="2">
        <f t="shared" si="2222"/>
        <v>1</v>
      </c>
      <c r="O2329" s="2">
        <f t="shared" si="2226"/>
        <v>1300</v>
      </c>
    </row>
    <row r="2330" spans="1:15">
      <c r="A2330" s="4">
        <v>42731</v>
      </c>
      <c r="B2330" s="6" t="s">
        <v>23</v>
      </c>
      <c r="C2330" s="22" t="s">
        <v>46</v>
      </c>
      <c r="D2330" s="7">
        <v>480</v>
      </c>
      <c r="E2330" s="9">
        <v>1300</v>
      </c>
      <c r="F2330" s="3" t="s">
        <v>8</v>
      </c>
      <c r="G2330" s="5">
        <v>4</v>
      </c>
      <c r="H2330" s="5">
        <v>5</v>
      </c>
      <c r="I2330" s="5">
        <v>6</v>
      </c>
      <c r="J2330" s="8">
        <v>7</v>
      </c>
      <c r="K2330" s="1">
        <f t="shared" si="2223"/>
        <v>1300</v>
      </c>
      <c r="L2330" s="51">
        <f t="shared" si="2229"/>
        <v>1300</v>
      </c>
      <c r="M2330" s="51">
        <f>(IF(F2330="SELL",IF(J2330="",0,I2330-J2330),IF(F2330="BUY",IF(J2330="",0,(J2330-I2330)))))*E2330</f>
        <v>1300</v>
      </c>
      <c r="N2330" s="2">
        <f t="shared" si="2222"/>
        <v>3</v>
      </c>
      <c r="O2330" s="2">
        <f t="shared" si="2226"/>
        <v>3900</v>
      </c>
    </row>
    <row r="2331" spans="1:15">
      <c r="A2331" s="4">
        <v>42730</v>
      </c>
      <c r="B2331" s="6" t="s">
        <v>17</v>
      </c>
      <c r="C2331" s="22" t="s">
        <v>46</v>
      </c>
      <c r="D2331" s="7">
        <v>430</v>
      </c>
      <c r="E2331" s="9">
        <v>1200</v>
      </c>
      <c r="F2331" s="3" t="s">
        <v>8</v>
      </c>
      <c r="G2331" s="5">
        <v>5.5</v>
      </c>
      <c r="H2331" s="5">
        <v>6.5</v>
      </c>
      <c r="I2331" s="5">
        <v>0</v>
      </c>
      <c r="J2331" s="8">
        <v>0</v>
      </c>
      <c r="K2331" s="1">
        <f t="shared" si="2223"/>
        <v>1200</v>
      </c>
      <c r="L2331" s="51">
        <v>0</v>
      </c>
      <c r="M2331" s="51">
        <v>0</v>
      </c>
      <c r="N2331" s="2">
        <f t="shared" si="2222"/>
        <v>1</v>
      </c>
      <c r="O2331" s="2">
        <f t="shared" si="2226"/>
        <v>1200</v>
      </c>
    </row>
    <row r="2332" spans="1:15">
      <c r="A2332" s="4">
        <v>42730</v>
      </c>
      <c r="B2332" s="6" t="s">
        <v>26</v>
      </c>
      <c r="C2332" s="22" t="s">
        <v>46</v>
      </c>
      <c r="D2332" s="7">
        <v>390</v>
      </c>
      <c r="E2332" s="9">
        <v>2000</v>
      </c>
      <c r="F2332" s="3" t="s">
        <v>8</v>
      </c>
      <c r="G2332" s="5">
        <v>6</v>
      </c>
      <c r="H2332" s="5">
        <v>6.5</v>
      </c>
      <c r="I2332" s="5">
        <v>7</v>
      </c>
      <c r="J2332" s="8">
        <v>0</v>
      </c>
      <c r="K2332" s="1">
        <f t="shared" si="2223"/>
        <v>1000</v>
      </c>
      <c r="L2332" s="51">
        <f t="shared" si="2229"/>
        <v>1000</v>
      </c>
      <c r="M2332" s="51">
        <v>0</v>
      </c>
      <c r="N2332" s="2">
        <f t="shared" si="2222"/>
        <v>1</v>
      </c>
      <c r="O2332" s="2">
        <f t="shared" si="2226"/>
        <v>2000</v>
      </c>
    </row>
    <row r="2333" spans="1:15">
      <c r="A2333" s="4">
        <v>42727</v>
      </c>
      <c r="B2333" s="6" t="s">
        <v>38</v>
      </c>
      <c r="C2333" s="22" t="s">
        <v>47</v>
      </c>
      <c r="D2333" s="7">
        <v>5200</v>
      </c>
      <c r="E2333" s="9">
        <v>150</v>
      </c>
      <c r="F2333" s="3" t="s">
        <v>8</v>
      </c>
      <c r="G2333" s="5">
        <v>40</v>
      </c>
      <c r="H2333" s="5">
        <v>30</v>
      </c>
      <c r="I2333" s="5">
        <v>0</v>
      </c>
      <c r="J2333" s="8">
        <v>0</v>
      </c>
      <c r="K2333" s="1">
        <f t="shared" si="2223"/>
        <v>-1500</v>
      </c>
      <c r="L2333" s="51">
        <v>0</v>
      </c>
      <c r="M2333" s="51">
        <v>0</v>
      </c>
      <c r="N2333" s="2">
        <f t="shared" ref="N2333:N2396" si="2230">(L2333+K2333+M2333)/E2333</f>
        <v>-10</v>
      </c>
      <c r="O2333" s="2">
        <f t="shared" si="2226"/>
        <v>-1500</v>
      </c>
    </row>
    <row r="2334" spans="1:15">
      <c r="A2334" s="4">
        <v>42726</v>
      </c>
      <c r="B2334" s="6" t="s">
        <v>9</v>
      </c>
      <c r="C2334" s="22" t="s">
        <v>46</v>
      </c>
      <c r="D2334" s="7">
        <v>920</v>
      </c>
      <c r="E2334" s="9">
        <v>600</v>
      </c>
      <c r="F2334" s="3" t="s">
        <v>8</v>
      </c>
      <c r="G2334" s="5">
        <v>16.5</v>
      </c>
      <c r="H2334" s="5">
        <v>18.5</v>
      </c>
      <c r="I2334" s="5">
        <v>0</v>
      </c>
      <c r="J2334" s="8">
        <v>0</v>
      </c>
      <c r="K2334" s="1">
        <f t="shared" si="2223"/>
        <v>1200</v>
      </c>
      <c r="L2334" s="51">
        <v>0</v>
      </c>
      <c r="M2334" s="51">
        <v>0</v>
      </c>
      <c r="N2334" s="2">
        <f t="shared" si="2230"/>
        <v>2</v>
      </c>
      <c r="O2334" s="2">
        <f t="shared" si="2226"/>
        <v>1200</v>
      </c>
    </row>
    <row r="2335" spans="1:15">
      <c r="A2335" s="4">
        <v>42726</v>
      </c>
      <c r="B2335" s="6" t="s">
        <v>26</v>
      </c>
      <c r="C2335" s="22" t="s">
        <v>46</v>
      </c>
      <c r="D2335" s="7">
        <v>400</v>
      </c>
      <c r="E2335" s="9">
        <v>2000</v>
      </c>
      <c r="F2335" s="3" t="s">
        <v>8</v>
      </c>
      <c r="G2335" s="5">
        <v>4.9000000000000004</v>
      </c>
      <c r="H2335" s="5">
        <v>5.4</v>
      </c>
      <c r="I2335" s="5">
        <v>5.9</v>
      </c>
      <c r="J2335" s="8">
        <v>6.4</v>
      </c>
      <c r="K2335" s="1">
        <f t="shared" si="2223"/>
        <v>1000</v>
      </c>
      <c r="L2335" s="51">
        <f t="shared" ref="L2335" si="2231">(IF(F2335="SELL",IF(I2335="",0,H2335-I2335),IF(F2335="BUY",IF(I2335="",0,I2335-H2335))))*E2335</f>
        <v>1000</v>
      </c>
      <c r="M2335" s="51">
        <f>(IF(F2335="SELL",IF(J2335="",0,I2335-J2335),IF(F2335="BUY",IF(J2335="",0,(J2335-I2335)))))*E2335</f>
        <v>1000</v>
      </c>
      <c r="N2335" s="2">
        <f t="shared" si="2230"/>
        <v>1.5</v>
      </c>
      <c r="O2335" s="2">
        <f t="shared" si="2226"/>
        <v>3000</v>
      </c>
    </row>
    <row r="2336" spans="1:15">
      <c r="A2336" s="4">
        <v>42726</v>
      </c>
      <c r="B2336" s="6" t="s">
        <v>33</v>
      </c>
      <c r="C2336" s="22" t="s">
        <v>47</v>
      </c>
      <c r="D2336" s="7">
        <v>460</v>
      </c>
      <c r="E2336" s="9">
        <v>1500</v>
      </c>
      <c r="F2336" s="3" t="s">
        <v>8</v>
      </c>
      <c r="G2336" s="5">
        <v>7</v>
      </c>
      <c r="H2336" s="5">
        <v>8</v>
      </c>
      <c r="I2336" s="5">
        <v>0</v>
      </c>
      <c r="J2336" s="8">
        <v>0</v>
      </c>
      <c r="K2336" s="1">
        <f t="shared" si="2223"/>
        <v>1500</v>
      </c>
      <c r="L2336" s="51">
        <v>0</v>
      </c>
      <c r="M2336" s="51">
        <v>0</v>
      </c>
      <c r="N2336" s="2">
        <f t="shared" si="2230"/>
        <v>1</v>
      </c>
      <c r="O2336" s="2">
        <f t="shared" si="2226"/>
        <v>1500</v>
      </c>
    </row>
    <row r="2337" spans="1:15">
      <c r="A2337" s="4">
        <v>42725</v>
      </c>
      <c r="B2337" s="6" t="s">
        <v>17</v>
      </c>
      <c r="C2337" s="22" t="s">
        <v>46</v>
      </c>
      <c r="D2337" s="7">
        <v>460</v>
      </c>
      <c r="E2337" s="9">
        <v>1200</v>
      </c>
      <c r="F2337" s="3" t="s">
        <v>8</v>
      </c>
      <c r="G2337" s="5">
        <v>5</v>
      </c>
      <c r="H2337" s="5">
        <v>6</v>
      </c>
      <c r="I2337" s="5">
        <v>0</v>
      </c>
      <c r="J2337" s="8">
        <v>0</v>
      </c>
      <c r="K2337" s="1">
        <f t="shared" si="2223"/>
        <v>1200</v>
      </c>
      <c r="L2337" s="51">
        <v>0</v>
      </c>
      <c r="M2337" s="51">
        <v>0</v>
      </c>
      <c r="N2337" s="2">
        <f t="shared" si="2230"/>
        <v>1</v>
      </c>
      <c r="O2337" s="2">
        <f t="shared" si="2226"/>
        <v>1200</v>
      </c>
    </row>
    <row r="2338" spans="1:15">
      <c r="A2338" s="4">
        <v>42725</v>
      </c>
      <c r="B2338" s="6" t="s">
        <v>20</v>
      </c>
      <c r="C2338" s="22" t="s">
        <v>47</v>
      </c>
      <c r="D2338" s="7">
        <v>1020</v>
      </c>
      <c r="E2338" s="9">
        <v>500</v>
      </c>
      <c r="F2338" s="3" t="s">
        <v>8</v>
      </c>
      <c r="G2338" s="5">
        <v>12</v>
      </c>
      <c r="H2338" s="5">
        <v>6</v>
      </c>
      <c r="I2338" s="5">
        <v>0</v>
      </c>
      <c r="J2338" s="8">
        <v>0</v>
      </c>
      <c r="K2338" s="1">
        <f t="shared" si="2223"/>
        <v>-3000</v>
      </c>
      <c r="L2338" s="51">
        <v>0</v>
      </c>
      <c r="M2338" s="51">
        <v>0</v>
      </c>
      <c r="N2338" s="2">
        <f t="shared" si="2230"/>
        <v>-6</v>
      </c>
      <c r="O2338" s="2">
        <f t="shared" si="2226"/>
        <v>-3000</v>
      </c>
    </row>
    <row r="2339" spans="1:15">
      <c r="A2339" s="4">
        <v>42725</v>
      </c>
      <c r="B2339" s="6" t="s">
        <v>29</v>
      </c>
      <c r="C2339" s="22" t="s">
        <v>47</v>
      </c>
      <c r="D2339" s="7">
        <v>200</v>
      </c>
      <c r="E2339" s="9">
        <v>2500</v>
      </c>
      <c r="F2339" s="3" t="s">
        <v>8</v>
      </c>
      <c r="G2339" s="5">
        <v>3.5</v>
      </c>
      <c r="H2339" s="5">
        <v>2.5</v>
      </c>
      <c r="I2339" s="5">
        <v>0</v>
      </c>
      <c r="J2339" s="8">
        <v>0</v>
      </c>
      <c r="K2339" s="1">
        <f t="shared" si="2223"/>
        <v>-2500</v>
      </c>
      <c r="L2339" s="51">
        <v>0</v>
      </c>
      <c r="M2339" s="51">
        <v>0</v>
      </c>
      <c r="N2339" s="2">
        <f t="shared" si="2230"/>
        <v>-1</v>
      </c>
      <c r="O2339" s="2">
        <f t="shared" si="2226"/>
        <v>-2500</v>
      </c>
    </row>
    <row r="2340" spans="1:15">
      <c r="A2340" s="4">
        <v>42724</v>
      </c>
      <c r="B2340" s="6" t="s">
        <v>23</v>
      </c>
      <c r="C2340" s="22" t="s">
        <v>47</v>
      </c>
      <c r="D2340" s="7">
        <v>480</v>
      </c>
      <c r="E2340" s="9">
        <v>1300</v>
      </c>
      <c r="F2340" s="3" t="s">
        <v>8</v>
      </c>
      <c r="G2340" s="5">
        <v>4</v>
      </c>
      <c r="H2340" s="5">
        <v>5</v>
      </c>
      <c r="I2340" s="5">
        <v>0</v>
      </c>
      <c r="J2340" s="8">
        <v>0</v>
      </c>
      <c r="K2340" s="1">
        <f t="shared" si="2223"/>
        <v>1300</v>
      </c>
      <c r="L2340" s="51">
        <v>0</v>
      </c>
      <c r="M2340" s="51">
        <v>0</v>
      </c>
      <c r="N2340" s="2">
        <f t="shared" si="2230"/>
        <v>1</v>
      </c>
      <c r="O2340" s="2">
        <f t="shared" si="2226"/>
        <v>1300</v>
      </c>
    </row>
    <row r="2341" spans="1:15">
      <c r="A2341" s="4">
        <v>42724</v>
      </c>
      <c r="B2341" s="6" t="s">
        <v>17</v>
      </c>
      <c r="C2341" s="22" t="s">
        <v>46</v>
      </c>
      <c r="D2341" s="7">
        <v>460</v>
      </c>
      <c r="E2341" s="9">
        <v>1200</v>
      </c>
      <c r="F2341" s="3" t="s">
        <v>8</v>
      </c>
      <c r="G2341" s="5">
        <v>6</v>
      </c>
      <c r="H2341" s="5">
        <v>4</v>
      </c>
      <c r="I2341" s="5">
        <v>0</v>
      </c>
      <c r="J2341" s="8">
        <v>0</v>
      </c>
      <c r="K2341" s="1">
        <f t="shared" si="2223"/>
        <v>-2400</v>
      </c>
      <c r="L2341" s="51">
        <v>0</v>
      </c>
      <c r="M2341" s="51">
        <v>0</v>
      </c>
      <c r="N2341" s="2">
        <f t="shared" si="2230"/>
        <v>-2</v>
      </c>
      <c r="O2341" s="2">
        <f t="shared" si="2226"/>
        <v>-2400</v>
      </c>
    </row>
    <row r="2342" spans="1:15">
      <c r="A2342" s="4">
        <v>42724</v>
      </c>
      <c r="B2342" s="6" t="s">
        <v>24</v>
      </c>
      <c r="C2342" s="22" t="s">
        <v>48</v>
      </c>
      <c r="D2342" s="7">
        <v>480</v>
      </c>
      <c r="E2342" s="9">
        <v>1500</v>
      </c>
      <c r="F2342" s="3" t="s">
        <v>8</v>
      </c>
      <c r="G2342" s="5">
        <v>6.5</v>
      </c>
      <c r="H2342" s="5">
        <v>7.3</v>
      </c>
      <c r="I2342" s="5">
        <v>8.1</v>
      </c>
      <c r="J2342" s="8">
        <v>8.9</v>
      </c>
      <c r="K2342" s="1">
        <f t="shared" si="2223"/>
        <v>1199.9999999999998</v>
      </c>
      <c r="L2342" s="51">
        <f t="shared" ref="L2342:L2350" si="2232">(IF(F2342="SELL",IF(I2342="",0,H2342-I2342),IF(F2342="BUY",IF(I2342="",0,I2342-H2342))))*E2342</f>
        <v>1199.9999999999998</v>
      </c>
      <c r="M2342" s="51">
        <f>(IF(F2342="SELL",IF(J2342="",0,I2342-J2342),IF(F2342="BUY",IF(J2342="",0,(J2342-I2342)))))*E2342</f>
        <v>1200.0000000000011</v>
      </c>
      <c r="N2342" s="2">
        <f t="shared" si="2230"/>
        <v>2.4000000000000008</v>
      </c>
      <c r="O2342" s="2">
        <f t="shared" si="2226"/>
        <v>3600.0000000000014</v>
      </c>
    </row>
    <row r="2343" spans="1:15">
      <c r="A2343" s="4">
        <v>42723</v>
      </c>
      <c r="B2343" s="6" t="s">
        <v>21</v>
      </c>
      <c r="C2343" s="22" t="s">
        <v>47</v>
      </c>
      <c r="D2343" s="7">
        <v>260</v>
      </c>
      <c r="E2343" s="9">
        <v>3000</v>
      </c>
      <c r="F2343" s="3" t="s">
        <v>8</v>
      </c>
      <c r="G2343" s="5">
        <v>6.2</v>
      </c>
      <c r="H2343" s="5">
        <v>6.7</v>
      </c>
      <c r="I2343" s="5">
        <v>0</v>
      </c>
      <c r="J2343" s="8">
        <v>0</v>
      </c>
      <c r="K2343" s="1">
        <f t="shared" si="2223"/>
        <v>1500</v>
      </c>
      <c r="L2343" s="51">
        <v>0</v>
      </c>
      <c r="M2343" s="51">
        <v>0</v>
      </c>
      <c r="N2343" s="2">
        <f t="shared" si="2230"/>
        <v>0.5</v>
      </c>
      <c r="O2343" s="2">
        <f t="shared" si="2226"/>
        <v>1500</v>
      </c>
    </row>
    <row r="2344" spans="1:15">
      <c r="A2344" s="4">
        <v>42723</v>
      </c>
      <c r="B2344" s="6" t="s">
        <v>23</v>
      </c>
      <c r="C2344" s="22" t="s">
        <v>48</v>
      </c>
      <c r="D2344" s="7">
        <v>520</v>
      </c>
      <c r="E2344" s="9">
        <v>1300</v>
      </c>
      <c r="F2344" s="3" t="s">
        <v>8</v>
      </c>
      <c r="G2344" s="5">
        <v>5</v>
      </c>
      <c r="H2344" s="5">
        <v>6</v>
      </c>
      <c r="I2344" s="5">
        <v>7</v>
      </c>
      <c r="J2344" s="8">
        <v>8</v>
      </c>
      <c r="K2344" s="1">
        <f t="shared" si="2223"/>
        <v>1300</v>
      </c>
      <c r="L2344" s="51">
        <f t="shared" si="2232"/>
        <v>1300</v>
      </c>
      <c r="M2344" s="51">
        <f>(IF(F2344="SELL",IF(J2344="",0,I2344-J2344),IF(F2344="BUY",IF(J2344="",0,(J2344-I2344)))))*E2344</f>
        <v>1300</v>
      </c>
      <c r="N2344" s="2">
        <f t="shared" si="2230"/>
        <v>3</v>
      </c>
      <c r="O2344" s="2">
        <f t="shared" si="2226"/>
        <v>3900</v>
      </c>
    </row>
    <row r="2345" spans="1:15">
      <c r="A2345" s="4">
        <v>42723</v>
      </c>
      <c r="B2345" s="6" t="s">
        <v>30</v>
      </c>
      <c r="C2345" s="22" t="s">
        <v>46</v>
      </c>
      <c r="D2345" s="7">
        <v>260</v>
      </c>
      <c r="E2345" s="9">
        <v>2500</v>
      </c>
      <c r="F2345" s="3" t="s">
        <v>8</v>
      </c>
      <c r="G2345" s="5">
        <v>7</v>
      </c>
      <c r="H2345" s="5">
        <v>7.5</v>
      </c>
      <c r="I2345" s="5">
        <v>0</v>
      </c>
      <c r="J2345" s="8">
        <v>0</v>
      </c>
      <c r="K2345" s="1">
        <f t="shared" si="2223"/>
        <v>1250</v>
      </c>
      <c r="L2345" s="51">
        <v>0</v>
      </c>
      <c r="M2345" s="51">
        <f>(IF(F2345="SELL",IF(J2345="",0,I2345-J2345),IF(F2345="BUY",IF(J2345="",0,(J2345-I2345)))))*E2345</f>
        <v>0</v>
      </c>
      <c r="N2345" s="2">
        <f t="shared" si="2230"/>
        <v>0.5</v>
      </c>
      <c r="O2345" s="2">
        <f t="shared" si="2226"/>
        <v>1250</v>
      </c>
    </row>
    <row r="2346" spans="1:15">
      <c r="A2346" s="4">
        <v>42720</v>
      </c>
      <c r="B2346" s="6" t="s">
        <v>11</v>
      </c>
      <c r="C2346" s="22" t="s">
        <v>46</v>
      </c>
      <c r="D2346" s="7">
        <v>620</v>
      </c>
      <c r="E2346" s="9">
        <v>1000</v>
      </c>
      <c r="F2346" s="3" t="s">
        <v>8</v>
      </c>
      <c r="G2346" s="5">
        <v>6</v>
      </c>
      <c r="H2346" s="5">
        <v>7</v>
      </c>
      <c r="I2346" s="5">
        <v>8</v>
      </c>
      <c r="J2346" s="8">
        <v>9</v>
      </c>
      <c r="K2346" s="1">
        <f t="shared" si="2223"/>
        <v>1000</v>
      </c>
      <c r="L2346" s="51">
        <f t="shared" si="2232"/>
        <v>1000</v>
      </c>
      <c r="M2346" s="51">
        <f>(IF(F2346="SELL",IF(J2346="",0,I2346-J2346),IF(F2346="BUY",IF(J2346="",0,(J2346-I2346)))))*E2346</f>
        <v>1000</v>
      </c>
      <c r="N2346" s="2">
        <f t="shared" si="2230"/>
        <v>3</v>
      </c>
      <c r="O2346" s="2">
        <f t="shared" si="2226"/>
        <v>3000</v>
      </c>
    </row>
    <row r="2347" spans="1:15">
      <c r="A2347" s="4">
        <v>42720</v>
      </c>
      <c r="B2347" s="6" t="s">
        <v>17</v>
      </c>
      <c r="C2347" s="22" t="s">
        <v>46</v>
      </c>
      <c r="D2347" s="7">
        <v>450</v>
      </c>
      <c r="E2347" s="9">
        <v>1200</v>
      </c>
      <c r="F2347" s="3" t="s">
        <v>8</v>
      </c>
      <c r="G2347" s="5">
        <v>4</v>
      </c>
      <c r="H2347" s="5">
        <v>5</v>
      </c>
      <c r="I2347" s="5">
        <v>6</v>
      </c>
      <c r="J2347" s="8">
        <v>0</v>
      </c>
      <c r="K2347" s="1">
        <f t="shared" si="2223"/>
        <v>1200</v>
      </c>
      <c r="L2347" s="51">
        <f t="shared" si="2232"/>
        <v>1200</v>
      </c>
      <c r="M2347" s="51">
        <v>0</v>
      </c>
      <c r="N2347" s="2">
        <f t="shared" si="2230"/>
        <v>2</v>
      </c>
      <c r="O2347" s="2">
        <f t="shared" si="2226"/>
        <v>2400</v>
      </c>
    </row>
    <row r="2348" spans="1:15">
      <c r="A2348" s="4">
        <v>42719</v>
      </c>
      <c r="B2348" s="6" t="s">
        <v>21</v>
      </c>
      <c r="C2348" s="22" t="s">
        <v>46</v>
      </c>
      <c r="D2348" s="7">
        <v>255</v>
      </c>
      <c r="E2348" s="9">
        <v>3000</v>
      </c>
      <c r="F2348" s="3" t="s">
        <v>8</v>
      </c>
      <c r="G2348" s="5">
        <v>3</v>
      </c>
      <c r="H2348" s="5">
        <v>3.5</v>
      </c>
      <c r="I2348" s="5">
        <v>4</v>
      </c>
      <c r="J2348" s="8">
        <v>4.5</v>
      </c>
      <c r="K2348" s="1">
        <f t="shared" si="2223"/>
        <v>1500</v>
      </c>
      <c r="L2348" s="51">
        <f t="shared" si="2232"/>
        <v>1500</v>
      </c>
      <c r="M2348" s="51">
        <f>(IF(F2348="SELL",IF(J2348="",0,I2348-J2348),IF(F2348="BUY",IF(J2348="",0,(J2348-I2348)))))*E2348</f>
        <v>1500</v>
      </c>
      <c r="N2348" s="2">
        <f t="shared" si="2230"/>
        <v>1.5</v>
      </c>
      <c r="O2348" s="2">
        <f t="shared" si="2226"/>
        <v>4500</v>
      </c>
    </row>
    <row r="2349" spans="1:15">
      <c r="A2349" s="4">
        <v>42719</v>
      </c>
      <c r="B2349" s="6" t="s">
        <v>27</v>
      </c>
      <c r="C2349" s="22" t="s">
        <v>46</v>
      </c>
      <c r="D2349" s="7">
        <v>290</v>
      </c>
      <c r="E2349" s="9">
        <v>1700</v>
      </c>
      <c r="F2349" s="3" t="s">
        <v>8</v>
      </c>
      <c r="G2349" s="5">
        <v>3</v>
      </c>
      <c r="H2349" s="5">
        <v>4</v>
      </c>
      <c r="I2349" s="5">
        <v>0</v>
      </c>
      <c r="J2349" s="8">
        <v>0</v>
      </c>
      <c r="K2349" s="1">
        <f t="shared" si="2223"/>
        <v>1700</v>
      </c>
      <c r="L2349" s="51">
        <v>0</v>
      </c>
      <c r="M2349" s="51">
        <v>0</v>
      </c>
      <c r="N2349" s="2">
        <f t="shared" si="2230"/>
        <v>1</v>
      </c>
      <c r="O2349" s="2">
        <f t="shared" si="2226"/>
        <v>1700</v>
      </c>
    </row>
    <row r="2350" spans="1:15">
      <c r="A2350" s="4">
        <v>42718</v>
      </c>
      <c r="B2350" s="6" t="s">
        <v>37</v>
      </c>
      <c r="C2350" s="22" t="s">
        <v>46</v>
      </c>
      <c r="D2350" s="7">
        <v>2200</v>
      </c>
      <c r="E2350" s="9">
        <v>250</v>
      </c>
      <c r="F2350" s="3" t="s">
        <v>8</v>
      </c>
      <c r="G2350" s="5">
        <v>29.6</v>
      </c>
      <c r="H2350" s="5">
        <v>33.6</v>
      </c>
      <c r="I2350" s="5">
        <v>37.6</v>
      </c>
      <c r="J2350" s="8">
        <v>0</v>
      </c>
      <c r="K2350" s="1">
        <f t="shared" si="2223"/>
        <v>1000</v>
      </c>
      <c r="L2350" s="51">
        <f t="shared" si="2232"/>
        <v>1000</v>
      </c>
      <c r="M2350" s="51">
        <v>0</v>
      </c>
      <c r="N2350" s="2">
        <f t="shared" si="2230"/>
        <v>8</v>
      </c>
      <c r="O2350" s="2">
        <f t="shared" si="2226"/>
        <v>2000</v>
      </c>
    </row>
    <row r="2351" spans="1:15">
      <c r="A2351" s="4">
        <v>42718</v>
      </c>
      <c r="B2351" s="6" t="s">
        <v>26</v>
      </c>
      <c r="C2351" s="22" t="s">
        <v>46</v>
      </c>
      <c r="D2351" s="7">
        <v>400</v>
      </c>
      <c r="E2351" s="9">
        <v>2000</v>
      </c>
      <c r="F2351" s="3" t="s">
        <v>8</v>
      </c>
      <c r="G2351" s="5">
        <v>4</v>
      </c>
      <c r="H2351" s="5">
        <v>4.5</v>
      </c>
      <c r="I2351" s="5">
        <v>0</v>
      </c>
      <c r="J2351" s="8">
        <v>0</v>
      </c>
      <c r="K2351" s="1">
        <f t="shared" si="2223"/>
        <v>1000</v>
      </c>
      <c r="L2351" s="51">
        <v>0</v>
      </c>
      <c r="M2351" s="51">
        <v>0</v>
      </c>
      <c r="N2351" s="2">
        <f t="shared" si="2230"/>
        <v>0.5</v>
      </c>
      <c r="O2351" s="2">
        <f t="shared" si="2226"/>
        <v>1000</v>
      </c>
    </row>
    <row r="2352" spans="1:15">
      <c r="A2352" s="4">
        <v>42718</v>
      </c>
      <c r="B2352" s="6" t="s">
        <v>38</v>
      </c>
      <c r="C2352" s="22" t="s">
        <v>47</v>
      </c>
      <c r="D2352" s="7">
        <v>5200</v>
      </c>
      <c r="E2352" s="9">
        <v>150</v>
      </c>
      <c r="F2352" s="3" t="s">
        <v>8</v>
      </c>
      <c r="G2352" s="5">
        <v>115</v>
      </c>
      <c r="H2352" s="5">
        <v>122</v>
      </c>
      <c r="I2352" s="5">
        <v>0</v>
      </c>
      <c r="J2352" s="8">
        <v>0</v>
      </c>
      <c r="K2352" s="1">
        <f t="shared" si="2223"/>
        <v>1050</v>
      </c>
      <c r="L2352" s="51">
        <v>0</v>
      </c>
      <c r="M2352" s="51">
        <v>0</v>
      </c>
      <c r="N2352" s="2">
        <f t="shared" si="2230"/>
        <v>7</v>
      </c>
      <c r="O2352" s="2">
        <f t="shared" si="2226"/>
        <v>1050</v>
      </c>
    </row>
    <row r="2353" spans="1:15">
      <c r="A2353" s="4">
        <v>42717</v>
      </c>
      <c r="B2353" s="6" t="s">
        <v>26</v>
      </c>
      <c r="C2353" s="22" t="s">
        <v>46</v>
      </c>
      <c r="D2353" s="7">
        <v>400</v>
      </c>
      <c r="E2353" s="9">
        <v>2000</v>
      </c>
      <c r="F2353" s="3" t="s">
        <v>8</v>
      </c>
      <c r="G2353" s="5">
        <v>4.5</v>
      </c>
      <c r="H2353" s="5">
        <v>5.5</v>
      </c>
      <c r="I2353" s="5">
        <v>6.5</v>
      </c>
      <c r="J2353" s="8">
        <v>0</v>
      </c>
      <c r="K2353" s="1">
        <f t="shared" si="2223"/>
        <v>2000</v>
      </c>
      <c r="L2353" s="51">
        <f t="shared" ref="L2353:L2357" si="2233">(IF(F2353="SELL",IF(I2353="",0,H2353-I2353),IF(F2353="BUY",IF(I2353="",0,I2353-H2353))))*E2353</f>
        <v>2000</v>
      </c>
      <c r="M2353" s="51">
        <v>0</v>
      </c>
      <c r="N2353" s="2">
        <f t="shared" si="2230"/>
        <v>2</v>
      </c>
      <c r="O2353" s="2">
        <f t="shared" ref="O2353:O2416" si="2234">N2353*E2353</f>
        <v>4000</v>
      </c>
    </row>
    <row r="2354" spans="1:15">
      <c r="A2354" s="4">
        <v>42717</v>
      </c>
      <c r="B2354" s="6" t="s">
        <v>21</v>
      </c>
      <c r="C2354" s="22" t="s">
        <v>46</v>
      </c>
      <c r="D2354" s="7">
        <v>255</v>
      </c>
      <c r="E2354" s="9">
        <v>3000</v>
      </c>
      <c r="F2354" s="3" t="s">
        <v>8</v>
      </c>
      <c r="G2354" s="5">
        <v>3.7</v>
      </c>
      <c r="H2354" s="5">
        <v>4.5</v>
      </c>
      <c r="I2354" s="5">
        <v>0</v>
      </c>
      <c r="J2354" s="8">
        <v>0</v>
      </c>
      <c r="K2354" s="1">
        <f t="shared" si="2223"/>
        <v>2399.9999999999995</v>
      </c>
      <c r="L2354" s="51">
        <v>0</v>
      </c>
      <c r="M2354" s="51">
        <v>0</v>
      </c>
      <c r="N2354" s="2">
        <f t="shared" si="2230"/>
        <v>0.79999999999999982</v>
      </c>
      <c r="O2354" s="2">
        <f t="shared" si="2234"/>
        <v>2399.9999999999995</v>
      </c>
    </row>
    <row r="2355" spans="1:15">
      <c r="A2355" s="4">
        <v>42716</v>
      </c>
      <c r="B2355" s="6" t="s">
        <v>26</v>
      </c>
      <c r="C2355" s="22" t="s">
        <v>46</v>
      </c>
      <c r="D2355" s="7">
        <v>410</v>
      </c>
      <c r="E2355" s="9">
        <v>2000</v>
      </c>
      <c r="F2355" s="3" t="s">
        <v>8</v>
      </c>
      <c r="G2355" s="5">
        <v>5.5</v>
      </c>
      <c r="H2355" s="5">
        <v>6.5</v>
      </c>
      <c r="I2355" s="5">
        <v>7.5</v>
      </c>
      <c r="J2355" s="8">
        <v>0</v>
      </c>
      <c r="K2355" s="1">
        <f t="shared" si="2223"/>
        <v>2000</v>
      </c>
      <c r="L2355" s="51">
        <f t="shared" si="2233"/>
        <v>2000</v>
      </c>
      <c r="M2355" s="51">
        <v>0</v>
      </c>
      <c r="N2355" s="2">
        <f t="shared" si="2230"/>
        <v>2</v>
      </c>
      <c r="O2355" s="2">
        <f t="shared" si="2234"/>
        <v>4000</v>
      </c>
    </row>
    <row r="2356" spans="1:15">
      <c r="A2356" s="4">
        <v>42716</v>
      </c>
      <c r="B2356" s="6" t="s">
        <v>22</v>
      </c>
      <c r="C2356" s="22" t="s">
        <v>46</v>
      </c>
      <c r="D2356" s="7">
        <v>110</v>
      </c>
      <c r="E2356" s="9">
        <v>5000</v>
      </c>
      <c r="F2356" s="3" t="s">
        <v>8</v>
      </c>
      <c r="G2356" s="5">
        <v>2.7</v>
      </c>
      <c r="H2356" s="5">
        <v>3.3</v>
      </c>
      <c r="I2356" s="5">
        <v>3.9</v>
      </c>
      <c r="J2356" s="8">
        <v>0</v>
      </c>
      <c r="K2356" s="1">
        <f t="shared" si="2223"/>
        <v>2999.9999999999982</v>
      </c>
      <c r="L2356" s="51">
        <f t="shared" si="2233"/>
        <v>3000.0000000000005</v>
      </c>
      <c r="M2356" s="51">
        <v>0</v>
      </c>
      <c r="N2356" s="2">
        <f t="shared" si="2230"/>
        <v>1.1999999999999997</v>
      </c>
      <c r="O2356" s="2">
        <f t="shared" si="2234"/>
        <v>5999.9999999999991</v>
      </c>
    </row>
    <row r="2357" spans="1:15">
      <c r="A2357" s="4">
        <v>42716</v>
      </c>
      <c r="B2357" s="6" t="s">
        <v>26</v>
      </c>
      <c r="C2357" s="22" t="s">
        <v>46</v>
      </c>
      <c r="D2357" s="7">
        <v>410</v>
      </c>
      <c r="E2357" s="9">
        <v>2000</v>
      </c>
      <c r="F2357" s="3" t="s">
        <v>8</v>
      </c>
      <c r="G2357" s="5">
        <v>5.3</v>
      </c>
      <c r="H2357" s="5">
        <v>6.3</v>
      </c>
      <c r="I2357" s="5">
        <v>7.3</v>
      </c>
      <c r="J2357" s="8">
        <v>0</v>
      </c>
      <c r="K2357" s="1">
        <f t="shared" si="2223"/>
        <v>2000</v>
      </c>
      <c r="L2357" s="51">
        <f t="shared" si="2233"/>
        <v>2000</v>
      </c>
      <c r="M2357" s="51">
        <v>0</v>
      </c>
      <c r="N2357" s="2">
        <f t="shared" si="2230"/>
        <v>2</v>
      </c>
      <c r="O2357" s="2">
        <f t="shared" si="2234"/>
        <v>4000</v>
      </c>
    </row>
    <row r="2358" spans="1:15">
      <c r="A2358" s="4">
        <v>42713</v>
      </c>
      <c r="B2358" s="6" t="s">
        <v>17</v>
      </c>
      <c r="C2358" s="22" t="s">
        <v>46</v>
      </c>
      <c r="D2358" s="7">
        <v>430</v>
      </c>
      <c r="E2358" s="9">
        <v>1200</v>
      </c>
      <c r="F2358" s="3" t="s">
        <v>8</v>
      </c>
      <c r="G2358" s="5">
        <v>5.5</v>
      </c>
      <c r="H2358" s="5">
        <v>3</v>
      </c>
      <c r="I2358" s="5">
        <v>0</v>
      </c>
      <c r="J2358" s="8">
        <v>0</v>
      </c>
      <c r="K2358" s="1">
        <f t="shared" si="2223"/>
        <v>-3000</v>
      </c>
      <c r="L2358" s="51">
        <v>0</v>
      </c>
      <c r="M2358" s="51">
        <v>0</v>
      </c>
      <c r="N2358" s="2">
        <f t="shared" si="2230"/>
        <v>-2.5</v>
      </c>
      <c r="O2358" s="2">
        <f t="shared" si="2234"/>
        <v>-3000</v>
      </c>
    </row>
    <row r="2359" spans="1:15">
      <c r="A2359" s="4">
        <v>42713</v>
      </c>
      <c r="B2359" s="6" t="s">
        <v>19</v>
      </c>
      <c r="C2359" s="22" t="s">
        <v>47</v>
      </c>
      <c r="D2359" s="7">
        <v>980</v>
      </c>
      <c r="E2359" s="9">
        <v>500</v>
      </c>
      <c r="F2359" s="3" t="s">
        <v>8</v>
      </c>
      <c r="G2359" s="5">
        <v>11</v>
      </c>
      <c r="H2359" s="5">
        <v>5</v>
      </c>
      <c r="I2359" s="5">
        <v>0</v>
      </c>
      <c r="J2359" s="8">
        <v>0</v>
      </c>
      <c r="K2359" s="1">
        <f t="shared" si="2223"/>
        <v>-3000</v>
      </c>
      <c r="L2359" s="51">
        <v>0</v>
      </c>
      <c r="M2359" s="51">
        <v>0</v>
      </c>
      <c r="N2359" s="2">
        <f t="shared" si="2230"/>
        <v>-6</v>
      </c>
      <c r="O2359" s="2">
        <f t="shared" si="2234"/>
        <v>-3000</v>
      </c>
    </row>
    <row r="2360" spans="1:15">
      <c r="A2360" s="4">
        <v>42713</v>
      </c>
      <c r="B2360" s="6" t="s">
        <v>14</v>
      </c>
      <c r="C2360" s="22" t="s">
        <v>47</v>
      </c>
      <c r="D2360" s="7">
        <v>380</v>
      </c>
      <c r="E2360" s="9">
        <v>2000</v>
      </c>
      <c r="F2360" s="3" t="s">
        <v>8</v>
      </c>
      <c r="G2360" s="5">
        <v>4.0999999999999996</v>
      </c>
      <c r="H2360" s="5">
        <v>5.0999999999999996</v>
      </c>
      <c r="I2360" s="5">
        <v>0</v>
      </c>
      <c r="J2360" s="8">
        <v>0</v>
      </c>
      <c r="K2360" s="1">
        <f t="shared" si="2223"/>
        <v>2000</v>
      </c>
      <c r="L2360" s="51">
        <v>0</v>
      </c>
      <c r="M2360" s="51">
        <v>0</v>
      </c>
      <c r="N2360" s="2">
        <f t="shared" si="2230"/>
        <v>1</v>
      </c>
      <c r="O2360" s="2">
        <f t="shared" si="2234"/>
        <v>2000</v>
      </c>
    </row>
    <row r="2361" spans="1:15">
      <c r="A2361" s="4">
        <v>42712</v>
      </c>
      <c r="B2361" s="6" t="s">
        <v>13</v>
      </c>
      <c r="C2361" s="22" t="s">
        <v>47</v>
      </c>
      <c r="D2361" s="7">
        <v>800</v>
      </c>
      <c r="E2361" s="9">
        <v>700</v>
      </c>
      <c r="F2361" s="3" t="s">
        <v>8</v>
      </c>
      <c r="G2361" s="5">
        <v>16</v>
      </c>
      <c r="H2361" s="5">
        <v>19</v>
      </c>
      <c r="I2361" s="5">
        <v>22</v>
      </c>
      <c r="J2361" s="8">
        <v>0</v>
      </c>
      <c r="K2361" s="1">
        <f t="shared" si="2223"/>
        <v>2100</v>
      </c>
      <c r="L2361" s="51">
        <f t="shared" ref="L2361:L2362" si="2235">(IF(F2361="SELL",IF(I2361="",0,H2361-I2361),IF(F2361="BUY",IF(I2361="",0,I2361-H2361))))*E2361</f>
        <v>2100</v>
      </c>
      <c r="M2361" s="51">
        <v>0</v>
      </c>
      <c r="N2361" s="2">
        <f t="shared" si="2230"/>
        <v>6</v>
      </c>
      <c r="O2361" s="2">
        <f t="shared" si="2234"/>
        <v>4200</v>
      </c>
    </row>
    <row r="2362" spans="1:15">
      <c r="A2362" s="4">
        <v>42712</v>
      </c>
      <c r="B2362" s="6" t="s">
        <v>26</v>
      </c>
      <c r="C2362" s="22" t="s">
        <v>47</v>
      </c>
      <c r="D2362" s="7">
        <v>440</v>
      </c>
      <c r="E2362" s="9">
        <v>2000</v>
      </c>
      <c r="F2362" s="3" t="s">
        <v>8</v>
      </c>
      <c r="G2362" s="5">
        <v>6.5</v>
      </c>
      <c r="H2362" s="5">
        <v>7.5</v>
      </c>
      <c r="I2362" s="5">
        <v>8.5</v>
      </c>
      <c r="J2362" s="8">
        <v>0</v>
      </c>
      <c r="K2362" s="1">
        <f t="shared" si="2223"/>
        <v>2000</v>
      </c>
      <c r="L2362" s="51">
        <f t="shared" si="2235"/>
        <v>2000</v>
      </c>
      <c r="M2362" s="51">
        <v>0</v>
      </c>
      <c r="N2362" s="2">
        <f t="shared" si="2230"/>
        <v>2</v>
      </c>
      <c r="O2362" s="2">
        <f t="shared" si="2234"/>
        <v>4000</v>
      </c>
    </row>
    <row r="2363" spans="1:15">
      <c r="A2363" s="4">
        <v>42712</v>
      </c>
      <c r="B2363" s="6" t="s">
        <v>30</v>
      </c>
      <c r="C2363" s="22" t="s">
        <v>47</v>
      </c>
      <c r="D2363" s="7">
        <v>275</v>
      </c>
      <c r="E2363" s="9">
        <v>2500</v>
      </c>
      <c r="F2363" s="3" t="s">
        <v>8</v>
      </c>
      <c r="G2363" s="5">
        <v>4.8</v>
      </c>
      <c r="H2363" s="5">
        <v>3.8</v>
      </c>
      <c r="I2363" s="5">
        <v>0</v>
      </c>
      <c r="J2363" s="8">
        <v>0</v>
      </c>
      <c r="K2363" s="1">
        <f t="shared" si="2223"/>
        <v>-2500</v>
      </c>
      <c r="L2363" s="51">
        <v>0</v>
      </c>
      <c r="M2363" s="51">
        <v>0</v>
      </c>
      <c r="N2363" s="2">
        <f t="shared" si="2230"/>
        <v>-1</v>
      </c>
      <c r="O2363" s="2">
        <f t="shared" si="2234"/>
        <v>-2500</v>
      </c>
    </row>
    <row r="2364" spans="1:15">
      <c r="A2364" s="4">
        <v>42711</v>
      </c>
      <c r="B2364" s="6" t="s">
        <v>40</v>
      </c>
      <c r="C2364" s="22" t="s">
        <v>47</v>
      </c>
      <c r="D2364" s="7">
        <v>75</v>
      </c>
      <c r="E2364" s="9">
        <v>5000</v>
      </c>
      <c r="F2364" s="3" t="s">
        <v>8</v>
      </c>
      <c r="G2364" s="5">
        <v>2.7</v>
      </c>
      <c r="H2364" s="5">
        <v>3.5</v>
      </c>
      <c r="I2364" s="5">
        <v>0</v>
      </c>
      <c r="J2364" s="8">
        <v>0</v>
      </c>
      <c r="K2364" s="1">
        <f t="shared" si="2223"/>
        <v>3999.9999999999991</v>
      </c>
      <c r="L2364" s="51">
        <v>0</v>
      </c>
      <c r="M2364" s="51">
        <v>0</v>
      </c>
      <c r="N2364" s="2">
        <f t="shared" si="2230"/>
        <v>0.79999999999999982</v>
      </c>
      <c r="O2364" s="2">
        <f t="shared" si="2234"/>
        <v>3999.9999999999991</v>
      </c>
    </row>
    <row r="2365" spans="1:15">
      <c r="A2365" s="4">
        <v>42711</v>
      </c>
      <c r="B2365" s="6" t="s">
        <v>34</v>
      </c>
      <c r="C2365" s="22" t="s">
        <v>47</v>
      </c>
      <c r="D2365" s="7">
        <v>185</v>
      </c>
      <c r="E2365" s="9">
        <v>3500</v>
      </c>
      <c r="F2365" s="3" t="s">
        <v>8</v>
      </c>
      <c r="G2365" s="5">
        <v>4.2</v>
      </c>
      <c r="H2365" s="5">
        <v>3.5</v>
      </c>
      <c r="I2365" s="5">
        <v>0</v>
      </c>
      <c r="J2365" s="8">
        <v>0</v>
      </c>
      <c r="K2365" s="1">
        <f t="shared" si="2223"/>
        <v>-2450.0000000000005</v>
      </c>
      <c r="L2365" s="51">
        <v>0</v>
      </c>
      <c r="M2365" s="51">
        <v>0</v>
      </c>
      <c r="N2365" s="2">
        <f t="shared" si="2230"/>
        <v>-0.70000000000000018</v>
      </c>
      <c r="O2365" s="2">
        <f t="shared" si="2234"/>
        <v>-2450.0000000000005</v>
      </c>
    </row>
    <row r="2366" spans="1:15">
      <c r="A2366" s="4">
        <v>42710</v>
      </c>
      <c r="B2366" s="6" t="s">
        <v>22</v>
      </c>
      <c r="C2366" s="22" t="s">
        <v>47</v>
      </c>
      <c r="D2366" s="7">
        <v>120</v>
      </c>
      <c r="E2366" s="9">
        <v>5000</v>
      </c>
      <c r="F2366" s="3" t="s">
        <v>8</v>
      </c>
      <c r="G2366" s="5">
        <v>4.2</v>
      </c>
      <c r="H2366" s="5">
        <v>3.5</v>
      </c>
      <c r="I2366" s="5">
        <v>0</v>
      </c>
      <c r="J2366" s="8">
        <v>0</v>
      </c>
      <c r="K2366" s="1">
        <f t="shared" si="2223"/>
        <v>-3500.0000000000009</v>
      </c>
      <c r="L2366" s="51">
        <v>0</v>
      </c>
      <c r="M2366" s="51">
        <v>0</v>
      </c>
      <c r="N2366" s="2">
        <f t="shared" si="2230"/>
        <v>-0.70000000000000018</v>
      </c>
      <c r="O2366" s="2">
        <f t="shared" si="2234"/>
        <v>-3500.0000000000009</v>
      </c>
    </row>
    <row r="2367" spans="1:15">
      <c r="A2367" s="4">
        <v>42710</v>
      </c>
      <c r="B2367" s="6" t="s">
        <v>26</v>
      </c>
      <c r="C2367" s="22" t="s">
        <v>47</v>
      </c>
      <c r="D2367" s="7">
        <v>430</v>
      </c>
      <c r="E2367" s="9">
        <v>2000</v>
      </c>
      <c r="F2367" s="3" t="s">
        <v>8</v>
      </c>
      <c r="G2367" s="5">
        <v>6.8</v>
      </c>
      <c r="H2367" s="5">
        <v>7.8</v>
      </c>
      <c r="I2367" s="5">
        <v>8.8000000000000007</v>
      </c>
      <c r="J2367" s="8">
        <v>0</v>
      </c>
      <c r="K2367" s="1">
        <f t="shared" si="2223"/>
        <v>2000</v>
      </c>
      <c r="L2367" s="51">
        <f t="shared" ref="L2367:L2372" si="2236">(IF(F2367="SELL",IF(I2367="",0,H2367-I2367),IF(F2367="BUY",IF(I2367="",0,I2367-H2367))))*E2367</f>
        <v>2000.0000000000018</v>
      </c>
      <c r="M2367" s="51">
        <v>0</v>
      </c>
      <c r="N2367" s="2">
        <f t="shared" si="2230"/>
        <v>2.0000000000000009</v>
      </c>
      <c r="O2367" s="2">
        <f t="shared" si="2234"/>
        <v>4000.0000000000018</v>
      </c>
    </row>
    <row r="2368" spans="1:15">
      <c r="A2368" s="4">
        <v>42709</v>
      </c>
      <c r="B2368" s="6" t="s">
        <v>22</v>
      </c>
      <c r="C2368" s="22" t="s">
        <v>47</v>
      </c>
      <c r="D2368" s="7">
        <v>115</v>
      </c>
      <c r="E2368" s="9">
        <v>5000</v>
      </c>
      <c r="F2368" s="3" t="s">
        <v>8</v>
      </c>
      <c r="G2368" s="5">
        <v>4.2</v>
      </c>
      <c r="H2368" s="5">
        <v>4.8</v>
      </c>
      <c r="I2368" s="5">
        <v>5.4</v>
      </c>
      <c r="J2368" s="8">
        <v>0</v>
      </c>
      <c r="K2368" s="1">
        <f t="shared" si="2223"/>
        <v>2999.9999999999982</v>
      </c>
      <c r="L2368" s="51">
        <f t="shared" si="2236"/>
        <v>3000.0000000000027</v>
      </c>
      <c r="M2368" s="51">
        <v>0</v>
      </c>
      <c r="N2368" s="2">
        <f t="shared" si="2230"/>
        <v>1.2000000000000002</v>
      </c>
      <c r="O2368" s="2">
        <f t="shared" si="2234"/>
        <v>6000.0000000000009</v>
      </c>
    </row>
    <row r="2369" spans="1:15">
      <c r="A2369" s="4">
        <v>42709</v>
      </c>
      <c r="B2369" s="6" t="s">
        <v>19</v>
      </c>
      <c r="C2369" s="22" t="s">
        <v>47</v>
      </c>
      <c r="D2369" s="7">
        <v>960</v>
      </c>
      <c r="E2369" s="9">
        <v>600</v>
      </c>
      <c r="F2369" s="3" t="s">
        <v>8</v>
      </c>
      <c r="G2369" s="5">
        <v>14.5</v>
      </c>
      <c r="H2369" s="5">
        <v>18.5</v>
      </c>
      <c r="I2369" s="5">
        <v>0</v>
      </c>
      <c r="J2369" s="8">
        <v>0</v>
      </c>
      <c r="K2369" s="1">
        <f t="shared" si="2223"/>
        <v>2400</v>
      </c>
      <c r="L2369" s="51">
        <v>0</v>
      </c>
      <c r="M2369" s="51">
        <v>0</v>
      </c>
      <c r="N2369" s="2">
        <f t="shared" si="2230"/>
        <v>4</v>
      </c>
      <c r="O2369" s="2">
        <f t="shared" si="2234"/>
        <v>2400</v>
      </c>
    </row>
    <row r="2370" spans="1:15">
      <c r="A2370" s="4">
        <v>42709</v>
      </c>
      <c r="B2370" s="6" t="s">
        <v>34</v>
      </c>
      <c r="C2370" s="22" t="s">
        <v>47</v>
      </c>
      <c r="D2370" s="7">
        <v>185</v>
      </c>
      <c r="E2370" s="9">
        <v>3500</v>
      </c>
      <c r="F2370" s="3" t="s">
        <v>8</v>
      </c>
      <c r="G2370" s="5">
        <v>3.5</v>
      </c>
      <c r="H2370" s="5">
        <v>4.5</v>
      </c>
      <c r="I2370" s="5">
        <v>5.5</v>
      </c>
      <c r="J2370" s="8">
        <v>0</v>
      </c>
      <c r="K2370" s="1">
        <f t="shared" si="2223"/>
        <v>3500</v>
      </c>
      <c r="L2370" s="51">
        <f t="shared" si="2236"/>
        <v>3500</v>
      </c>
      <c r="M2370" s="51">
        <v>0</v>
      </c>
      <c r="N2370" s="2">
        <f t="shared" si="2230"/>
        <v>2</v>
      </c>
      <c r="O2370" s="2">
        <f t="shared" si="2234"/>
        <v>7000</v>
      </c>
    </row>
    <row r="2371" spans="1:15">
      <c r="A2371" s="4">
        <v>42706</v>
      </c>
      <c r="B2371" s="6" t="s">
        <v>34</v>
      </c>
      <c r="C2371" s="22" t="s">
        <v>47</v>
      </c>
      <c r="D2371" s="7">
        <v>190</v>
      </c>
      <c r="E2371" s="9">
        <v>3500</v>
      </c>
      <c r="F2371" s="3" t="s">
        <v>8</v>
      </c>
      <c r="G2371" s="5">
        <v>3.5</v>
      </c>
      <c r="H2371" s="5">
        <v>4.3</v>
      </c>
      <c r="I2371" s="5">
        <v>0</v>
      </c>
      <c r="J2371" s="8">
        <v>0</v>
      </c>
      <c r="K2371" s="1">
        <f t="shared" si="2223"/>
        <v>2799.9999999999995</v>
      </c>
      <c r="L2371" s="51">
        <v>0</v>
      </c>
      <c r="M2371" s="51">
        <v>0</v>
      </c>
      <c r="N2371" s="2">
        <f t="shared" si="2230"/>
        <v>0.79999999999999982</v>
      </c>
      <c r="O2371" s="2">
        <f t="shared" si="2234"/>
        <v>2799.9999999999995</v>
      </c>
    </row>
    <row r="2372" spans="1:15">
      <c r="A2372" s="4">
        <v>42704</v>
      </c>
      <c r="B2372" s="6" t="s">
        <v>30</v>
      </c>
      <c r="C2372" s="22" t="s">
        <v>47</v>
      </c>
      <c r="D2372" s="7">
        <v>270</v>
      </c>
      <c r="E2372" s="9">
        <v>2500</v>
      </c>
      <c r="F2372" s="3" t="s">
        <v>8</v>
      </c>
      <c r="G2372" s="5">
        <v>6</v>
      </c>
      <c r="H2372" s="5">
        <v>6.8</v>
      </c>
      <c r="I2372" s="5">
        <v>7.6</v>
      </c>
      <c r="J2372" s="8">
        <v>0</v>
      </c>
      <c r="K2372" s="1">
        <f t="shared" si="2223"/>
        <v>1999.9999999999995</v>
      </c>
      <c r="L2372" s="51">
        <f t="shared" si="2236"/>
        <v>1999.9999999999995</v>
      </c>
      <c r="M2372" s="51">
        <v>0</v>
      </c>
      <c r="N2372" s="2">
        <f t="shared" si="2230"/>
        <v>1.5999999999999996</v>
      </c>
      <c r="O2372" s="2">
        <f t="shared" si="2234"/>
        <v>3999.9999999999991</v>
      </c>
    </row>
    <row r="2373" spans="1:15">
      <c r="A2373" s="4">
        <v>42704</v>
      </c>
      <c r="B2373" s="6" t="s">
        <v>22</v>
      </c>
      <c r="C2373" s="22" t="s">
        <v>46</v>
      </c>
      <c r="D2373" s="7">
        <v>105</v>
      </c>
      <c r="E2373" s="9">
        <v>5000</v>
      </c>
      <c r="F2373" s="3" t="s">
        <v>8</v>
      </c>
      <c r="G2373" s="5">
        <v>3.2</v>
      </c>
      <c r="H2373" s="5">
        <v>2.4</v>
      </c>
      <c r="I2373" s="5">
        <v>0</v>
      </c>
      <c r="J2373" s="8">
        <v>0</v>
      </c>
      <c r="K2373" s="1">
        <f t="shared" si="2223"/>
        <v>-4000.0000000000014</v>
      </c>
      <c r="L2373" s="51">
        <v>0</v>
      </c>
      <c r="M2373" s="51">
        <v>0</v>
      </c>
      <c r="N2373" s="2">
        <f t="shared" si="2230"/>
        <v>-0.80000000000000027</v>
      </c>
      <c r="O2373" s="2">
        <f t="shared" si="2234"/>
        <v>-4000.0000000000014</v>
      </c>
    </row>
    <row r="2374" spans="1:15">
      <c r="A2374" s="4">
        <v>42704</v>
      </c>
      <c r="B2374" s="6" t="s">
        <v>21</v>
      </c>
      <c r="C2374" s="22" t="s">
        <v>47</v>
      </c>
      <c r="D2374" s="7">
        <v>275</v>
      </c>
      <c r="E2374" s="9">
        <v>3000</v>
      </c>
      <c r="F2374" s="3" t="s">
        <v>8</v>
      </c>
      <c r="G2374" s="5">
        <v>4.5</v>
      </c>
      <c r="H2374" s="5">
        <v>5.15</v>
      </c>
      <c r="I2374" s="5">
        <v>0</v>
      </c>
      <c r="J2374" s="8">
        <v>0</v>
      </c>
      <c r="K2374" s="1">
        <f t="shared" si="2223"/>
        <v>1950.0000000000011</v>
      </c>
      <c r="L2374" s="51">
        <v>0</v>
      </c>
      <c r="M2374" s="51">
        <v>0</v>
      </c>
      <c r="N2374" s="2">
        <f t="shared" si="2230"/>
        <v>0.65000000000000036</v>
      </c>
      <c r="O2374" s="2">
        <f t="shared" si="2234"/>
        <v>1950.0000000000011</v>
      </c>
    </row>
    <row r="2375" spans="1:15">
      <c r="A2375" s="4">
        <v>42703</v>
      </c>
      <c r="B2375" s="6" t="s">
        <v>23</v>
      </c>
      <c r="C2375" s="22" t="s">
        <v>47</v>
      </c>
      <c r="D2375" s="7">
        <v>520</v>
      </c>
      <c r="E2375" s="9">
        <v>1300</v>
      </c>
      <c r="F2375" s="3" t="s">
        <v>8</v>
      </c>
      <c r="G2375" s="5">
        <v>6.5</v>
      </c>
      <c r="H2375" s="5">
        <v>8.4499999999999993</v>
      </c>
      <c r="I2375" s="5">
        <v>0</v>
      </c>
      <c r="J2375" s="8">
        <v>0</v>
      </c>
      <c r="K2375" s="1">
        <f t="shared" si="2223"/>
        <v>2534.9999999999991</v>
      </c>
      <c r="L2375" s="51">
        <v>0</v>
      </c>
      <c r="M2375" s="51">
        <v>0</v>
      </c>
      <c r="N2375" s="2">
        <f t="shared" si="2230"/>
        <v>1.9499999999999993</v>
      </c>
      <c r="O2375" s="2">
        <f t="shared" si="2234"/>
        <v>2534.9999999999991</v>
      </c>
    </row>
    <row r="2376" spans="1:15">
      <c r="A2376" s="4">
        <v>42702</v>
      </c>
      <c r="B2376" s="6" t="s">
        <v>24</v>
      </c>
      <c r="C2376" s="22" t="s">
        <v>47</v>
      </c>
      <c r="D2376" s="7">
        <v>500</v>
      </c>
      <c r="E2376" s="9">
        <v>1500</v>
      </c>
      <c r="F2376" s="3" t="s">
        <v>8</v>
      </c>
      <c r="G2376" s="5">
        <v>7.2</v>
      </c>
      <c r="H2376" s="5">
        <v>8</v>
      </c>
      <c r="I2376" s="5">
        <v>0</v>
      </c>
      <c r="J2376" s="8">
        <v>0</v>
      </c>
      <c r="K2376" s="1">
        <f t="shared" si="2223"/>
        <v>1199.9999999999998</v>
      </c>
      <c r="L2376" s="51">
        <v>0</v>
      </c>
      <c r="M2376" s="51">
        <v>0</v>
      </c>
      <c r="N2376" s="2">
        <f t="shared" si="2230"/>
        <v>0.79999999999999982</v>
      </c>
      <c r="O2376" s="2">
        <f t="shared" si="2234"/>
        <v>1199.9999999999998</v>
      </c>
    </row>
    <row r="2377" spans="1:15">
      <c r="A2377" s="4">
        <v>42702</v>
      </c>
      <c r="B2377" s="6" t="s">
        <v>21</v>
      </c>
      <c r="C2377" s="22" t="s">
        <v>47</v>
      </c>
      <c r="D2377" s="7">
        <v>280</v>
      </c>
      <c r="E2377" s="9">
        <v>3000</v>
      </c>
      <c r="F2377" s="3" t="s">
        <v>8</v>
      </c>
      <c r="G2377" s="5">
        <v>5.5</v>
      </c>
      <c r="H2377" s="5">
        <v>5.95</v>
      </c>
      <c r="I2377" s="5">
        <v>0</v>
      </c>
      <c r="J2377" s="8">
        <v>0</v>
      </c>
      <c r="K2377" s="1">
        <f t="shared" si="2223"/>
        <v>1350.0000000000005</v>
      </c>
      <c r="L2377" s="51">
        <v>0</v>
      </c>
      <c r="M2377" s="51">
        <v>0</v>
      </c>
      <c r="N2377" s="2">
        <f t="shared" si="2230"/>
        <v>0.45000000000000018</v>
      </c>
      <c r="O2377" s="2">
        <f t="shared" si="2234"/>
        <v>1350.0000000000005</v>
      </c>
    </row>
    <row r="2378" spans="1:15">
      <c r="A2378" s="4">
        <v>42699</v>
      </c>
      <c r="B2378" s="6" t="s">
        <v>24</v>
      </c>
      <c r="C2378" s="22" t="s">
        <v>46</v>
      </c>
      <c r="D2378" s="7">
        <v>400</v>
      </c>
      <c r="E2378" s="9">
        <v>1500</v>
      </c>
      <c r="F2378" s="3" t="s">
        <v>8</v>
      </c>
      <c r="G2378" s="5">
        <v>6</v>
      </c>
      <c r="H2378" s="5">
        <v>6.8</v>
      </c>
      <c r="I2378" s="5">
        <v>0</v>
      </c>
      <c r="J2378" s="8">
        <v>0</v>
      </c>
      <c r="K2378" s="1">
        <f t="shared" si="2223"/>
        <v>1199.9999999999998</v>
      </c>
      <c r="L2378" s="51">
        <v>0</v>
      </c>
      <c r="M2378" s="51">
        <v>0</v>
      </c>
      <c r="N2378" s="2">
        <f t="shared" si="2230"/>
        <v>0.79999999999999982</v>
      </c>
      <c r="O2378" s="2">
        <f t="shared" si="2234"/>
        <v>1199.9999999999998</v>
      </c>
    </row>
    <row r="2379" spans="1:15">
      <c r="A2379" s="4">
        <v>42699</v>
      </c>
      <c r="B2379" s="6" t="s">
        <v>23</v>
      </c>
      <c r="C2379" s="22" t="s">
        <v>47</v>
      </c>
      <c r="D2379" s="7">
        <v>520</v>
      </c>
      <c r="E2379" s="9">
        <v>1300</v>
      </c>
      <c r="F2379" s="3" t="s">
        <v>8</v>
      </c>
      <c r="G2379" s="5">
        <v>6</v>
      </c>
      <c r="H2379" s="5">
        <v>7</v>
      </c>
      <c r="I2379" s="5">
        <v>0</v>
      </c>
      <c r="J2379" s="8">
        <v>0</v>
      </c>
      <c r="K2379" s="1">
        <f t="shared" si="2223"/>
        <v>1300</v>
      </c>
      <c r="L2379" s="51">
        <v>0</v>
      </c>
      <c r="M2379" s="51">
        <v>0</v>
      </c>
      <c r="N2379" s="2">
        <f t="shared" si="2230"/>
        <v>1</v>
      </c>
      <c r="O2379" s="2">
        <f t="shared" si="2234"/>
        <v>1300</v>
      </c>
    </row>
    <row r="2380" spans="1:15">
      <c r="A2380" s="4">
        <v>42699</v>
      </c>
      <c r="B2380" s="6" t="s">
        <v>17</v>
      </c>
      <c r="C2380" s="22" t="s">
        <v>46</v>
      </c>
      <c r="D2380" s="7">
        <v>480</v>
      </c>
      <c r="E2380" s="9">
        <v>1200</v>
      </c>
      <c r="F2380" s="3" t="s">
        <v>8</v>
      </c>
      <c r="G2380" s="5">
        <v>5.5</v>
      </c>
      <c r="H2380" s="5">
        <v>6.5</v>
      </c>
      <c r="I2380" s="5">
        <v>7.5</v>
      </c>
      <c r="J2380" s="8">
        <v>8.5</v>
      </c>
      <c r="K2380" s="1">
        <f t="shared" si="2223"/>
        <v>1200</v>
      </c>
      <c r="L2380" s="51">
        <f t="shared" ref="L2380:L2385" si="2237">(IF(F2380="SELL",IF(I2380="",0,H2380-I2380),IF(F2380="BUY",IF(I2380="",0,I2380-H2380))))*E2380</f>
        <v>1200</v>
      </c>
      <c r="M2380" s="51">
        <f>(IF(F2380="SELL",IF(J2380="",0,I2380-J2380),IF(F2380="BUY",IF(J2380="",0,(J2380-I2380)))))*E2380</f>
        <v>1200</v>
      </c>
      <c r="N2380" s="2">
        <f t="shared" si="2230"/>
        <v>3</v>
      </c>
      <c r="O2380" s="2">
        <f t="shared" si="2234"/>
        <v>3600</v>
      </c>
    </row>
    <row r="2381" spans="1:15">
      <c r="A2381" s="4">
        <v>42698</v>
      </c>
      <c r="B2381" s="6" t="s">
        <v>21</v>
      </c>
      <c r="C2381" s="22" t="s">
        <v>47</v>
      </c>
      <c r="D2381" s="7">
        <v>255</v>
      </c>
      <c r="E2381" s="9">
        <v>3000</v>
      </c>
      <c r="F2381" s="3" t="s">
        <v>8</v>
      </c>
      <c r="G2381" s="5">
        <v>5</v>
      </c>
      <c r="H2381" s="5">
        <v>5.5</v>
      </c>
      <c r="I2381" s="5">
        <v>6</v>
      </c>
      <c r="J2381" s="8">
        <v>6.5</v>
      </c>
      <c r="K2381" s="1">
        <f t="shared" si="2223"/>
        <v>1500</v>
      </c>
      <c r="L2381" s="51">
        <f t="shared" si="2237"/>
        <v>1500</v>
      </c>
      <c r="M2381" s="51">
        <f>(IF(F2381="SELL",IF(J2381="",0,I2381-J2381),IF(F2381="BUY",IF(J2381="",0,(J2381-I2381)))))*E2381</f>
        <v>1500</v>
      </c>
      <c r="N2381" s="2">
        <f t="shared" si="2230"/>
        <v>1.5</v>
      </c>
      <c r="O2381" s="2">
        <f t="shared" si="2234"/>
        <v>4500</v>
      </c>
    </row>
    <row r="2382" spans="1:15">
      <c r="A2382" s="4">
        <v>42698</v>
      </c>
      <c r="B2382" s="6" t="s">
        <v>34</v>
      </c>
      <c r="C2382" s="22" t="s">
        <v>47</v>
      </c>
      <c r="D2382" s="7">
        <v>190</v>
      </c>
      <c r="E2382" s="9">
        <v>3500</v>
      </c>
      <c r="F2382" s="3" t="s">
        <v>8</v>
      </c>
      <c r="G2382" s="5">
        <v>4.8</v>
      </c>
      <c r="H2382" s="5">
        <v>5.8</v>
      </c>
      <c r="I2382" s="5">
        <v>0</v>
      </c>
      <c r="J2382" s="8">
        <v>0</v>
      </c>
      <c r="K2382" s="1">
        <f t="shared" si="2223"/>
        <v>3500</v>
      </c>
      <c r="L2382" s="51">
        <v>0</v>
      </c>
      <c r="M2382" s="51">
        <v>0</v>
      </c>
      <c r="N2382" s="2">
        <f t="shared" si="2230"/>
        <v>1</v>
      </c>
      <c r="O2382" s="2">
        <f t="shared" si="2234"/>
        <v>3500</v>
      </c>
    </row>
    <row r="2383" spans="1:15">
      <c r="A2383" s="4">
        <v>42698</v>
      </c>
      <c r="B2383" s="6" t="s">
        <v>11</v>
      </c>
      <c r="C2383" s="22" t="s">
        <v>47</v>
      </c>
      <c r="D2383" s="7">
        <v>720</v>
      </c>
      <c r="E2383" s="9">
        <v>1000</v>
      </c>
      <c r="F2383" s="3" t="s">
        <v>8</v>
      </c>
      <c r="G2383" s="5">
        <v>5</v>
      </c>
      <c r="H2383" s="5">
        <v>6</v>
      </c>
      <c r="I2383" s="5">
        <v>7</v>
      </c>
      <c r="J2383" s="8">
        <v>0</v>
      </c>
      <c r="K2383" s="1">
        <f t="shared" si="2223"/>
        <v>1000</v>
      </c>
      <c r="L2383" s="51">
        <f t="shared" si="2237"/>
        <v>1000</v>
      </c>
      <c r="M2383" s="51">
        <v>0</v>
      </c>
      <c r="N2383" s="2">
        <f t="shared" si="2230"/>
        <v>2</v>
      </c>
      <c r="O2383" s="2">
        <f t="shared" si="2234"/>
        <v>2000</v>
      </c>
    </row>
    <row r="2384" spans="1:15">
      <c r="A2384" s="4">
        <v>42697</v>
      </c>
      <c r="B2384" s="6" t="s">
        <v>23</v>
      </c>
      <c r="C2384" s="22" t="s">
        <v>47</v>
      </c>
      <c r="D2384" s="7">
        <v>460</v>
      </c>
      <c r="E2384" s="9">
        <v>1300</v>
      </c>
      <c r="F2384" s="3" t="s">
        <v>8</v>
      </c>
      <c r="G2384" s="5">
        <v>4</v>
      </c>
      <c r="H2384" s="5">
        <v>5</v>
      </c>
      <c r="I2384" s="5">
        <v>6</v>
      </c>
      <c r="J2384" s="8">
        <v>7</v>
      </c>
      <c r="K2384" s="1">
        <f t="shared" si="2223"/>
        <v>1300</v>
      </c>
      <c r="L2384" s="51">
        <f t="shared" si="2237"/>
        <v>1300</v>
      </c>
      <c r="M2384" s="51">
        <f>(IF(F2384="SELL",IF(J2384="",0,I2384-J2384),IF(F2384="BUY",IF(J2384="",0,(J2384-I2384)))))*E2384</f>
        <v>1300</v>
      </c>
      <c r="N2384" s="2">
        <f t="shared" si="2230"/>
        <v>3</v>
      </c>
      <c r="O2384" s="2">
        <f t="shared" si="2234"/>
        <v>3900</v>
      </c>
    </row>
    <row r="2385" spans="1:15">
      <c r="A2385" s="4">
        <v>42697</v>
      </c>
      <c r="B2385" s="6" t="s">
        <v>26</v>
      </c>
      <c r="C2385" s="22" t="s">
        <v>47</v>
      </c>
      <c r="D2385" s="7">
        <v>380</v>
      </c>
      <c r="E2385" s="9">
        <v>2000</v>
      </c>
      <c r="F2385" s="3" t="s">
        <v>8</v>
      </c>
      <c r="G2385" s="5">
        <v>7</v>
      </c>
      <c r="H2385" s="5">
        <v>7.5</v>
      </c>
      <c r="I2385" s="5">
        <v>8</v>
      </c>
      <c r="J2385" s="8">
        <v>8.5</v>
      </c>
      <c r="K2385" s="1">
        <f t="shared" si="2223"/>
        <v>1000</v>
      </c>
      <c r="L2385" s="51">
        <f t="shared" si="2237"/>
        <v>1000</v>
      </c>
      <c r="M2385" s="51">
        <f>(IF(F2385="SELL",IF(J2385="",0,I2385-J2385),IF(F2385="BUY",IF(J2385="",0,(J2385-I2385)))))*E2385</f>
        <v>1000</v>
      </c>
      <c r="N2385" s="2">
        <f t="shared" si="2230"/>
        <v>1.5</v>
      </c>
      <c r="O2385" s="2">
        <f t="shared" si="2234"/>
        <v>3000</v>
      </c>
    </row>
    <row r="2386" spans="1:15">
      <c r="A2386" s="4">
        <v>42697</v>
      </c>
      <c r="B2386" s="6" t="s">
        <v>34</v>
      </c>
      <c r="C2386" s="22" t="s">
        <v>47</v>
      </c>
      <c r="D2386" s="7">
        <v>170</v>
      </c>
      <c r="E2386" s="9">
        <v>3500</v>
      </c>
      <c r="F2386" s="3" t="s">
        <v>8</v>
      </c>
      <c r="G2386" s="5">
        <v>2.8</v>
      </c>
      <c r="H2386" s="5">
        <v>3.8</v>
      </c>
      <c r="I2386" s="5">
        <v>0</v>
      </c>
      <c r="J2386" s="8">
        <v>0</v>
      </c>
      <c r="K2386" s="1">
        <f t="shared" si="2223"/>
        <v>3500</v>
      </c>
      <c r="L2386" s="51">
        <v>0</v>
      </c>
      <c r="M2386" s="51">
        <v>0</v>
      </c>
      <c r="N2386" s="2">
        <f t="shared" si="2230"/>
        <v>1</v>
      </c>
      <c r="O2386" s="2">
        <f t="shared" si="2234"/>
        <v>3500</v>
      </c>
    </row>
    <row r="2387" spans="1:15">
      <c r="A2387" s="4">
        <v>42697</v>
      </c>
      <c r="B2387" s="6" t="s">
        <v>41</v>
      </c>
      <c r="C2387" s="22" t="s">
        <v>47</v>
      </c>
      <c r="D2387" s="7">
        <v>470</v>
      </c>
      <c r="E2387" s="9">
        <v>1500</v>
      </c>
      <c r="F2387" s="3" t="s">
        <v>8</v>
      </c>
      <c r="G2387" s="5">
        <v>4</v>
      </c>
      <c r="H2387" s="5">
        <v>2.4</v>
      </c>
      <c r="I2387" s="5">
        <v>0</v>
      </c>
      <c r="J2387" s="8">
        <v>0</v>
      </c>
      <c r="K2387" s="1">
        <f t="shared" si="2223"/>
        <v>-2400</v>
      </c>
      <c r="L2387" s="51">
        <v>0</v>
      </c>
      <c r="M2387" s="51">
        <v>0</v>
      </c>
      <c r="N2387" s="2">
        <f t="shared" si="2230"/>
        <v>-1.6</v>
      </c>
      <c r="O2387" s="2">
        <f t="shared" si="2234"/>
        <v>-2400</v>
      </c>
    </row>
    <row r="2388" spans="1:15">
      <c r="A2388" s="4">
        <v>42696</v>
      </c>
      <c r="B2388" s="6" t="s">
        <v>26</v>
      </c>
      <c r="C2388" s="22" t="s">
        <v>47</v>
      </c>
      <c r="D2388" s="7">
        <v>380</v>
      </c>
      <c r="E2388" s="9">
        <v>2000</v>
      </c>
      <c r="F2388" s="3" t="s">
        <v>8</v>
      </c>
      <c r="G2388" s="5">
        <v>5.5</v>
      </c>
      <c r="H2388" s="5">
        <v>4.5</v>
      </c>
      <c r="I2388" s="5">
        <v>0</v>
      </c>
      <c r="J2388" s="8">
        <v>0</v>
      </c>
      <c r="K2388" s="1">
        <f t="shared" si="2223"/>
        <v>-2000</v>
      </c>
      <c r="L2388" s="51">
        <v>0</v>
      </c>
      <c r="M2388" s="51">
        <v>0</v>
      </c>
      <c r="N2388" s="2">
        <f t="shared" si="2230"/>
        <v>-1</v>
      </c>
      <c r="O2388" s="2">
        <f t="shared" si="2234"/>
        <v>-2000</v>
      </c>
    </row>
    <row r="2389" spans="1:15">
      <c r="A2389" s="4">
        <v>42696</v>
      </c>
      <c r="B2389" s="6" t="s">
        <v>17</v>
      </c>
      <c r="C2389" s="22" t="s">
        <v>46</v>
      </c>
      <c r="D2389" s="7">
        <v>460</v>
      </c>
      <c r="E2389" s="9">
        <v>1200</v>
      </c>
      <c r="F2389" s="3" t="s">
        <v>8</v>
      </c>
      <c r="G2389" s="5">
        <v>4</v>
      </c>
      <c r="H2389" s="5">
        <v>5</v>
      </c>
      <c r="I2389" s="5">
        <v>0</v>
      </c>
      <c r="J2389" s="8">
        <v>0</v>
      </c>
      <c r="K2389" s="1">
        <f t="shared" si="2223"/>
        <v>1200</v>
      </c>
      <c r="L2389" s="51">
        <v>0</v>
      </c>
      <c r="M2389" s="51">
        <v>0</v>
      </c>
      <c r="N2389" s="2">
        <f t="shared" si="2230"/>
        <v>1</v>
      </c>
      <c r="O2389" s="2">
        <f t="shared" si="2234"/>
        <v>1200</v>
      </c>
    </row>
    <row r="2390" spans="1:15">
      <c r="A2390" s="4">
        <v>42695</v>
      </c>
      <c r="B2390" s="6" t="s">
        <v>30</v>
      </c>
      <c r="C2390" s="22" t="s">
        <v>46</v>
      </c>
      <c r="D2390" s="7">
        <v>265</v>
      </c>
      <c r="E2390" s="9">
        <v>2500</v>
      </c>
      <c r="F2390" s="3" t="s">
        <v>8</v>
      </c>
      <c r="G2390" s="5">
        <v>5</v>
      </c>
      <c r="H2390" s="5">
        <v>5.5</v>
      </c>
      <c r="I2390" s="5">
        <v>6</v>
      </c>
      <c r="J2390" s="8">
        <v>6.5</v>
      </c>
      <c r="K2390" s="1">
        <f t="shared" si="2223"/>
        <v>1250</v>
      </c>
      <c r="L2390" s="51">
        <f t="shared" ref="L2390" si="2238">(IF(F2390="SELL",IF(I2390="",0,H2390-I2390),IF(F2390="BUY",IF(I2390="",0,I2390-H2390))))*E2390</f>
        <v>1250</v>
      </c>
      <c r="M2390" s="51">
        <f>(IF(F2390="SELL",IF(J2390="",0,I2390-J2390),IF(F2390="BUY",IF(J2390="",0,(J2390-I2390)))))*E2390</f>
        <v>1250</v>
      </c>
      <c r="N2390" s="2">
        <f t="shared" si="2230"/>
        <v>1.5</v>
      </c>
      <c r="O2390" s="2">
        <f t="shared" si="2234"/>
        <v>3750</v>
      </c>
    </row>
    <row r="2391" spans="1:15">
      <c r="A2391" s="4">
        <v>42695</v>
      </c>
      <c r="B2391" s="6" t="s">
        <v>34</v>
      </c>
      <c r="C2391" s="22" t="s">
        <v>47</v>
      </c>
      <c r="D2391" s="7">
        <v>170</v>
      </c>
      <c r="E2391" s="9">
        <v>3500</v>
      </c>
      <c r="F2391" s="3" t="s">
        <v>8</v>
      </c>
      <c r="G2391" s="5">
        <v>3.2</v>
      </c>
      <c r="H2391" s="5">
        <v>2.2000000000000002</v>
      </c>
      <c r="I2391" s="5">
        <v>0</v>
      </c>
      <c r="J2391" s="8">
        <v>0</v>
      </c>
      <c r="K2391" s="1">
        <f t="shared" si="2223"/>
        <v>-3500</v>
      </c>
      <c r="L2391" s="51">
        <v>0</v>
      </c>
      <c r="M2391" s="51">
        <v>0</v>
      </c>
      <c r="N2391" s="2">
        <f t="shared" si="2230"/>
        <v>-1</v>
      </c>
      <c r="O2391" s="2">
        <f t="shared" si="2234"/>
        <v>-3500</v>
      </c>
    </row>
    <row r="2392" spans="1:15">
      <c r="A2392" s="4">
        <v>42695</v>
      </c>
      <c r="B2392" s="6" t="s">
        <v>21</v>
      </c>
      <c r="C2392" s="22" t="s">
        <v>46</v>
      </c>
      <c r="D2392" s="7">
        <v>275</v>
      </c>
      <c r="E2392" s="9">
        <v>3000</v>
      </c>
      <c r="F2392" s="3" t="s">
        <v>8</v>
      </c>
      <c r="G2392" s="5">
        <v>3.5</v>
      </c>
      <c r="H2392" s="5">
        <v>4</v>
      </c>
      <c r="I2392" s="5">
        <v>0</v>
      </c>
      <c r="J2392" s="8">
        <v>0</v>
      </c>
      <c r="K2392" s="1">
        <f t="shared" si="2223"/>
        <v>1500</v>
      </c>
      <c r="L2392" s="51">
        <v>0</v>
      </c>
      <c r="M2392" s="51">
        <v>0</v>
      </c>
      <c r="N2392" s="2">
        <f t="shared" si="2230"/>
        <v>0.5</v>
      </c>
      <c r="O2392" s="2">
        <f t="shared" si="2234"/>
        <v>1500</v>
      </c>
    </row>
    <row r="2393" spans="1:15">
      <c r="A2393" s="4">
        <v>42692</v>
      </c>
      <c r="B2393" s="6" t="s">
        <v>26</v>
      </c>
      <c r="C2393" s="22" t="s">
        <v>46</v>
      </c>
      <c r="D2393" s="7">
        <v>380</v>
      </c>
      <c r="E2393" s="9">
        <v>2000</v>
      </c>
      <c r="F2393" s="3" t="s">
        <v>8</v>
      </c>
      <c r="G2393" s="5">
        <v>4.5</v>
      </c>
      <c r="H2393" s="5">
        <v>5</v>
      </c>
      <c r="I2393" s="5">
        <v>5.5</v>
      </c>
      <c r="J2393" s="8">
        <v>6</v>
      </c>
      <c r="K2393" s="1">
        <f t="shared" si="2223"/>
        <v>1000</v>
      </c>
      <c r="L2393" s="51">
        <f t="shared" ref="L2393" si="2239">(IF(F2393="SELL",IF(I2393="",0,H2393-I2393),IF(F2393="BUY",IF(I2393="",0,I2393-H2393))))*E2393</f>
        <v>1000</v>
      </c>
      <c r="M2393" s="51">
        <f>(IF(F2393="SELL",IF(J2393="",0,I2393-J2393),IF(F2393="BUY",IF(J2393="",0,(J2393-I2393)))))*E2393</f>
        <v>1000</v>
      </c>
      <c r="N2393" s="2">
        <f t="shared" si="2230"/>
        <v>1.5</v>
      </c>
      <c r="O2393" s="2">
        <f t="shared" si="2234"/>
        <v>3000</v>
      </c>
    </row>
    <row r="2394" spans="1:15">
      <c r="A2394" s="4">
        <v>42692</v>
      </c>
      <c r="B2394" s="6" t="s">
        <v>38</v>
      </c>
      <c r="C2394" s="22" t="s">
        <v>46</v>
      </c>
      <c r="D2394" s="7">
        <v>4900</v>
      </c>
      <c r="E2394" s="9">
        <v>150</v>
      </c>
      <c r="F2394" s="3" t="s">
        <v>8</v>
      </c>
      <c r="G2394" s="5">
        <v>78</v>
      </c>
      <c r="H2394" s="5">
        <v>48</v>
      </c>
      <c r="I2394" s="5">
        <v>0</v>
      </c>
      <c r="J2394" s="8">
        <v>0</v>
      </c>
      <c r="K2394" s="1">
        <f t="shared" si="2223"/>
        <v>-4500</v>
      </c>
      <c r="L2394" s="51">
        <v>0</v>
      </c>
      <c r="M2394" s="51">
        <v>0</v>
      </c>
      <c r="N2394" s="2">
        <f t="shared" si="2230"/>
        <v>-30</v>
      </c>
      <c r="O2394" s="2">
        <f t="shared" si="2234"/>
        <v>-4500</v>
      </c>
    </row>
    <row r="2395" spans="1:15">
      <c r="A2395" s="4">
        <v>42692</v>
      </c>
      <c r="B2395" s="6" t="s">
        <v>41</v>
      </c>
      <c r="C2395" s="22" t="s">
        <v>46</v>
      </c>
      <c r="D2395" s="7">
        <v>450</v>
      </c>
      <c r="E2395" s="9">
        <v>1500</v>
      </c>
      <c r="F2395" s="3" t="s">
        <v>8</v>
      </c>
      <c r="G2395" s="5">
        <v>5</v>
      </c>
      <c r="H2395" s="5">
        <v>3.4</v>
      </c>
      <c r="I2395" s="5">
        <v>0</v>
      </c>
      <c r="J2395" s="8">
        <v>0</v>
      </c>
      <c r="K2395" s="1">
        <f t="shared" si="2223"/>
        <v>-2400</v>
      </c>
      <c r="L2395" s="51">
        <v>0</v>
      </c>
      <c r="M2395" s="51">
        <v>0</v>
      </c>
      <c r="N2395" s="2">
        <f t="shared" si="2230"/>
        <v>-1.6</v>
      </c>
      <c r="O2395" s="2">
        <f t="shared" si="2234"/>
        <v>-2400</v>
      </c>
    </row>
    <row r="2396" spans="1:15">
      <c r="A2396" s="4">
        <v>42692</v>
      </c>
      <c r="B2396" s="6" t="s">
        <v>42</v>
      </c>
      <c r="C2396" s="22" t="s">
        <v>47</v>
      </c>
      <c r="D2396" s="7">
        <v>360</v>
      </c>
      <c r="E2396" s="9">
        <v>2000</v>
      </c>
      <c r="F2396" s="3" t="s">
        <v>8</v>
      </c>
      <c r="G2396" s="5">
        <v>3.8</v>
      </c>
      <c r="H2396" s="5">
        <v>4.3</v>
      </c>
      <c r="I2396" s="5">
        <v>4.8</v>
      </c>
      <c r="J2396" s="8">
        <v>0</v>
      </c>
      <c r="K2396" s="1">
        <f t="shared" si="2223"/>
        <v>1000</v>
      </c>
      <c r="L2396" s="51">
        <f t="shared" ref="L2396" si="2240">(IF(F2396="SELL",IF(I2396="",0,H2396-I2396),IF(F2396="BUY",IF(I2396="",0,I2396-H2396))))*E2396</f>
        <v>1000</v>
      </c>
      <c r="M2396" s="51">
        <v>0</v>
      </c>
      <c r="N2396" s="2">
        <f t="shared" si="2230"/>
        <v>1</v>
      </c>
      <c r="O2396" s="2">
        <f t="shared" si="2234"/>
        <v>2000</v>
      </c>
    </row>
    <row r="2397" spans="1:15">
      <c r="A2397" s="4">
        <v>42691</v>
      </c>
      <c r="B2397" s="6" t="s">
        <v>23</v>
      </c>
      <c r="C2397" s="22" t="s">
        <v>47</v>
      </c>
      <c r="D2397" s="7">
        <v>480</v>
      </c>
      <c r="E2397" s="9">
        <v>1300</v>
      </c>
      <c r="F2397" s="3" t="s">
        <v>8</v>
      </c>
      <c r="G2397" s="5">
        <v>5.5</v>
      </c>
      <c r="H2397" s="5">
        <v>6.3</v>
      </c>
      <c r="I2397" s="5">
        <v>0</v>
      </c>
      <c r="J2397" s="8">
        <v>0</v>
      </c>
      <c r="K2397" s="1">
        <f t="shared" si="2223"/>
        <v>1039.9999999999998</v>
      </c>
      <c r="L2397" s="51">
        <v>0</v>
      </c>
      <c r="M2397" s="51">
        <v>0</v>
      </c>
      <c r="N2397" s="2">
        <f t="shared" ref="N2397:N2426" si="2241">(L2397+K2397+M2397)/E2397</f>
        <v>0.79999999999999982</v>
      </c>
      <c r="O2397" s="2">
        <f t="shared" si="2234"/>
        <v>1039.9999999999998</v>
      </c>
    </row>
    <row r="2398" spans="1:15">
      <c r="A2398" s="4">
        <v>42691</v>
      </c>
      <c r="B2398" s="6" t="s">
        <v>21</v>
      </c>
      <c r="C2398" s="22" t="s">
        <v>47</v>
      </c>
      <c r="D2398" s="7">
        <v>290</v>
      </c>
      <c r="E2398" s="9">
        <v>3000</v>
      </c>
      <c r="F2398" s="3" t="s">
        <v>8</v>
      </c>
      <c r="G2398" s="5">
        <v>4.3</v>
      </c>
      <c r="H2398" s="5">
        <v>3.3</v>
      </c>
      <c r="I2398" s="5">
        <v>0</v>
      </c>
      <c r="J2398" s="8">
        <v>0</v>
      </c>
      <c r="K2398" s="1">
        <f t="shared" si="2223"/>
        <v>-3000</v>
      </c>
      <c r="L2398" s="51">
        <v>0</v>
      </c>
      <c r="M2398" s="51">
        <v>0</v>
      </c>
      <c r="N2398" s="2">
        <f t="shared" si="2241"/>
        <v>-1</v>
      </c>
      <c r="O2398" s="2">
        <f t="shared" si="2234"/>
        <v>-3000</v>
      </c>
    </row>
    <row r="2399" spans="1:15">
      <c r="A2399" s="4">
        <v>42691</v>
      </c>
      <c r="B2399" s="6" t="s">
        <v>17</v>
      </c>
      <c r="C2399" s="22" t="s">
        <v>47</v>
      </c>
      <c r="D2399" s="7">
        <v>490</v>
      </c>
      <c r="E2399" s="9">
        <v>1200</v>
      </c>
      <c r="F2399" s="3" t="s">
        <v>8</v>
      </c>
      <c r="G2399" s="5">
        <v>6</v>
      </c>
      <c r="H2399" s="5">
        <v>7</v>
      </c>
      <c r="I2399" s="5">
        <v>8</v>
      </c>
      <c r="J2399" s="8">
        <v>9</v>
      </c>
      <c r="K2399" s="1">
        <f t="shared" si="2223"/>
        <v>1200</v>
      </c>
      <c r="L2399" s="51">
        <f t="shared" ref="L2399:L2426" si="2242">(IF(F2399="SELL",IF(I2399="",0,H2399-I2399),IF(F2399="BUY",IF(I2399="",0,I2399-H2399))))*E2399</f>
        <v>1200</v>
      </c>
      <c r="M2399" s="51">
        <f>(IF(F2399="SELL",IF(J2399="",0,I2399-J2399),IF(F2399="BUY",IF(J2399="",0,(J2399-I2399)))))*E2399</f>
        <v>1200</v>
      </c>
      <c r="N2399" s="2">
        <f t="shared" si="2241"/>
        <v>3</v>
      </c>
      <c r="O2399" s="2">
        <f t="shared" si="2234"/>
        <v>3600</v>
      </c>
    </row>
    <row r="2400" spans="1:15">
      <c r="A2400" s="4">
        <v>42691</v>
      </c>
      <c r="B2400" s="6" t="s">
        <v>21</v>
      </c>
      <c r="C2400" s="22" t="s">
        <v>46</v>
      </c>
      <c r="D2400" s="7">
        <v>270</v>
      </c>
      <c r="E2400" s="9">
        <v>3000</v>
      </c>
      <c r="F2400" s="3" t="s">
        <v>8</v>
      </c>
      <c r="G2400" s="5">
        <v>4.5</v>
      </c>
      <c r="H2400" s="5">
        <v>5</v>
      </c>
      <c r="I2400" s="5">
        <v>5.5</v>
      </c>
      <c r="J2400" s="5">
        <v>6</v>
      </c>
      <c r="K2400" s="1">
        <f t="shared" si="2223"/>
        <v>1500</v>
      </c>
      <c r="L2400" s="51">
        <f t="shared" si="2242"/>
        <v>1500</v>
      </c>
      <c r="M2400" s="51">
        <f>(IF(F2400="SELL",IF(J2400="",0,I2400-J2400),IF(F2400="BUY",IF(J2400="",0,(J2400-I2400)))))*E2400</f>
        <v>1500</v>
      </c>
      <c r="N2400" s="2">
        <f t="shared" si="2241"/>
        <v>1.5</v>
      </c>
      <c r="O2400" s="2">
        <f t="shared" si="2234"/>
        <v>4500</v>
      </c>
    </row>
    <row r="2401" spans="1:15">
      <c r="A2401" s="4">
        <v>42690</v>
      </c>
      <c r="B2401" s="6" t="s">
        <v>41</v>
      </c>
      <c r="C2401" s="22" t="s">
        <v>46</v>
      </c>
      <c r="D2401" s="7">
        <v>430</v>
      </c>
      <c r="E2401" s="9">
        <v>1500</v>
      </c>
      <c r="F2401" s="3" t="s">
        <v>8</v>
      </c>
      <c r="G2401" s="5">
        <v>7.5</v>
      </c>
      <c r="H2401" s="5">
        <v>5.9</v>
      </c>
      <c r="I2401" s="5">
        <v>0</v>
      </c>
      <c r="J2401" s="5">
        <v>0</v>
      </c>
      <c r="K2401" s="2">
        <f t="shared" si="2223"/>
        <v>-2399.9999999999995</v>
      </c>
      <c r="L2401" s="52">
        <v>0</v>
      </c>
      <c r="M2401" s="52">
        <v>0</v>
      </c>
      <c r="N2401" s="2">
        <f t="shared" si="2241"/>
        <v>-1.5999999999999996</v>
      </c>
      <c r="O2401" s="2">
        <f t="shared" si="2234"/>
        <v>-2399.9999999999995</v>
      </c>
    </row>
    <row r="2402" spans="1:15">
      <c r="A2402" s="4">
        <v>42690</v>
      </c>
      <c r="B2402" s="6" t="s">
        <v>34</v>
      </c>
      <c r="C2402" s="22" t="s">
        <v>47</v>
      </c>
      <c r="D2402" s="7">
        <v>185</v>
      </c>
      <c r="E2402" s="9">
        <v>3500</v>
      </c>
      <c r="F2402" s="3" t="s">
        <v>8</v>
      </c>
      <c r="G2402" s="5">
        <v>4.2</v>
      </c>
      <c r="H2402" s="5">
        <v>4.7</v>
      </c>
      <c r="I2402" s="5">
        <v>5.2</v>
      </c>
      <c r="J2402" s="5">
        <v>0</v>
      </c>
      <c r="K2402" s="2">
        <f t="shared" si="2223"/>
        <v>1750</v>
      </c>
      <c r="L2402" s="52">
        <f t="shared" si="2242"/>
        <v>1750</v>
      </c>
      <c r="M2402" s="52">
        <v>0</v>
      </c>
      <c r="N2402" s="2">
        <f t="shared" si="2241"/>
        <v>1</v>
      </c>
      <c r="O2402" s="2">
        <f t="shared" si="2234"/>
        <v>3500</v>
      </c>
    </row>
    <row r="2403" spans="1:15">
      <c r="A2403" s="4">
        <v>42689</v>
      </c>
      <c r="B2403" s="6" t="s">
        <v>26</v>
      </c>
      <c r="C2403" s="22" t="s">
        <v>46</v>
      </c>
      <c r="D2403" s="7">
        <v>390</v>
      </c>
      <c r="E2403" s="9">
        <v>2000</v>
      </c>
      <c r="F2403" s="3" t="s">
        <v>8</v>
      </c>
      <c r="G2403" s="5">
        <v>5</v>
      </c>
      <c r="H2403" s="5">
        <v>5.5</v>
      </c>
      <c r="I2403" s="5">
        <v>6</v>
      </c>
      <c r="J2403" s="5">
        <v>6.5</v>
      </c>
      <c r="K2403" s="2">
        <f t="shared" si="2223"/>
        <v>1000</v>
      </c>
      <c r="L2403" s="52">
        <f t="shared" si="2242"/>
        <v>1000</v>
      </c>
      <c r="M2403" s="52">
        <f>(IF(F2403="SELL",IF(J2403="",0,I2403-J2403),IF(F2403="BUY",IF(J2403="",0,(J2403-I2403)))))*E2403</f>
        <v>1000</v>
      </c>
      <c r="N2403" s="2">
        <f t="shared" si="2241"/>
        <v>1.5</v>
      </c>
      <c r="O2403" s="2">
        <f t="shared" si="2234"/>
        <v>3000</v>
      </c>
    </row>
    <row r="2404" spans="1:15">
      <c r="A2404" s="4">
        <v>42689</v>
      </c>
      <c r="B2404" s="6" t="s">
        <v>43</v>
      </c>
      <c r="C2404" s="22" t="s">
        <v>47</v>
      </c>
      <c r="D2404" s="7">
        <v>1300</v>
      </c>
      <c r="E2404" s="9">
        <v>500</v>
      </c>
      <c r="F2404" s="3" t="s">
        <v>8</v>
      </c>
      <c r="G2404" s="5">
        <v>10</v>
      </c>
      <c r="H2404" s="5">
        <v>12</v>
      </c>
      <c r="I2404" s="5">
        <v>14</v>
      </c>
      <c r="J2404" s="5">
        <v>0</v>
      </c>
      <c r="K2404" s="2">
        <f t="shared" si="2223"/>
        <v>1000</v>
      </c>
      <c r="L2404" s="52">
        <f t="shared" si="2242"/>
        <v>1000</v>
      </c>
      <c r="M2404" s="52">
        <v>0</v>
      </c>
      <c r="N2404" s="2">
        <f t="shared" si="2241"/>
        <v>4</v>
      </c>
      <c r="O2404" s="2">
        <f t="shared" si="2234"/>
        <v>2000</v>
      </c>
    </row>
    <row r="2405" spans="1:15">
      <c r="A2405" s="4">
        <v>42685</v>
      </c>
      <c r="B2405" s="6" t="s">
        <v>41</v>
      </c>
      <c r="C2405" s="6" t="s">
        <v>46</v>
      </c>
      <c r="D2405" s="7">
        <v>480</v>
      </c>
      <c r="E2405" s="9">
        <v>1500</v>
      </c>
      <c r="F2405" s="3" t="s">
        <v>8</v>
      </c>
      <c r="G2405" s="5">
        <v>6.5</v>
      </c>
      <c r="H2405" s="5">
        <v>7.3</v>
      </c>
      <c r="I2405" s="5">
        <v>8.1</v>
      </c>
      <c r="J2405" s="5">
        <v>8.9</v>
      </c>
      <c r="K2405" s="2">
        <f t="shared" si="2223"/>
        <v>1199.9999999999998</v>
      </c>
      <c r="L2405" s="52">
        <f t="shared" si="2242"/>
        <v>1199.9999999999998</v>
      </c>
      <c r="M2405" s="52">
        <f>(IF(F2405="SELL",IF(J2405="",0,I2405-J2405),IF(F2405="BUY",IF(J2405="",0,(J2405-I2405)))))*E2405</f>
        <v>1200.0000000000011</v>
      </c>
      <c r="N2405" s="2">
        <f t="shared" si="2241"/>
        <v>2.4000000000000008</v>
      </c>
      <c r="O2405" s="2">
        <f t="shared" si="2234"/>
        <v>3600.0000000000014</v>
      </c>
    </row>
    <row r="2406" spans="1:15">
      <c r="A2406" s="4">
        <v>42685</v>
      </c>
      <c r="B2406" s="6" t="s">
        <v>21</v>
      </c>
      <c r="C2406" s="6" t="s">
        <v>47</v>
      </c>
      <c r="D2406" s="7">
        <v>305</v>
      </c>
      <c r="E2406" s="9">
        <v>3000</v>
      </c>
      <c r="F2406" s="3" t="s">
        <v>8</v>
      </c>
      <c r="G2406" s="5">
        <v>5</v>
      </c>
      <c r="H2406" s="5">
        <v>4</v>
      </c>
      <c r="I2406" s="5">
        <v>0</v>
      </c>
      <c r="J2406" s="5">
        <v>0</v>
      </c>
      <c r="K2406" s="2">
        <f t="shared" si="2223"/>
        <v>-3000</v>
      </c>
      <c r="L2406" s="52">
        <v>0</v>
      </c>
      <c r="M2406" s="52">
        <v>0</v>
      </c>
      <c r="N2406" s="2">
        <f t="shared" si="2241"/>
        <v>-1</v>
      </c>
      <c r="O2406" s="2">
        <f t="shared" si="2234"/>
        <v>-3000</v>
      </c>
    </row>
    <row r="2407" spans="1:15">
      <c r="A2407" s="4">
        <v>42685</v>
      </c>
      <c r="B2407" s="6" t="s">
        <v>30</v>
      </c>
      <c r="C2407" s="6" t="s">
        <v>47</v>
      </c>
      <c r="D2407" s="7">
        <v>300</v>
      </c>
      <c r="E2407" s="9">
        <v>2500</v>
      </c>
      <c r="F2407" s="3" t="s">
        <v>8</v>
      </c>
      <c r="G2407" s="5">
        <v>4.0999999999999996</v>
      </c>
      <c r="H2407" s="5">
        <v>4.5999999999999996</v>
      </c>
      <c r="I2407" s="5">
        <v>5.0999999999999996</v>
      </c>
      <c r="J2407" s="5">
        <v>5.6</v>
      </c>
      <c r="K2407" s="2">
        <f t="shared" si="2223"/>
        <v>1250</v>
      </c>
      <c r="L2407" s="52">
        <f t="shared" si="2242"/>
        <v>1250</v>
      </c>
      <c r="M2407" s="52">
        <f>(IF(F2407="SELL",IF(J2407="",0,I2407-J2407),IF(F2407="BUY",IF(J2407="",0,(J2407-I2407)))))*E2407</f>
        <v>1250</v>
      </c>
      <c r="N2407" s="2">
        <f t="shared" si="2241"/>
        <v>1.5</v>
      </c>
      <c r="O2407" s="2">
        <f t="shared" si="2234"/>
        <v>3750</v>
      </c>
    </row>
    <row r="2408" spans="1:15">
      <c r="A2408" s="4">
        <v>42684</v>
      </c>
      <c r="B2408" s="6" t="s">
        <v>25</v>
      </c>
      <c r="C2408" s="6" t="s">
        <v>46</v>
      </c>
      <c r="D2408" s="7">
        <v>140</v>
      </c>
      <c r="E2408" s="9">
        <v>5000</v>
      </c>
      <c r="F2408" s="3" t="s">
        <v>8</v>
      </c>
      <c r="G2408" s="5">
        <v>3.9</v>
      </c>
      <c r="H2408" s="5">
        <v>4.5999999999999996</v>
      </c>
      <c r="I2408" s="5">
        <v>0</v>
      </c>
      <c r="J2408" s="5">
        <v>0</v>
      </c>
      <c r="K2408" s="2">
        <f t="shared" si="2223"/>
        <v>3499.9999999999986</v>
      </c>
      <c r="L2408" s="52">
        <v>0</v>
      </c>
      <c r="M2408" s="52">
        <v>0</v>
      </c>
      <c r="N2408" s="2">
        <f t="shared" si="2241"/>
        <v>0.69999999999999973</v>
      </c>
      <c r="O2408" s="2">
        <f t="shared" si="2234"/>
        <v>3499.9999999999986</v>
      </c>
    </row>
    <row r="2409" spans="1:15">
      <c r="A2409" s="4">
        <v>42684</v>
      </c>
      <c r="B2409" s="6" t="s">
        <v>21</v>
      </c>
      <c r="C2409" s="6" t="s">
        <v>47</v>
      </c>
      <c r="D2409" s="7">
        <v>275</v>
      </c>
      <c r="E2409" s="9">
        <v>3000</v>
      </c>
      <c r="F2409" s="3" t="s">
        <v>8</v>
      </c>
      <c r="G2409" s="5">
        <v>4</v>
      </c>
      <c r="H2409" s="5">
        <v>5</v>
      </c>
      <c r="I2409" s="5">
        <v>6</v>
      </c>
      <c r="J2409" s="5">
        <v>0</v>
      </c>
      <c r="K2409" s="2">
        <f t="shared" si="2223"/>
        <v>3000</v>
      </c>
      <c r="L2409" s="52">
        <f t="shared" si="2242"/>
        <v>3000</v>
      </c>
      <c r="M2409" s="52">
        <v>0</v>
      </c>
      <c r="N2409" s="2">
        <f t="shared" si="2241"/>
        <v>2</v>
      </c>
      <c r="O2409" s="2">
        <f t="shared" si="2234"/>
        <v>6000</v>
      </c>
    </row>
    <row r="2410" spans="1:15">
      <c r="A2410" s="4">
        <v>42683</v>
      </c>
      <c r="B2410" s="6" t="s">
        <v>21</v>
      </c>
      <c r="C2410" s="6" t="s">
        <v>46</v>
      </c>
      <c r="D2410" s="7">
        <v>235</v>
      </c>
      <c r="E2410" s="9">
        <v>3000</v>
      </c>
      <c r="F2410" s="3" t="s">
        <v>8</v>
      </c>
      <c r="G2410" s="5">
        <v>4.5</v>
      </c>
      <c r="H2410" s="5">
        <v>5</v>
      </c>
      <c r="I2410" s="5">
        <v>5.5</v>
      </c>
      <c r="J2410" s="5">
        <v>6</v>
      </c>
      <c r="K2410" s="2">
        <f t="shared" si="2223"/>
        <v>1500</v>
      </c>
      <c r="L2410" s="52">
        <f t="shared" si="2242"/>
        <v>1500</v>
      </c>
      <c r="M2410" s="52">
        <f>(IF(F2410="SELL",IF(J2410="",0,I2410-J2410),IF(F2410="BUY",IF(J2410="",0,(J2410-I2410)))))*E2410</f>
        <v>1500</v>
      </c>
      <c r="N2410" s="2">
        <f t="shared" si="2241"/>
        <v>1.5</v>
      </c>
      <c r="O2410" s="2">
        <f t="shared" si="2234"/>
        <v>4500</v>
      </c>
    </row>
    <row r="2411" spans="1:15">
      <c r="A2411" s="4">
        <v>42683</v>
      </c>
      <c r="B2411" s="6" t="s">
        <v>26</v>
      </c>
      <c r="C2411" s="6" t="s">
        <v>47</v>
      </c>
      <c r="D2411" s="7">
        <v>440</v>
      </c>
      <c r="E2411" s="9">
        <v>2000</v>
      </c>
      <c r="F2411" s="3" t="s">
        <v>8</v>
      </c>
      <c r="G2411" s="5">
        <v>5.5</v>
      </c>
      <c r="H2411" s="5">
        <v>4.5</v>
      </c>
      <c r="I2411" s="5">
        <v>0</v>
      </c>
      <c r="J2411" s="5">
        <v>0</v>
      </c>
      <c r="K2411" s="2">
        <f t="shared" si="2223"/>
        <v>-2000</v>
      </c>
      <c r="L2411" s="52">
        <v>0</v>
      </c>
      <c r="M2411" s="52">
        <v>0</v>
      </c>
      <c r="N2411" s="2">
        <f t="shared" si="2241"/>
        <v>-1</v>
      </c>
      <c r="O2411" s="2">
        <f t="shared" si="2234"/>
        <v>-2000</v>
      </c>
    </row>
    <row r="2412" spans="1:15">
      <c r="A2412" s="4">
        <v>42682</v>
      </c>
      <c r="B2412" s="6" t="s">
        <v>41</v>
      </c>
      <c r="C2412" s="6" t="s">
        <v>46</v>
      </c>
      <c r="D2412" s="7">
        <v>480</v>
      </c>
      <c r="E2412" s="9">
        <v>1500</v>
      </c>
      <c r="F2412" s="3" t="s">
        <v>8</v>
      </c>
      <c r="G2412" s="5">
        <v>7</v>
      </c>
      <c r="H2412" s="5">
        <v>7.8</v>
      </c>
      <c r="I2412" s="5">
        <v>8.6</v>
      </c>
      <c r="J2412" s="5">
        <v>0</v>
      </c>
      <c r="K2412" s="2">
        <f t="shared" si="2223"/>
        <v>1199.9999999999998</v>
      </c>
      <c r="L2412" s="52">
        <f t="shared" si="2242"/>
        <v>1199.9999999999998</v>
      </c>
      <c r="M2412" s="52">
        <v>0</v>
      </c>
      <c r="N2412" s="2">
        <f t="shared" si="2241"/>
        <v>1.5999999999999996</v>
      </c>
      <c r="O2412" s="2">
        <f t="shared" si="2234"/>
        <v>2399.9999999999995</v>
      </c>
    </row>
    <row r="2413" spans="1:15">
      <c r="A2413" s="4">
        <v>42681</v>
      </c>
      <c r="B2413" s="6" t="s">
        <v>17</v>
      </c>
      <c r="C2413" s="6" t="s">
        <v>47</v>
      </c>
      <c r="D2413" s="7">
        <v>500</v>
      </c>
      <c r="E2413" s="9">
        <v>1200</v>
      </c>
      <c r="F2413" s="3" t="s">
        <v>8</v>
      </c>
      <c r="G2413" s="5">
        <v>8</v>
      </c>
      <c r="H2413" s="5">
        <v>9</v>
      </c>
      <c r="I2413" s="5">
        <v>0</v>
      </c>
      <c r="J2413" s="5">
        <v>0</v>
      </c>
      <c r="K2413" s="2">
        <f t="shared" si="2223"/>
        <v>1200</v>
      </c>
      <c r="L2413" s="52">
        <v>0</v>
      </c>
      <c r="M2413" s="52">
        <v>0</v>
      </c>
      <c r="N2413" s="2">
        <f t="shared" si="2241"/>
        <v>1</v>
      </c>
      <c r="O2413" s="2">
        <f t="shared" si="2234"/>
        <v>1200</v>
      </c>
    </row>
    <row r="2414" spans="1:15">
      <c r="A2414" s="4">
        <v>42681</v>
      </c>
      <c r="B2414" s="6" t="s">
        <v>26</v>
      </c>
      <c r="C2414" s="6" t="s">
        <v>46</v>
      </c>
      <c r="D2414" s="7">
        <v>380</v>
      </c>
      <c r="E2414" s="9">
        <v>2000</v>
      </c>
      <c r="F2414" s="3" t="s">
        <v>8</v>
      </c>
      <c r="G2414" s="5">
        <v>6.3</v>
      </c>
      <c r="H2414" s="5">
        <v>6.8</v>
      </c>
      <c r="I2414" s="5">
        <v>7.3</v>
      </c>
      <c r="J2414" s="5">
        <v>7.8</v>
      </c>
      <c r="K2414" s="2">
        <f t="shared" si="2223"/>
        <v>1000</v>
      </c>
      <c r="L2414" s="52">
        <f t="shared" si="2242"/>
        <v>1000</v>
      </c>
      <c r="M2414" s="52">
        <f>(IF(F2414="SELL",IF(J2414="",0,I2414-J2414),IF(F2414="BUY",IF(J2414="",0,(J2414-I2414)))))*E2414</f>
        <v>1000</v>
      </c>
      <c r="N2414" s="2">
        <f t="shared" si="2241"/>
        <v>1.5</v>
      </c>
      <c r="O2414" s="2">
        <f t="shared" si="2234"/>
        <v>3000</v>
      </c>
    </row>
    <row r="2415" spans="1:15">
      <c r="A2415" s="4">
        <v>42678</v>
      </c>
      <c r="B2415" s="6" t="s">
        <v>38</v>
      </c>
      <c r="C2415" s="6" t="s">
        <v>47</v>
      </c>
      <c r="D2415" s="7">
        <v>5800</v>
      </c>
      <c r="E2415" s="9">
        <v>125</v>
      </c>
      <c r="F2415" s="3" t="s">
        <v>8</v>
      </c>
      <c r="G2415" s="5">
        <v>90</v>
      </c>
      <c r="H2415" s="5">
        <v>97</v>
      </c>
      <c r="I2415" s="5">
        <v>104</v>
      </c>
      <c r="J2415" s="5">
        <v>0</v>
      </c>
      <c r="K2415" s="2">
        <f t="shared" si="2223"/>
        <v>875</v>
      </c>
      <c r="L2415" s="52">
        <f t="shared" si="2242"/>
        <v>875</v>
      </c>
      <c r="M2415" s="52">
        <v>0</v>
      </c>
      <c r="N2415" s="2">
        <f t="shared" si="2241"/>
        <v>14</v>
      </c>
      <c r="O2415" s="2">
        <f t="shared" si="2234"/>
        <v>1750</v>
      </c>
    </row>
    <row r="2416" spans="1:15">
      <c r="A2416" s="4">
        <v>42678</v>
      </c>
      <c r="B2416" s="6" t="s">
        <v>21</v>
      </c>
      <c r="C2416" s="6" t="s">
        <v>46</v>
      </c>
      <c r="D2416" s="7">
        <v>235</v>
      </c>
      <c r="E2416" s="9">
        <v>3000</v>
      </c>
      <c r="F2416" s="3" t="s">
        <v>8</v>
      </c>
      <c r="G2416" s="5">
        <v>5.6</v>
      </c>
      <c r="H2416" s="5">
        <v>6.1</v>
      </c>
      <c r="I2416" s="5">
        <v>6.6</v>
      </c>
      <c r="J2416" s="5">
        <v>0</v>
      </c>
      <c r="K2416" s="2">
        <f t="shared" si="2223"/>
        <v>1500</v>
      </c>
      <c r="L2416" s="52">
        <f t="shared" si="2242"/>
        <v>1500</v>
      </c>
      <c r="M2416" s="52">
        <v>0</v>
      </c>
      <c r="N2416" s="2">
        <f t="shared" si="2241"/>
        <v>1</v>
      </c>
      <c r="O2416" s="2">
        <f t="shared" si="2234"/>
        <v>3000</v>
      </c>
    </row>
    <row r="2417" spans="1:15">
      <c r="A2417" s="4">
        <v>42678</v>
      </c>
      <c r="B2417" s="6" t="s">
        <v>41</v>
      </c>
      <c r="C2417" s="6" t="s">
        <v>46</v>
      </c>
      <c r="D2417" s="7">
        <v>470</v>
      </c>
      <c r="E2417" s="9">
        <v>1500</v>
      </c>
      <c r="F2417" s="3" t="s">
        <v>8</v>
      </c>
      <c r="G2417" s="5">
        <v>7</v>
      </c>
      <c r="H2417" s="5">
        <v>5.4</v>
      </c>
      <c r="I2417" s="5">
        <v>0</v>
      </c>
      <c r="J2417" s="5">
        <v>0</v>
      </c>
      <c r="K2417" s="2">
        <f t="shared" si="2223"/>
        <v>-2399.9999999999995</v>
      </c>
      <c r="L2417" s="52">
        <v>0</v>
      </c>
      <c r="M2417" s="52">
        <f>(IF(F2417="SELL",IF(J2417="",0,I2417-J2417),IF(F2417="BUY",IF(J2417="",0,(J2417-I2417)))))*E2417</f>
        <v>0</v>
      </c>
      <c r="N2417" s="2">
        <f t="shared" si="2241"/>
        <v>-1.5999999999999996</v>
      </c>
      <c r="O2417" s="2">
        <f t="shared" ref="O2417:O2426" si="2243">N2417*E2417</f>
        <v>-2399.9999999999995</v>
      </c>
    </row>
    <row r="2418" spans="1:15">
      <c r="A2418" s="4">
        <v>42678</v>
      </c>
      <c r="B2418" s="6" t="s">
        <v>44</v>
      </c>
      <c r="C2418" s="6" t="s">
        <v>47</v>
      </c>
      <c r="D2418" s="7">
        <v>450</v>
      </c>
      <c r="E2418" s="9">
        <v>2000</v>
      </c>
      <c r="F2418" s="3" t="s">
        <v>8</v>
      </c>
      <c r="G2418" s="5">
        <v>4.5</v>
      </c>
      <c r="H2418" s="5">
        <v>5</v>
      </c>
      <c r="I2418" s="5">
        <v>0</v>
      </c>
      <c r="J2418" s="5">
        <v>0</v>
      </c>
      <c r="K2418" s="2">
        <f t="shared" si="2223"/>
        <v>1000</v>
      </c>
      <c r="L2418" s="52">
        <v>0</v>
      </c>
      <c r="M2418" s="52">
        <f>(IF(F2418="SELL",IF(J2418="",0,I2418-J2418),IF(F2418="BUY",IF(J2418="",0,(J2418-I2418)))))*E2418</f>
        <v>0</v>
      </c>
      <c r="N2418" s="2">
        <f t="shared" si="2241"/>
        <v>0.5</v>
      </c>
      <c r="O2418" s="2">
        <f t="shared" si="2243"/>
        <v>1000</v>
      </c>
    </row>
    <row r="2419" spans="1:15">
      <c r="A2419" s="4">
        <v>42677</v>
      </c>
      <c r="B2419" s="6" t="s">
        <v>30</v>
      </c>
      <c r="C2419" s="6" t="s">
        <v>47</v>
      </c>
      <c r="D2419" s="7">
        <v>290</v>
      </c>
      <c r="E2419" s="9">
        <v>2500</v>
      </c>
      <c r="F2419" s="3" t="s">
        <v>8</v>
      </c>
      <c r="G2419" s="5">
        <v>6</v>
      </c>
      <c r="H2419" s="5">
        <v>5</v>
      </c>
      <c r="I2419" s="5">
        <v>0</v>
      </c>
      <c r="J2419" s="5">
        <v>0</v>
      </c>
      <c r="K2419" s="2">
        <f t="shared" si="2223"/>
        <v>-2500</v>
      </c>
      <c r="L2419" s="52">
        <v>0</v>
      </c>
      <c r="M2419" s="52">
        <f>(IF(F2419="SELL",IF(J2419="",0,I2419-J2419),IF(F2419="BUY",IF(J2419="",0,(J2419-I2419)))))*E2419</f>
        <v>0</v>
      </c>
      <c r="N2419" s="2">
        <f t="shared" si="2241"/>
        <v>-1</v>
      </c>
      <c r="O2419" s="2">
        <f t="shared" si="2243"/>
        <v>-2500</v>
      </c>
    </row>
    <row r="2420" spans="1:15">
      <c r="A2420" s="4">
        <v>42677</v>
      </c>
      <c r="B2420" s="6" t="s">
        <v>29</v>
      </c>
      <c r="C2420" s="6" t="s">
        <v>46</v>
      </c>
      <c r="D2420" s="7">
        <v>270</v>
      </c>
      <c r="E2420" s="9">
        <v>2500</v>
      </c>
      <c r="F2420" s="3" t="s">
        <v>8</v>
      </c>
      <c r="G2420" s="5">
        <v>5</v>
      </c>
      <c r="H2420" s="5">
        <v>5.5</v>
      </c>
      <c r="I2420" s="5">
        <v>6</v>
      </c>
      <c r="J2420" s="5">
        <v>6.5</v>
      </c>
      <c r="K2420" s="2">
        <f t="shared" si="2223"/>
        <v>1250</v>
      </c>
      <c r="L2420" s="52">
        <f t="shared" si="2242"/>
        <v>1250</v>
      </c>
      <c r="M2420" s="52">
        <f>(IF(F2420="SELL",IF(J2420="",0,I2420-J2420),IF(F2420="BUY",IF(J2420="",0,(J2420-I2420)))))*E2420</f>
        <v>1250</v>
      </c>
      <c r="N2420" s="2">
        <f t="shared" si="2241"/>
        <v>1.5</v>
      </c>
      <c r="O2420" s="2">
        <f t="shared" si="2243"/>
        <v>3750</v>
      </c>
    </row>
    <row r="2421" spans="1:15">
      <c r="A2421" s="4">
        <v>42676</v>
      </c>
      <c r="B2421" s="6" t="s">
        <v>39</v>
      </c>
      <c r="C2421" s="6" t="s">
        <v>46</v>
      </c>
      <c r="D2421" s="7">
        <v>1020</v>
      </c>
      <c r="E2421" s="9">
        <v>500</v>
      </c>
      <c r="F2421" s="3" t="s">
        <v>8</v>
      </c>
      <c r="G2421" s="5">
        <v>14</v>
      </c>
      <c r="H2421" s="5">
        <v>16</v>
      </c>
      <c r="I2421" s="5">
        <v>18</v>
      </c>
      <c r="J2421" s="5">
        <v>0</v>
      </c>
      <c r="K2421" s="2">
        <f t="shared" si="2223"/>
        <v>1000</v>
      </c>
      <c r="L2421" s="52">
        <f t="shared" si="2242"/>
        <v>1000</v>
      </c>
      <c r="M2421" s="52">
        <v>0</v>
      </c>
      <c r="N2421" s="2">
        <f t="shared" si="2241"/>
        <v>4</v>
      </c>
      <c r="O2421" s="2">
        <f t="shared" si="2243"/>
        <v>2000</v>
      </c>
    </row>
    <row r="2422" spans="1:15">
      <c r="A2422" s="4">
        <v>42676</v>
      </c>
      <c r="B2422" s="6" t="s">
        <v>21</v>
      </c>
      <c r="C2422" s="6" t="s">
        <v>46</v>
      </c>
      <c r="D2422" s="7">
        <v>245</v>
      </c>
      <c r="E2422" s="9">
        <v>3000</v>
      </c>
      <c r="F2422" s="3" t="s">
        <v>8</v>
      </c>
      <c r="G2422" s="5">
        <v>5.5</v>
      </c>
      <c r="H2422" s="5">
        <v>6</v>
      </c>
      <c r="I2422" s="5">
        <v>0</v>
      </c>
      <c r="J2422" s="5">
        <v>0</v>
      </c>
      <c r="K2422" s="2">
        <f t="shared" si="2223"/>
        <v>1500</v>
      </c>
      <c r="L2422" s="52">
        <v>0</v>
      </c>
      <c r="M2422" s="52">
        <f>(IF(F2422="SELL",IF(J2422="",0,I2422-J2422),IF(F2422="BUY",IF(J2422="",0,(J2422-I2422)))))*E2422</f>
        <v>0</v>
      </c>
      <c r="N2422" s="2">
        <f t="shared" si="2241"/>
        <v>0.5</v>
      </c>
      <c r="O2422" s="2">
        <f t="shared" si="2243"/>
        <v>1500</v>
      </c>
    </row>
    <row r="2423" spans="1:15">
      <c r="A2423" s="4">
        <v>42676</v>
      </c>
      <c r="B2423" s="6" t="s">
        <v>21</v>
      </c>
      <c r="C2423" s="6" t="s">
        <v>47</v>
      </c>
      <c r="D2423" s="7">
        <v>265</v>
      </c>
      <c r="E2423" s="9">
        <v>3000</v>
      </c>
      <c r="F2423" s="3" t="s">
        <v>8</v>
      </c>
      <c r="G2423" s="5">
        <v>6.5</v>
      </c>
      <c r="H2423" s="5">
        <v>7</v>
      </c>
      <c r="I2423" s="5">
        <v>7.5</v>
      </c>
      <c r="J2423" s="5">
        <v>0</v>
      </c>
      <c r="K2423" s="2">
        <f t="shared" si="2223"/>
        <v>1500</v>
      </c>
      <c r="L2423" s="52">
        <f t="shared" si="2242"/>
        <v>1500</v>
      </c>
      <c r="M2423" s="52">
        <v>0</v>
      </c>
      <c r="N2423" s="2">
        <f t="shared" si="2241"/>
        <v>1</v>
      </c>
      <c r="O2423" s="2">
        <f t="shared" si="2243"/>
        <v>3000</v>
      </c>
    </row>
    <row r="2424" spans="1:15">
      <c r="A2424" s="4">
        <v>42675</v>
      </c>
      <c r="B2424" s="6" t="s">
        <v>41</v>
      </c>
      <c r="C2424" s="6" t="s">
        <v>46</v>
      </c>
      <c r="D2424" s="7">
        <v>490</v>
      </c>
      <c r="E2424" s="9">
        <v>1500</v>
      </c>
      <c r="F2424" s="3" t="s">
        <v>8</v>
      </c>
      <c r="G2424" s="5">
        <v>6.5</v>
      </c>
      <c r="H2424" s="5">
        <v>7.3</v>
      </c>
      <c r="I2424" s="5">
        <v>0</v>
      </c>
      <c r="J2424" s="5">
        <v>0</v>
      </c>
      <c r="K2424" s="2">
        <f t="shared" si="2223"/>
        <v>1199.9999999999998</v>
      </c>
      <c r="L2424" s="52">
        <v>0</v>
      </c>
      <c r="M2424" s="52">
        <f>(IF(F2424="SELL",IF(J2424="",0,I2424-J2424),IF(F2424="BUY",IF(J2424="",0,(J2424-I2424)))))*E2424</f>
        <v>0</v>
      </c>
      <c r="N2424" s="2">
        <f t="shared" si="2241"/>
        <v>0.79999999999999982</v>
      </c>
      <c r="O2424" s="2">
        <f t="shared" si="2243"/>
        <v>1199.9999999999998</v>
      </c>
    </row>
    <row r="2425" spans="1:15">
      <c r="A2425" s="4">
        <v>42675</v>
      </c>
      <c r="B2425" s="6" t="s">
        <v>16</v>
      </c>
      <c r="C2425" s="6" t="s">
        <v>47</v>
      </c>
      <c r="D2425" s="7">
        <v>320</v>
      </c>
      <c r="E2425" s="9">
        <v>2500</v>
      </c>
      <c r="F2425" s="3" t="s">
        <v>8</v>
      </c>
      <c r="G2425" s="5">
        <v>7.5</v>
      </c>
      <c r="H2425" s="5">
        <v>6.5</v>
      </c>
      <c r="I2425" s="5">
        <v>0</v>
      </c>
      <c r="J2425" s="5">
        <v>0</v>
      </c>
      <c r="K2425" s="2">
        <f t="shared" si="2223"/>
        <v>-2500</v>
      </c>
      <c r="L2425" s="52">
        <v>0</v>
      </c>
      <c r="M2425" s="52">
        <f>(IF(F2425="SELL",IF(J2425="",0,I2425-J2425),IF(F2425="BUY",IF(J2425="",0,(J2425-I2425)))))*E2425</f>
        <v>0</v>
      </c>
      <c r="N2425" s="2">
        <f t="shared" si="2241"/>
        <v>-1</v>
      </c>
      <c r="O2425" s="2">
        <f t="shared" si="2243"/>
        <v>-2500</v>
      </c>
    </row>
    <row r="2426" spans="1:15">
      <c r="A2426" s="4">
        <v>42675</v>
      </c>
      <c r="B2426" s="6" t="s">
        <v>21</v>
      </c>
      <c r="C2426" s="6" t="s">
        <v>46</v>
      </c>
      <c r="D2426" s="7">
        <v>260</v>
      </c>
      <c r="E2426" s="9">
        <v>3000</v>
      </c>
      <c r="F2426" s="3" t="s">
        <v>8</v>
      </c>
      <c r="G2426" s="5">
        <v>3.5</v>
      </c>
      <c r="H2426" s="5">
        <v>4</v>
      </c>
      <c r="I2426" s="5">
        <v>4.5</v>
      </c>
      <c r="J2426" s="5">
        <v>5</v>
      </c>
      <c r="K2426" s="2">
        <f t="shared" si="2223"/>
        <v>1500</v>
      </c>
      <c r="L2426" s="52">
        <f t="shared" si="2242"/>
        <v>1500</v>
      </c>
      <c r="M2426" s="52">
        <f>(IF(F2426="SELL",IF(J2426="",0,I2426-J2426),IF(F2426="BUY",IF(J2426="",0,(J2426-I2426)))))*E2426</f>
        <v>1500</v>
      </c>
      <c r="N2426" s="2">
        <f t="shared" si="2241"/>
        <v>1.5</v>
      </c>
      <c r="O2426" s="2">
        <f t="shared" si="2243"/>
        <v>4500</v>
      </c>
    </row>
  </sheetData>
  <mergeCells count="19"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M6:M8"/>
    <mergeCell ref="N6:N8"/>
    <mergeCell ref="O6:O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ignoredErrors>
    <ignoredError sqref="L8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2017-02-19T00:29:44Z</dcterms:created>
  <dcterms:modified xsi:type="dcterms:W3CDTF">2020-10-20T11:26:49Z</dcterms:modified>
</cp:coreProperties>
</file>